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cicotte\Downloads\"/>
    </mc:Choice>
  </mc:AlternateContent>
  <xr:revisionPtr revIDLastSave="0" documentId="13_ncr:1_{839673C4-C8CD-4752-BEA7-1B6FCFB5420F}" xr6:coauthVersionLast="47" xr6:coauthVersionMax="47" xr10:uidLastSave="{00000000-0000-0000-0000-000000000000}"/>
  <bookViews>
    <workbookView xWindow="28680" yWindow="-120" windowWidth="29040" windowHeight="16440" tabRatio="916" firstSheet="70" activeTab="116" xr2:uid="{00000000-000D-0000-FFFF-FFFF00000000}"/>
  </bookViews>
  <sheets>
    <sheet name="Master Land Analysis" sheetId="151" r:id="rId1"/>
    <sheet name="Overall Analysis" sheetId="10" r:id="rId2"/>
    <sheet name="Landlocked" sheetId="136" r:id="rId3"/>
    <sheet name="Acreage" sheetId="143" r:id="rId4"/>
    <sheet name="Deep Lots(FF)" sheetId="146" r:id="rId5"/>
    <sheet name="72-Att Condo" sheetId="144" r:id="rId6"/>
    <sheet name="119-Det Condo" sheetId="145" r:id="rId7"/>
    <sheet name="1" sheetId="149" r:id="rId8"/>
    <sheet name="2" sheetId="14" r:id="rId9"/>
    <sheet name="3" sheetId="15" r:id="rId10"/>
    <sheet name="4" sheetId="12" r:id="rId11"/>
    <sheet name="5" sheetId="16" r:id="rId12"/>
    <sheet name="6" sheetId="138" r:id="rId13"/>
    <sheet name="7" sheetId="18" r:id="rId14"/>
    <sheet name="8" sheetId="19" r:id="rId15"/>
    <sheet name="9" sheetId="20" r:id="rId16"/>
    <sheet name="10" sheetId="150" r:id="rId17"/>
    <sheet name="11" sheetId="22" r:id="rId18"/>
    <sheet name="12" sheetId="139" r:id="rId19"/>
    <sheet name="13" sheetId="24" r:id="rId20"/>
    <sheet name="14A" sheetId="25" r:id="rId21"/>
    <sheet name="14B" sheetId="26" r:id="rId22"/>
    <sheet name="14C" sheetId="27" r:id="rId23"/>
    <sheet name="14D" sheetId="28" r:id="rId24"/>
    <sheet name="14E" sheetId="29" r:id="rId25"/>
    <sheet name="15" sheetId="30" r:id="rId26"/>
    <sheet name="16" sheetId="152" r:id="rId27"/>
    <sheet name="17" sheetId="32" r:id="rId28"/>
    <sheet name="18" sheetId="154" r:id="rId29"/>
    <sheet name="19" sheetId="34" r:id="rId30"/>
    <sheet name="21" sheetId="35" r:id="rId31"/>
    <sheet name="22" sheetId="36" r:id="rId32"/>
    <sheet name="23A" sheetId="37" r:id="rId33"/>
    <sheet name="23B" sheetId="148" r:id="rId34"/>
    <sheet name="24A" sheetId="38" r:id="rId35"/>
    <sheet name="25" sheetId="39" r:id="rId36"/>
    <sheet name="26" sheetId="40" r:id="rId37"/>
    <sheet name="27" sheetId="41" r:id="rId38"/>
    <sheet name="28" sheetId="42" r:id="rId39"/>
    <sheet name="29" sheetId="43" r:id="rId40"/>
    <sheet name="30" sheetId="44" r:id="rId41"/>
    <sheet name="31" sheetId="45" r:id="rId42"/>
    <sheet name="32" sheetId="46" r:id="rId43"/>
    <sheet name="33" sheetId="47" r:id="rId44"/>
    <sheet name="34" sheetId="48" r:id="rId45"/>
    <sheet name="35" sheetId="49" r:id="rId46"/>
    <sheet name="36" sheetId="50" r:id="rId47"/>
    <sheet name="37" sheetId="51" r:id="rId48"/>
    <sheet name="38" sheetId="52" r:id="rId49"/>
    <sheet name="39A" sheetId="53" r:id="rId50"/>
    <sheet name="39B" sheetId="54" r:id="rId51"/>
    <sheet name="40" sheetId="55" r:id="rId52"/>
    <sheet name="41" sheetId="56" r:id="rId53"/>
    <sheet name="42" sheetId="57" r:id="rId54"/>
    <sheet name="43" sheetId="58" r:id="rId55"/>
    <sheet name="44" sheetId="59" r:id="rId56"/>
    <sheet name="45" sheetId="60" r:id="rId57"/>
    <sheet name="46" sheetId="61" r:id="rId58"/>
    <sheet name="47" sheetId="62" r:id="rId59"/>
    <sheet name="48" sheetId="63" r:id="rId60"/>
    <sheet name="49" sheetId="64" r:id="rId61"/>
    <sheet name="50" sheetId="65" r:id="rId62"/>
    <sheet name="51" sheetId="66" r:id="rId63"/>
    <sheet name="52" sheetId="67" r:id="rId64"/>
    <sheet name="53A" sheetId="68" r:id="rId65"/>
    <sheet name="54A" sheetId="70" r:id="rId66"/>
    <sheet name="53B" sheetId="69" r:id="rId67"/>
    <sheet name="54B" sheetId="71" r:id="rId68"/>
    <sheet name="55" sheetId="140" r:id="rId69"/>
    <sheet name="56" sheetId="141" r:id="rId70"/>
    <sheet name="57" sheetId="142" r:id="rId71"/>
    <sheet name="58" sheetId="75" r:id="rId72"/>
    <sheet name="70" sheetId="77" r:id="rId73"/>
    <sheet name="CYPRESS GARDEN" sheetId="76" r:id="rId74"/>
    <sheet name="110" sheetId="78" r:id="rId75"/>
    <sheet name="191" sheetId="79" r:id="rId76"/>
    <sheet name="211" sheetId="80" r:id="rId77"/>
    <sheet name="240" sheetId="81" r:id="rId78"/>
    <sheet name="300" sheetId="82" r:id="rId79"/>
    <sheet name="310" sheetId="83" r:id="rId80"/>
    <sheet name="350" sheetId="84" r:id="rId81"/>
    <sheet name="370" sheetId="85" r:id="rId82"/>
    <sheet name="401" sheetId="86" r:id="rId83"/>
    <sheet name="425" sheetId="87" r:id="rId84"/>
    <sheet name="432" sheetId="88" r:id="rId85"/>
    <sheet name="436" sheetId="89" r:id="rId86"/>
    <sheet name="440" sheetId="90" r:id="rId87"/>
    <sheet name="442" sheetId="91" r:id="rId88"/>
    <sheet name="446" sheetId="92" r:id="rId89"/>
    <sheet name="448" sheetId="93" r:id="rId90"/>
    <sheet name="458" sheetId="94" r:id="rId91"/>
    <sheet name="459" sheetId="95" r:id="rId92"/>
    <sheet name="462" sheetId="96" r:id="rId93"/>
    <sheet name="463" sheetId="97" r:id="rId94"/>
    <sheet name="501" sheetId="98" r:id="rId95"/>
    <sheet name="512" sheetId="99" r:id="rId96"/>
    <sheet name="515" sheetId="153" r:id="rId97"/>
    <sheet name="536" sheetId="100" r:id="rId98"/>
    <sheet name="711" sheetId="101" r:id="rId99"/>
    <sheet name="716" sheetId="102" r:id="rId100"/>
    <sheet name="803" sheetId="103" r:id="rId101"/>
    <sheet name="808" sheetId="104" r:id="rId102"/>
    <sheet name="810" sheetId="105" r:id="rId103"/>
    <sheet name="811" sheetId="106" r:id="rId104"/>
    <sheet name="900" sheetId="107" r:id="rId105"/>
    <sheet name="910" sheetId="108" r:id="rId106"/>
    <sheet name="925" sheetId="109" r:id="rId107"/>
    <sheet name="926" sheetId="110" r:id="rId108"/>
    <sheet name="927" sheetId="111" r:id="rId109"/>
    <sheet name="928" sheetId="112" r:id="rId110"/>
    <sheet name="929" sheetId="113" r:id="rId111"/>
    <sheet name="930" sheetId="114" r:id="rId112"/>
    <sheet name="931" sheetId="115" r:id="rId113"/>
    <sheet name="932" sheetId="116" r:id="rId114"/>
    <sheet name="933" sheetId="117" r:id="rId115"/>
    <sheet name="934" sheetId="118" r:id="rId116"/>
    <sheet name="935" sheetId="119" r:id="rId117"/>
  </sheets>
  <definedNames>
    <definedName name="_xlnm._FilterDatabase" localSheetId="7" hidden="1">'1'!$A$1:$AH$16</definedName>
    <definedName name="_xlnm._FilterDatabase" localSheetId="16" hidden="1">'10'!$A$1:$AH$13</definedName>
    <definedName name="_xlnm._FilterDatabase" localSheetId="17" hidden="1">'11'!$A$1:$AH$13</definedName>
    <definedName name="_xlnm._FilterDatabase" localSheetId="74" hidden="1">'110'!$A$1:$AH$6</definedName>
    <definedName name="_xlnm._FilterDatabase" localSheetId="6" hidden="1">'119-Det Condo'!$A$1:$AH$34</definedName>
    <definedName name="_xlnm._FilterDatabase" localSheetId="18" hidden="1">'12'!$A$1:$AH$18</definedName>
    <definedName name="_xlnm._FilterDatabase" localSheetId="19" hidden="1">'13'!$A$1:$AH$36</definedName>
    <definedName name="_xlnm._FilterDatabase" localSheetId="20" hidden="1">'14A'!$A$1:$AH$25</definedName>
    <definedName name="_xlnm._FilterDatabase" localSheetId="21" hidden="1">'14B'!$A$1:$AH$10</definedName>
    <definedName name="_xlnm._FilterDatabase" localSheetId="22" hidden="1">'14C'!$A$1:$AH$14</definedName>
    <definedName name="_xlnm._FilterDatabase" localSheetId="23" hidden="1">'14D'!$A$1:$AH$26</definedName>
    <definedName name="_xlnm._FilterDatabase" localSheetId="24" hidden="1">'14E'!$A$1:$AH$12</definedName>
    <definedName name="_xlnm._FilterDatabase" localSheetId="25" hidden="1">'15'!$A$1:$AH$11</definedName>
    <definedName name="_xlnm._FilterDatabase" localSheetId="26" hidden="1">'16'!$A$1:$AH$29</definedName>
    <definedName name="_xlnm._FilterDatabase" localSheetId="27" hidden="1">'17'!$A$1:$AH$7</definedName>
    <definedName name="_xlnm._FilterDatabase" localSheetId="28" hidden="1">'18'!$A$1:$AH$8</definedName>
    <definedName name="_xlnm._FilterDatabase" localSheetId="29" hidden="1">'19'!$A$1:$AH$57</definedName>
    <definedName name="_xlnm._FilterDatabase" localSheetId="75" hidden="1">'191'!$A$1:$AH$5</definedName>
    <definedName name="_xlnm._FilterDatabase" localSheetId="8" hidden="1">'2'!$A$1:$AH$11</definedName>
    <definedName name="_xlnm._FilterDatabase" localSheetId="76" hidden="1">'211'!$A$1:$AH$9</definedName>
    <definedName name="_xlnm._FilterDatabase" localSheetId="31" hidden="1">'22'!$A$1:$AH$7</definedName>
    <definedName name="_xlnm._FilterDatabase" localSheetId="33" hidden="1">'23B'!#REF!</definedName>
    <definedName name="_xlnm._FilterDatabase" localSheetId="77" hidden="1">'240'!$A$1:$AH$13</definedName>
    <definedName name="_xlnm._FilterDatabase" localSheetId="34" hidden="1">'24A'!$A$1:$AH$52</definedName>
    <definedName name="_xlnm._FilterDatabase" localSheetId="35" hidden="1">'25'!$A$1:$AH$15</definedName>
    <definedName name="_xlnm._FilterDatabase" localSheetId="36" hidden="1">'26'!$A$1:$AH$8</definedName>
    <definedName name="_xlnm._FilterDatabase" localSheetId="37" hidden="1">'27'!$A$1:$AH$6</definedName>
    <definedName name="_xlnm._FilterDatabase" localSheetId="38" hidden="1">'28'!$A$1:$AH$8</definedName>
    <definedName name="_xlnm._FilterDatabase" localSheetId="39" hidden="1">'29'!$A$1:$AH$6</definedName>
    <definedName name="_xlnm._FilterDatabase" localSheetId="9" hidden="1">'3'!$A$1:$AH$87</definedName>
    <definedName name="_xlnm._FilterDatabase" localSheetId="40" hidden="1">'30'!$A$1:$AH$19</definedName>
    <definedName name="_xlnm._FilterDatabase" localSheetId="41" hidden="1">'31'!$A$1:$AH$5</definedName>
    <definedName name="_xlnm._FilterDatabase" localSheetId="79" hidden="1">'310'!$A$1:$AH$5</definedName>
    <definedName name="_xlnm._FilterDatabase" localSheetId="42" hidden="1">'32'!$A$1:$AH$14</definedName>
    <definedName name="_xlnm._FilterDatabase" localSheetId="43" hidden="1">'33'!$A$1:$AH$30</definedName>
    <definedName name="_xlnm._FilterDatabase" localSheetId="44" hidden="1">'34'!$A$1:$AH$11</definedName>
    <definedName name="_xlnm._FilterDatabase" localSheetId="45" hidden="1">'35'!$A$1:$AH$8</definedName>
    <definedName name="_xlnm._FilterDatabase" localSheetId="80" hidden="1">'350'!$A$1:$AH$6</definedName>
    <definedName name="_xlnm._FilterDatabase" localSheetId="46" hidden="1">'36'!$A$1:$AH$9</definedName>
    <definedName name="_xlnm._FilterDatabase" localSheetId="47" hidden="1">'37'!$A$1:$AH$7</definedName>
    <definedName name="_xlnm._FilterDatabase" localSheetId="81" hidden="1">'370'!$A$1:$AH$9</definedName>
    <definedName name="_xlnm._FilterDatabase" localSheetId="48" hidden="1">'38'!$A$1:$AH$15</definedName>
    <definedName name="_xlnm._FilterDatabase" localSheetId="49" hidden="1">'39A'!$A$1:$AH$9</definedName>
    <definedName name="_xlnm._FilterDatabase" localSheetId="50" hidden="1">'39B'!$A$1:$AH$6</definedName>
    <definedName name="_xlnm._FilterDatabase" localSheetId="10" hidden="1">'4'!$A$1:$AH$19</definedName>
    <definedName name="_xlnm._FilterDatabase" localSheetId="51" hidden="1">'40'!$A$1:$AH$7</definedName>
    <definedName name="_xlnm._FilterDatabase" localSheetId="82" hidden="1">'401'!$A$1:$AH$16</definedName>
    <definedName name="_xlnm._FilterDatabase" localSheetId="52" hidden="1">'41'!$A$1:$AH$9</definedName>
    <definedName name="_xlnm._FilterDatabase" localSheetId="53" hidden="1">'42'!$A$1:$AH$6</definedName>
    <definedName name="_xlnm._FilterDatabase" localSheetId="83" hidden="1">'425'!$A$1:$AH$7</definedName>
    <definedName name="_xlnm._FilterDatabase" localSheetId="54" hidden="1">'43'!$A$1:$AH$11</definedName>
    <definedName name="_xlnm._FilterDatabase" localSheetId="84" hidden="1">'432'!$A$1:$AH$17</definedName>
    <definedName name="_xlnm._FilterDatabase" localSheetId="85" hidden="1">'436'!#REF!</definedName>
    <definedName name="_xlnm._FilterDatabase" localSheetId="55" hidden="1">'44'!$A$1:$AH$8</definedName>
    <definedName name="_xlnm._FilterDatabase" localSheetId="86" hidden="1">'440'!$A$1:$AH$6</definedName>
    <definedName name="_xlnm._FilterDatabase" localSheetId="87" hidden="1">'442'!$A$1:$AH$5</definedName>
    <definedName name="_xlnm._FilterDatabase" localSheetId="88" hidden="1">'446'!$A$1:$AH$6</definedName>
    <definedName name="_xlnm._FilterDatabase" localSheetId="56" hidden="1">'45'!$A$1:$AH$7</definedName>
    <definedName name="_xlnm._FilterDatabase" localSheetId="90" hidden="1">'458'!$A$1:$AH$6</definedName>
    <definedName name="_xlnm._FilterDatabase" localSheetId="91" hidden="1">'459'!$A$1:$AH$6</definedName>
    <definedName name="_xlnm._FilterDatabase" localSheetId="57" hidden="1">'46'!$A$1:$AH$14</definedName>
    <definedName name="_xlnm._FilterDatabase" localSheetId="92" hidden="1">'462'!$A$1:$AH$5</definedName>
    <definedName name="_xlnm._FilterDatabase" localSheetId="58" hidden="1">'47'!$A$1:$AH$8</definedName>
    <definedName name="_xlnm._FilterDatabase" localSheetId="59" hidden="1">'48'!$A$1:$AH$12</definedName>
    <definedName name="_xlnm._FilterDatabase" localSheetId="60" hidden="1">'49'!$A$1:$AH$17</definedName>
    <definedName name="_xlnm._FilterDatabase" localSheetId="11" hidden="1">'5'!$A$1:$AH$32</definedName>
    <definedName name="_xlnm._FilterDatabase" localSheetId="61" hidden="1">'50'!$A$1:$AH$27</definedName>
    <definedName name="_xlnm._FilterDatabase" localSheetId="94" hidden="1">'501'!$A$1:$AH$10</definedName>
    <definedName name="_xlnm._FilterDatabase" localSheetId="62" hidden="1">'51'!$A$1:$AH$26</definedName>
    <definedName name="_xlnm._FilterDatabase" localSheetId="96" hidden="1">'515'!$A$1:$AH$6</definedName>
    <definedName name="_xlnm._FilterDatabase" localSheetId="63" hidden="1">'52'!$A$2:$AH$8</definedName>
    <definedName name="_xlnm._FilterDatabase" localSheetId="97" hidden="1">'536'!$A$1:$AH$6</definedName>
    <definedName name="_xlnm._FilterDatabase" localSheetId="64" hidden="1">'53A'!$A$1:$AH$7</definedName>
    <definedName name="_xlnm._FilterDatabase" localSheetId="66" hidden="1">'53B'!$A$1:$AH$14</definedName>
    <definedName name="_xlnm._FilterDatabase" localSheetId="65" hidden="1">'54A'!$A$1:$AH$6</definedName>
    <definedName name="_xlnm._FilterDatabase" localSheetId="67" hidden="1">'54B'!$A$1:$AH$6</definedName>
    <definedName name="_xlnm._FilterDatabase" localSheetId="68" hidden="1">'55'!$A$1:$AH$13</definedName>
    <definedName name="_xlnm._FilterDatabase" localSheetId="69" hidden="1">'56'!#REF!</definedName>
    <definedName name="_xlnm._FilterDatabase" localSheetId="70" hidden="1">'57'!$A$1:$AH$21</definedName>
    <definedName name="_xlnm._FilterDatabase" localSheetId="71" hidden="1">'58'!$A$1:$AH$8</definedName>
    <definedName name="_xlnm._FilterDatabase" localSheetId="12" hidden="1">'6'!$A$1:$AH$11</definedName>
    <definedName name="_xlnm._FilterDatabase" localSheetId="13" hidden="1">'7'!$A$1:$AH$25</definedName>
    <definedName name="_xlnm._FilterDatabase" localSheetId="72" hidden="1">'70'!$A$1:$AH$12</definedName>
    <definedName name="_xlnm._FilterDatabase" localSheetId="98" hidden="1">'711'!$A$1:$AH$14</definedName>
    <definedName name="_xlnm._FilterDatabase" localSheetId="5" hidden="1">'72-Att Condo'!$A$1:$AH$22</definedName>
    <definedName name="_xlnm._FilterDatabase" localSheetId="14" hidden="1">'8'!$A$1:$AH$6</definedName>
    <definedName name="_xlnm._FilterDatabase" localSheetId="100" hidden="1">'803'!$A$1:$AH$7</definedName>
    <definedName name="_xlnm._FilterDatabase" localSheetId="103" hidden="1">'811'!$A$1:$AH$6</definedName>
    <definedName name="_xlnm._FilterDatabase" localSheetId="15" hidden="1">'9'!$A$1:$AH$14</definedName>
    <definedName name="_xlnm._FilterDatabase" localSheetId="104" hidden="1">'900'!$A$1:$AH$6</definedName>
    <definedName name="_xlnm._FilterDatabase" localSheetId="105" hidden="1">'910'!#REF!</definedName>
    <definedName name="_xlnm._FilterDatabase" localSheetId="106" hidden="1">'925'!$A$1:$AG$16</definedName>
    <definedName name="_xlnm._FilterDatabase" localSheetId="107" hidden="1">'926'!$A$1:$AH$25</definedName>
    <definedName name="_xlnm._FilterDatabase" localSheetId="110" hidden="1">'929'!$A$1:$AH$11</definedName>
    <definedName name="_xlnm._FilterDatabase" localSheetId="111" hidden="1">'930'!$A$1:$AH$6</definedName>
    <definedName name="_xlnm._FilterDatabase" localSheetId="112" hidden="1">'931'!$A$1:$AH$7</definedName>
    <definedName name="_xlnm._FilterDatabase" localSheetId="113" hidden="1">'932'!$A$1:$AH$7</definedName>
    <definedName name="_xlnm._FilterDatabase" localSheetId="114" hidden="1">'933'!$A$1:$AH$8</definedName>
    <definedName name="_xlnm._FilterDatabase" localSheetId="115" hidden="1">'934'!$A$1:$AH$13</definedName>
    <definedName name="_xlnm._FilterDatabase" localSheetId="116" hidden="1">'935'!$A$1:$AH$5</definedName>
    <definedName name="_xlnm._FilterDatabase" localSheetId="3" hidden="1">Acreage!$A$1:$AH$1328</definedName>
    <definedName name="_xlnm._FilterDatabase" localSheetId="73" hidden="1">'CYPRESS GARDEN'!$A$1:$AH$20</definedName>
    <definedName name="_xlnm._FilterDatabase" localSheetId="4" hidden="1">'Deep Lots(FF)'!$A$1:$AH$1328</definedName>
    <definedName name="_xlnm._FilterDatabase" localSheetId="2" hidden="1">Landlocked!$A$1:$AH$1328</definedName>
    <definedName name="_xlnm._FilterDatabase" localSheetId="0" hidden="1">'Master Land Analysis'!$A$1:$AH$1328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6" i="10" l="1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W21" i="154" l="1"/>
  <c r="X21" i="154" s="1"/>
  <c r="N21" i="154"/>
  <c r="L21" i="154"/>
  <c r="U21" i="154" s="1"/>
  <c r="J21" i="154"/>
  <c r="W20" i="154"/>
  <c r="X20" i="154" s="1"/>
  <c r="N20" i="154"/>
  <c r="L20" i="154"/>
  <c r="U20" i="154" s="1"/>
  <c r="J20" i="154"/>
  <c r="W19" i="154"/>
  <c r="X19" i="154" s="1"/>
  <c r="T19" i="154"/>
  <c r="N19" i="154"/>
  <c r="L19" i="154"/>
  <c r="S19" i="154" s="1"/>
  <c r="J19" i="154"/>
  <c r="U19" i="154" l="1"/>
  <c r="S21" i="154"/>
  <c r="T21" i="154"/>
  <c r="S20" i="154"/>
  <c r="T20" i="154"/>
  <c r="W5" i="113" l="1"/>
  <c r="X5" i="113" s="1"/>
  <c r="N5" i="113"/>
  <c r="L5" i="113"/>
  <c r="U5" i="113" s="1"/>
  <c r="J5" i="113"/>
  <c r="W4" i="113"/>
  <c r="X4" i="113" s="1"/>
  <c r="U4" i="113"/>
  <c r="T4" i="113"/>
  <c r="S4" i="113"/>
  <c r="N4" i="113"/>
  <c r="L4" i="113"/>
  <c r="J4" i="113"/>
  <c r="R48" i="107"/>
  <c r="Q48" i="107"/>
  <c r="O48" i="107"/>
  <c r="M48" i="107"/>
  <c r="K48" i="107"/>
  <c r="I48" i="107"/>
  <c r="J49" i="107" s="1"/>
  <c r="H48" i="107"/>
  <c r="E48" i="107"/>
  <c r="W47" i="107"/>
  <c r="X47" i="107" s="1"/>
  <c r="N47" i="107"/>
  <c r="L47" i="107"/>
  <c r="T47" i="107" s="1"/>
  <c r="J47" i="107"/>
  <c r="W46" i="107"/>
  <c r="X46" i="107" s="1"/>
  <c r="U46" i="107"/>
  <c r="T46" i="107"/>
  <c r="S46" i="107"/>
  <c r="N46" i="107"/>
  <c r="L46" i="107"/>
  <c r="J46" i="107"/>
  <c r="W45" i="107"/>
  <c r="X45" i="107" s="1"/>
  <c r="N45" i="107"/>
  <c r="L45" i="107"/>
  <c r="S45" i="107" s="1"/>
  <c r="J45" i="107"/>
  <c r="X44" i="107"/>
  <c r="W44" i="107"/>
  <c r="N44" i="107"/>
  <c r="L44" i="107"/>
  <c r="U44" i="107" s="1"/>
  <c r="J44" i="107"/>
  <c r="W43" i="107"/>
  <c r="X43" i="107" s="1"/>
  <c r="N43" i="107"/>
  <c r="L43" i="107"/>
  <c r="S43" i="107" s="1"/>
  <c r="J43" i="107"/>
  <c r="W42" i="107"/>
  <c r="X42" i="107" s="1"/>
  <c r="N42" i="107"/>
  <c r="L42" i="107"/>
  <c r="T42" i="107" s="1"/>
  <c r="J42" i="107"/>
  <c r="W41" i="107"/>
  <c r="X41" i="107" s="1"/>
  <c r="N41" i="107"/>
  <c r="L41" i="107"/>
  <c r="U41" i="107" s="1"/>
  <c r="J41" i="107"/>
  <c r="W40" i="107"/>
  <c r="X40" i="107" s="1"/>
  <c r="N40" i="107"/>
  <c r="L40" i="107"/>
  <c r="T40" i="107" s="1"/>
  <c r="J40" i="107"/>
  <c r="W39" i="107"/>
  <c r="X39" i="107" s="1"/>
  <c r="U39" i="107"/>
  <c r="T39" i="107"/>
  <c r="S39" i="107"/>
  <c r="N39" i="107"/>
  <c r="L39" i="107"/>
  <c r="J39" i="107"/>
  <c r="W38" i="107"/>
  <c r="X38" i="107" s="1"/>
  <c r="N38" i="107"/>
  <c r="L38" i="107"/>
  <c r="U38" i="107" s="1"/>
  <c r="J38" i="107"/>
  <c r="W37" i="107"/>
  <c r="X37" i="107" s="1"/>
  <c r="N37" i="107"/>
  <c r="L37" i="107"/>
  <c r="U37" i="107" s="1"/>
  <c r="J37" i="107"/>
  <c r="W36" i="107"/>
  <c r="X36" i="107" s="1"/>
  <c r="N36" i="107"/>
  <c r="L36" i="107"/>
  <c r="U36" i="107" s="1"/>
  <c r="J36" i="107"/>
  <c r="W35" i="107"/>
  <c r="X35" i="107" s="1"/>
  <c r="N35" i="107"/>
  <c r="L35" i="107"/>
  <c r="T35" i="107" s="1"/>
  <c r="J35" i="107"/>
  <c r="W34" i="107"/>
  <c r="X34" i="107" s="1"/>
  <c r="N34" i="107"/>
  <c r="L34" i="107"/>
  <c r="U34" i="107" s="1"/>
  <c r="J34" i="107"/>
  <c r="W33" i="107"/>
  <c r="X33" i="107" s="1"/>
  <c r="N33" i="107"/>
  <c r="L33" i="107"/>
  <c r="U33" i="107" s="1"/>
  <c r="J33" i="107"/>
  <c r="W32" i="107"/>
  <c r="X32" i="107" s="1"/>
  <c r="N32" i="107"/>
  <c r="L32" i="107"/>
  <c r="T32" i="107" s="1"/>
  <c r="J32" i="107"/>
  <c r="W31" i="107"/>
  <c r="X31" i="107" s="1"/>
  <c r="N31" i="107"/>
  <c r="L31" i="107"/>
  <c r="U31" i="107" s="1"/>
  <c r="J31" i="107"/>
  <c r="W30" i="107"/>
  <c r="X30" i="107" s="1"/>
  <c r="N30" i="107"/>
  <c r="L30" i="107"/>
  <c r="U30" i="107" s="1"/>
  <c r="J30" i="107"/>
  <c r="W29" i="107"/>
  <c r="X29" i="107" s="1"/>
  <c r="N29" i="107"/>
  <c r="L29" i="107"/>
  <c r="T29" i="107" s="1"/>
  <c r="J29" i="107"/>
  <c r="W28" i="107"/>
  <c r="X28" i="107" s="1"/>
  <c r="N28" i="107"/>
  <c r="L28" i="107"/>
  <c r="S28" i="107" s="1"/>
  <c r="J28" i="107"/>
  <c r="W27" i="107"/>
  <c r="X27" i="107" s="1"/>
  <c r="U27" i="107"/>
  <c r="T27" i="107"/>
  <c r="S27" i="107"/>
  <c r="N27" i="107"/>
  <c r="L27" i="107"/>
  <c r="J27" i="107"/>
  <c r="W26" i="107"/>
  <c r="X26" i="107" s="1"/>
  <c r="N26" i="107"/>
  <c r="L26" i="107"/>
  <c r="T26" i="107" s="1"/>
  <c r="J26" i="107"/>
  <c r="W25" i="107"/>
  <c r="X25" i="107" s="1"/>
  <c r="U25" i="107"/>
  <c r="N25" i="107"/>
  <c r="L25" i="107"/>
  <c r="T25" i="107" s="1"/>
  <c r="J25" i="107"/>
  <c r="W24" i="107"/>
  <c r="X24" i="107" s="1"/>
  <c r="N24" i="107"/>
  <c r="L24" i="107"/>
  <c r="U24" i="107" s="1"/>
  <c r="J24" i="107"/>
  <c r="X23" i="107"/>
  <c r="W23" i="107"/>
  <c r="N23" i="107"/>
  <c r="L23" i="107"/>
  <c r="U23" i="107" s="1"/>
  <c r="J23" i="107"/>
  <c r="W22" i="107"/>
  <c r="X22" i="107" s="1"/>
  <c r="N22" i="107"/>
  <c r="L22" i="107"/>
  <c r="U22" i="107" s="1"/>
  <c r="J22" i="107"/>
  <c r="W21" i="107"/>
  <c r="X21" i="107" s="1"/>
  <c r="N21" i="107"/>
  <c r="L21" i="107"/>
  <c r="T21" i="107" s="1"/>
  <c r="J21" i="107"/>
  <c r="W20" i="107"/>
  <c r="X20" i="107" s="1"/>
  <c r="U20" i="107"/>
  <c r="T20" i="107"/>
  <c r="S20" i="107"/>
  <c r="N20" i="107"/>
  <c r="L20" i="107"/>
  <c r="J20" i="107"/>
  <c r="W19" i="107"/>
  <c r="X19" i="107" s="1"/>
  <c r="N19" i="107"/>
  <c r="L19" i="107"/>
  <c r="U19" i="107" s="1"/>
  <c r="J19" i="107"/>
  <c r="W18" i="107"/>
  <c r="X18" i="107" s="1"/>
  <c r="N18" i="107"/>
  <c r="L18" i="107"/>
  <c r="U18" i="107" s="1"/>
  <c r="J18" i="107"/>
  <c r="W17" i="107"/>
  <c r="X17" i="107" s="1"/>
  <c r="N17" i="107"/>
  <c r="L17" i="107"/>
  <c r="S17" i="107" s="1"/>
  <c r="J17" i="107"/>
  <c r="W16" i="107"/>
  <c r="X16" i="107" s="1"/>
  <c r="N16" i="107"/>
  <c r="L16" i="107"/>
  <c r="U16" i="107" s="1"/>
  <c r="J16" i="107"/>
  <c r="W15" i="107"/>
  <c r="X15" i="107" s="1"/>
  <c r="N15" i="107"/>
  <c r="L15" i="107"/>
  <c r="T15" i="107" s="1"/>
  <c r="J15" i="107"/>
  <c r="W14" i="107"/>
  <c r="X14" i="107" s="1"/>
  <c r="N14" i="107"/>
  <c r="L14" i="107"/>
  <c r="S14" i="107" s="1"/>
  <c r="J14" i="107"/>
  <c r="W13" i="107"/>
  <c r="X13" i="107" s="1"/>
  <c r="U13" i="107"/>
  <c r="T13" i="107"/>
  <c r="N13" i="107"/>
  <c r="L13" i="107"/>
  <c r="S13" i="107" s="1"/>
  <c r="J13" i="107"/>
  <c r="W12" i="107"/>
  <c r="X12" i="107" s="1"/>
  <c r="N12" i="107"/>
  <c r="L12" i="107"/>
  <c r="T12" i="107" s="1"/>
  <c r="J12" i="107"/>
  <c r="W11" i="107"/>
  <c r="X11" i="107" s="1"/>
  <c r="N11" i="107"/>
  <c r="L11" i="107"/>
  <c r="S11" i="107" s="1"/>
  <c r="J11" i="107"/>
  <c r="W10" i="107"/>
  <c r="X10" i="107" s="1"/>
  <c r="N10" i="107"/>
  <c r="L10" i="107"/>
  <c r="U10" i="107" s="1"/>
  <c r="J10" i="107"/>
  <c r="W9" i="107"/>
  <c r="X9" i="107" s="1"/>
  <c r="N9" i="107"/>
  <c r="L9" i="107"/>
  <c r="U9" i="107" s="1"/>
  <c r="J9" i="107"/>
  <c r="W8" i="107"/>
  <c r="X8" i="107" s="1"/>
  <c r="N8" i="107"/>
  <c r="L8" i="107"/>
  <c r="U8" i="107" s="1"/>
  <c r="J8" i="107"/>
  <c r="W7" i="107"/>
  <c r="X7" i="107" s="1"/>
  <c r="N7" i="107"/>
  <c r="L7" i="107"/>
  <c r="T7" i="107" s="1"/>
  <c r="J7" i="107"/>
  <c r="W6" i="107"/>
  <c r="X6" i="107" s="1"/>
  <c r="U6" i="107"/>
  <c r="T6" i="107"/>
  <c r="S6" i="107"/>
  <c r="N6" i="107"/>
  <c r="L6" i="107"/>
  <c r="J6" i="107"/>
  <c r="W5" i="107"/>
  <c r="X5" i="107" s="1"/>
  <c r="N5" i="107"/>
  <c r="L5" i="107"/>
  <c r="U5" i="107" s="1"/>
  <c r="J5" i="107"/>
  <c r="W4" i="107"/>
  <c r="X4" i="107" s="1"/>
  <c r="N4" i="107"/>
  <c r="L4" i="107"/>
  <c r="U4" i="107" s="1"/>
  <c r="J4" i="107"/>
  <c r="W3" i="107"/>
  <c r="X3" i="107" s="1"/>
  <c r="N3" i="107"/>
  <c r="N48" i="107" s="1"/>
  <c r="L3" i="107"/>
  <c r="T3" i="107" s="1"/>
  <c r="J3" i="107"/>
  <c r="W2" i="107"/>
  <c r="X2" i="107" s="1"/>
  <c r="N2" i="107"/>
  <c r="L2" i="107"/>
  <c r="U2" i="107" s="1"/>
  <c r="J2" i="107"/>
  <c r="W10" i="81"/>
  <c r="X10" i="81" s="1"/>
  <c r="N10" i="81"/>
  <c r="L10" i="81"/>
  <c r="U10" i="81" s="1"/>
  <c r="J10" i="81"/>
  <c r="W9" i="81"/>
  <c r="X9" i="81" s="1"/>
  <c r="N9" i="81"/>
  <c r="L9" i="81"/>
  <c r="U9" i="81" s="1"/>
  <c r="J9" i="81"/>
  <c r="W8" i="81"/>
  <c r="X8" i="81" s="1"/>
  <c r="N8" i="81"/>
  <c r="L8" i="81"/>
  <c r="U8" i="81" s="1"/>
  <c r="J8" i="81"/>
  <c r="W7" i="81"/>
  <c r="X7" i="81" s="1"/>
  <c r="U7" i="81"/>
  <c r="T7" i="81"/>
  <c r="N7" i="81"/>
  <c r="L7" i="81"/>
  <c r="S7" i="81" s="1"/>
  <c r="J7" i="81"/>
  <c r="W6" i="81"/>
  <c r="X6" i="81" s="1"/>
  <c r="N6" i="81"/>
  <c r="L6" i="81"/>
  <c r="U6" i="81" s="1"/>
  <c r="J6" i="81"/>
  <c r="W5" i="81"/>
  <c r="X5" i="81" s="1"/>
  <c r="N5" i="81"/>
  <c r="L5" i="81"/>
  <c r="U5" i="81" s="1"/>
  <c r="J5" i="81"/>
  <c r="W4" i="81"/>
  <c r="X4" i="81" s="1"/>
  <c r="N4" i="81"/>
  <c r="L4" i="81"/>
  <c r="U4" i="81" s="1"/>
  <c r="J4" i="81"/>
  <c r="W6" i="61"/>
  <c r="X6" i="61" s="1"/>
  <c r="N6" i="61"/>
  <c r="L6" i="61"/>
  <c r="S6" i="61" s="1"/>
  <c r="J6" i="61"/>
  <c r="W13" i="38"/>
  <c r="X13" i="38" s="1"/>
  <c r="N13" i="38"/>
  <c r="L13" i="38"/>
  <c r="T13" i="38" s="1"/>
  <c r="J13" i="38"/>
  <c r="W12" i="38"/>
  <c r="X12" i="38" s="1"/>
  <c r="N12" i="38"/>
  <c r="L12" i="38"/>
  <c r="U12" i="38" s="1"/>
  <c r="J12" i="38"/>
  <c r="T4" i="107" l="1"/>
  <c r="S18" i="107"/>
  <c r="T34" i="107"/>
  <c r="U32" i="107"/>
  <c r="S9" i="81"/>
  <c r="T11" i="107"/>
  <c r="U11" i="107"/>
  <c r="S25" i="107"/>
  <c r="T41" i="107"/>
  <c r="S41" i="107"/>
  <c r="T9" i="81"/>
  <c r="S4" i="107"/>
  <c r="S34" i="107"/>
  <c r="T12" i="38"/>
  <c r="J50" i="107"/>
  <c r="T18" i="107"/>
  <c r="S32" i="107"/>
  <c r="S5" i="113"/>
  <c r="T5" i="113"/>
  <c r="X48" i="107"/>
  <c r="S15" i="107"/>
  <c r="S22" i="107"/>
  <c r="U15" i="107"/>
  <c r="S24" i="107"/>
  <c r="T10" i="107"/>
  <c r="T17" i="107"/>
  <c r="T24" i="107"/>
  <c r="T31" i="107"/>
  <c r="T38" i="107"/>
  <c r="T45" i="107"/>
  <c r="L48" i="107"/>
  <c r="S29" i="107"/>
  <c r="S36" i="107"/>
  <c r="T22" i="107"/>
  <c r="T43" i="107"/>
  <c r="S31" i="107"/>
  <c r="U3" i="107"/>
  <c r="U17" i="107"/>
  <c r="S40" i="107"/>
  <c r="U45" i="107"/>
  <c r="S47" i="107"/>
  <c r="S8" i="107"/>
  <c r="T8" i="107"/>
  <c r="T36" i="107"/>
  <c r="S10" i="107"/>
  <c r="S19" i="107"/>
  <c r="S26" i="107"/>
  <c r="S33" i="107"/>
  <c r="W48" i="107"/>
  <c r="S7" i="107"/>
  <c r="U12" i="107"/>
  <c r="U26" i="107"/>
  <c r="S35" i="107"/>
  <c r="U40" i="107"/>
  <c r="S42" i="107"/>
  <c r="U47" i="107"/>
  <c r="T14" i="107"/>
  <c r="S2" i="107"/>
  <c r="U7" i="107"/>
  <c r="S9" i="107"/>
  <c r="U14" i="107"/>
  <c r="S16" i="107"/>
  <c r="U21" i="107"/>
  <c r="S23" i="107"/>
  <c r="U28" i="107"/>
  <c r="S30" i="107"/>
  <c r="U35" i="107"/>
  <c r="S37" i="107"/>
  <c r="U42" i="107"/>
  <c r="S44" i="107"/>
  <c r="S3" i="107"/>
  <c r="U29" i="107"/>
  <c r="U43" i="107"/>
  <c r="S12" i="107"/>
  <c r="T19" i="107"/>
  <c r="T33" i="107"/>
  <c r="T2" i="107"/>
  <c r="T9" i="107"/>
  <c r="T16" i="107"/>
  <c r="T23" i="107"/>
  <c r="T30" i="107"/>
  <c r="T37" i="107"/>
  <c r="T44" i="107"/>
  <c r="S38" i="107"/>
  <c r="S5" i="107"/>
  <c r="T5" i="107"/>
  <c r="T28" i="107"/>
  <c r="S21" i="107"/>
  <c r="S4" i="81"/>
  <c r="S6" i="81"/>
  <c r="T8" i="81"/>
  <c r="S10" i="81"/>
  <c r="S5" i="81"/>
  <c r="T5" i="81"/>
  <c r="T4" i="81"/>
  <c r="T6" i="81"/>
  <c r="S8" i="81"/>
  <c r="T10" i="81"/>
  <c r="T6" i="61"/>
  <c r="U6" i="61"/>
  <c r="S12" i="38"/>
  <c r="S13" i="38"/>
  <c r="U13" i="38"/>
  <c r="U50" i="107" l="1"/>
  <c r="R50" i="107"/>
  <c r="O50" i="107"/>
  <c r="E17" i="109" l="1"/>
  <c r="E19" i="109" s="1"/>
  <c r="C21" i="76"/>
  <c r="C23" i="76" s="1"/>
  <c r="E15" i="69"/>
  <c r="E17" i="69" s="1"/>
  <c r="W24" i="53"/>
  <c r="X24" i="53" s="1"/>
  <c r="N24" i="53"/>
  <c r="L24" i="53"/>
  <c r="U24" i="53" s="1"/>
  <c r="J24" i="53"/>
  <c r="W23" i="53"/>
  <c r="X23" i="53" s="1"/>
  <c r="N23" i="53"/>
  <c r="L23" i="53"/>
  <c r="T23" i="53" s="1"/>
  <c r="J23" i="53"/>
  <c r="W33" i="52"/>
  <c r="X33" i="52" s="1"/>
  <c r="N33" i="52"/>
  <c r="L33" i="52"/>
  <c r="U33" i="52" s="1"/>
  <c r="J33" i="52"/>
  <c r="W32" i="52"/>
  <c r="X32" i="52" s="1"/>
  <c r="N32" i="52"/>
  <c r="L32" i="52"/>
  <c r="U32" i="52" s="1"/>
  <c r="J32" i="52"/>
  <c r="W29" i="46"/>
  <c r="X29" i="46" s="1"/>
  <c r="N29" i="46"/>
  <c r="L29" i="46"/>
  <c r="U29" i="46" s="1"/>
  <c r="J29" i="46"/>
  <c r="W28" i="46"/>
  <c r="X28" i="46" s="1"/>
  <c r="N28" i="46"/>
  <c r="L28" i="46"/>
  <c r="U28" i="46" s="1"/>
  <c r="J28" i="46"/>
  <c r="S23" i="53" l="1"/>
  <c r="U23" i="53"/>
  <c r="S24" i="53"/>
  <c r="T24" i="53"/>
  <c r="S32" i="52"/>
  <c r="T32" i="52"/>
  <c r="S33" i="52"/>
  <c r="T33" i="52"/>
  <c r="T28" i="46"/>
  <c r="S28" i="46"/>
  <c r="S29" i="46"/>
  <c r="T29" i="46"/>
  <c r="J2" i="44" l="1"/>
  <c r="L2" i="44"/>
  <c r="U2" i="44" s="1"/>
  <c r="N2" i="44"/>
  <c r="T2" i="44"/>
  <c r="W2" i="44"/>
  <c r="X2" i="44"/>
  <c r="W18" i="42"/>
  <c r="X18" i="42" s="1"/>
  <c r="N18" i="42"/>
  <c r="L18" i="42"/>
  <c r="S18" i="42" s="1"/>
  <c r="J18" i="42"/>
  <c r="W69" i="38"/>
  <c r="X69" i="38" s="1"/>
  <c r="N69" i="38"/>
  <c r="L69" i="38"/>
  <c r="U69" i="38" s="1"/>
  <c r="J69" i="38"/>
  <c r="W68" i="38"/>
  <c r="X68" i="38" s="1"/>
  <c r="N68" i="38"/>
  <c r="L68" i="38"/>
  <c r="U68" i="38" s="1"/>
  <c r="J68" i="38"/>
  <c r="W67" i="38"/>
  <c r="X67" i="38" s="1"/>
  <c r="N67" i="38"/>
  <c r="L67" i="38"/>
  <c r="U67" i="38" s="1"/>
  <c r="J67" i="38"/>
  <c r="W66" i="38"/>
  <c r="X66" i="38" s="1"/>
  <c r="N66" i="38"/>
  <c r="L66" i="38"/>
  <c r="U66" i="38" s="1"/>
  <c r="J66" i="38"/>
  <c r="W24" i="152"/>
  <c r="X24" i="152" s="1"/>
  <c r="N24" i="152"/>
  <c r="L24" i="152"/>
  <c r="U24" i="152" s="1"/>
  <c r="J24" i="152"/>
  <c r="W53" i="152"/>
  <c r="X53" i="152" s="1"/>
  <c r="N53" i="152"/>
  <c r="L53" i="152"/>
  <c r="U53" i="152" s="1"/>
  <c r="J53" i="152"/>
  <c r="W52" i="152"/>
  <c r="X52" i="152" s="1"/>
  <c r="N52" i="152"/>
  <c r="L52" i="152"/>
  <c r="U52" i="152" s="1"/>
  <c r="J52" i="152"/>
  <c r="J2" i="16"/>
  <c r="L2" i="16"/>
  <c r="U2" i="16" s="1"/>
  <c r="N2" i="16"/>
  <c r="W2" i="16"/>
  <c r="X2" i="16"/>
  <c r="J3" i="16"/>
  <c r="L3" i="16"/>
  <c r="N3" i="16"/>
  <c r="S3" i="16"/>
  <c r="T3" i="16"/>
  <c r="U3" i="16"/>
  <c r="W3" i="16"/>
  <c r="X3" i="16"/>
  <c r="T18" i="42" l="1"/>
  <c r="T2" i="16"/>
  <c r="S2" i="16"/>
  <c r="T67" i="38"/>
  <c r="S67" i="38"/>
  <c r="S2" i="44"/>
  <c r="U18" i="42"/>
  <c r="T69" i="38"/>
  <c r="S66" i="38"/>
  <c r="T66" i="38"/>
  <c r="S68" i="38"/>
  <c r="T68" i="38"/>
  <c r="S69" i="38"/>
  <c r="S24" i="152"/>
  <c r="T24" i="152"/>
  <c r="T52" i="152"/>
  <c r="S52" i="152"/>
  <c r="S53" i="152"/>
  <c r="T53" i="152"/>
  <c r="W16" i="84" l="1"/>
  <c r="X16" i="84" s="1"/>
  <c r="L16" i="84"/>
  <c r="U16" i="84" s="1"/>
  <c r="J16" i="84"/>
  <c r="S16" i="84" l="1"/>
  <c r="T16" i="84"/>
  <c r="W38" i="149"/>
  <c r="X38" i="149" s="1"/>
  <c r="N38" i="149"/>
  <c r="L38" i="149"/>
  <c r="S38" i="149" s="1"/>
  <c r="J38" i="149"/>
  <c r="W37" i="149"/>
  <c r="X37" i="149" s="1"/>
  <c r="N37" i="149"/>
  <c r="L37" i="149"/>
  <c r="U37" i="149" s="1"/>
  <c r="J37" i="149"/>
  <c r="W36" i="149"/>
  <c r="X36" i="149" s="1"/>
  <c r="N36" i="149"/>
  <c r="L36" i="149"/>
  <c r="U36" i="149" s="1"/>
  <c r="J36" i="149"/>
  <c r="M105" i="145"/>
  <c r="M104" i="145"/>
  <c r="M103" i="145"/>
  <c r="M102" i="145"/>
  <c r="M101" i="145"/>
  <c r="M100" i="145"/>
  <c r="M99" i="145"/>
  <c r="E95" i="145"/>
  <c r="E97" i="145" s="1"/>
  <c r="M92" i="145"/>
  <c r="K92" i="145"/>
  <c r="I92" i="145"/>
  <c r="J93" i="145" s="1"/>
  <c r="H92" i="145"/>
  <c r="E92" i="145"/>
  <c r="O91" i="145"/>
  <c r="N91" i="145"/>
  <c r="L91" i="145"/>
  <c r="J91" i="145"/>
  <c r="O90" i="145"/>
  <c r="N90" i="145"/>
  <c r="L90" i="145"/>
  <c r="J90" i="145"/>
  <c r="O89" i="145"/>
  <c r="N89" i="145"/>
  <c r="L89" i="145"/>
  <c r="J89" i="145"/>
  <c r="O88" i="145"/>
  <c r="N88" i="145"/>
  <c r="L88" i="145"/>
  <c r="J88" i="145"/>
  <c r="O87" i="145"/>
  <c r="N87" i="145"/>
  <c r="L87" i="145"/>
  <c r="J87" i="145"/>
  <c r="O86" i="145"/>
  <c r="N86" i="145"/>
  <c r="L86" i="145"/>
  <c r="J86" i="145"/>
  <c r="O85" i="145"/>
  <c r="N85" i="145"/>
  <c r="L85" i="145"/>
  <c r="J85" i="145"/>
  <c r="O84" i="145"/>
  <c r="N84" i="145"/>
  <c r="L84" i="145"/>
  <c r="J84" i="145"/>
  <c r="O83" i="145"/>
  <c r="N83" i="145"/>
  <c r="L83" i="145"/>
  <c r="J83" i="145"/>
  <c r="O82" i="145"/>
  <c r="N82" i="145"/>
  <c r="L82" i="145"/>
  <c r="J82" i="145"/>
  <c r="O81" i="145"/>
  <c r="N81" i="145"/>
  <c r="L81" i="145"/>
  <c r="J81" i="145"/>
  <c r="O80" i="145"/>
  <c r="N80" i="145"/>
  <c r="L80" i="145"/>
  <c r="J80" i="145"/>
  <c r="O79" i="145"/>
  <c r="N79" i="145"/>
  <c r="N92" i="145" s="1"/>
  <c r="L79" i="145"/>
  <c r="J79" i="145"/>
  <c r="O78" i="145"/>
  <c r="N78" i="145"/>
  <c r="L78" i="145"/>
  <c r="J78" i="145"/>
  <c r="O77" i="145"/>
  <c r="N77" i="145"/>
  <c r="L77" i="145"/>
  <c r="J77" i="145"/>
  <c r="O76" i="145"/>
  <c r="N76" i="145"/>
  <c r="L76" i="145"/>
  <c r="J76" i="145"/>
  <c r="J94" i="145" s="1"/>
  <c r="O75" i="145"/>
  <c r="N75" i="145"/>
  <c r="L75" i="145"/>
  <c r="J75" i="145"/>
  <c r="E62" i="145"/>
  <c r="E64" i="145" s="1"/>
  <c r="M59" i="145"/>
  <c r="K59" i="145"/>
  <c r="I59" i="145"/>
  <c r="H59" i="145"/>
  <c r="E59" i="145"/>
  <c r="O58" i="145"/>
  <c r="N58" i="145"/>
  <c r="L58" i="145"/>
  <c r="J58" i="145"/>
  <c r="O57" i="145"/>
  <c r="O59" i="145" s="1"/>
  <c r="N57" i="145"/>
  <c r="N59" i="145" s="1"/>
  <c r="L57" i="145"/>
  <c r="L59" i="145" s="1"/>
  <c r="J57" i="145"/>
  <c r="E50" i="145"/>
  <c r="E52" i="145" s="1"/>
  <c r="M47" i="145"/>
  <c r="K47" i="145"/>
  <c r="I47" i="145"/>
  <c r="J48" i="145" s="1"/>
  <c r="H47" i="145"/>
  <c r="E47" i="145"/>
  <c r="O46" i="145"/>
  <c r="N46" i="145"/>
  <c r="L46" i="145"/>
  <c r="J46" i="145"/>
  <c r="O45" i="145"/>
  <c r="N45" i="145"/>
  <c r="L45" i="145"/>
  <c r="J45" i="145"/>
  <c r="O44" i="145"/>
  <c r="N44" i="145"/>
  <c r="L44" i="145"/>
  <c r="J44" i="145"/>
  <c r="O43" i="145"/>
  <c r="N43" i="145"/>
  <c r="L43" i="145"/>
  <c r="J43" i="145"/>
  <c r="O42" i="145"/>
  <c r="O47" i="145" s="1"/>
  <c r="N42" i="145"/>
  <c r="N47" i="145" s="1"/>
  <c r="L42" i="145"/>
  <c r="J42" i="145"/>
  <c r="E34" i="145"/>
  <c r="E36" i="145" s="1"/>
  <c r="M31" i="145"/>
  <c r="K31" i="145"/>
  <c r="I31" i="145"/>
  <c r="H31" i="145"/>
  <c r="E31" i="145"/>
  <c r="O30" i="145"/>
  <c r="O31" i="145" s="1"/>
  <c r="N30" i="145"/>
  <c r="N31" i="145" s="1"/>
  <c r="L30" i="145"/>
  <c r="L31" i="145" s="1"/>
  <c r="J30" i="145"/>
  <c r="J33" i="145" s="1"/>
  <c r="E23" i="145"/>
  <c r="E25" i="145" s="1"/>
  <c r="M20" i="145"/>
  <c r="K20" i="145"/>
  <c r="I20" i="145"/>
  <c r="H20" i="145"/>
  <c r="E20" i="145"/>
  <c r="O19" i="145"/>
  <c r="N19" i="145"/>
  <c r="L19" i="145"/>
  <c r="J19" i="145"/>
  <c r="O18" i="145"/>
  <c r="N18" i="145"/>
  <c r="L18" i="145"/>
  <c r="J18" i="145"/>
  <c r="O17" i="145"/>
  <c r="N17" i="145"/>
  <c r="L17" i="145"/>
  <c r="J17" i="145"/>
  <c r="O16" i="145"/>
  <c r="N16" i="145"/>
  <c r="L16" i="145"/>
  <c r="J16" i="145"/>
  <c r="E7" i="145"/>
  <c r="E9" i="145" s="1"/>
  <c r="J6" i="145"/>
  <c r="N4" i="145"/>
  <c r="M4" i="145"/>
  <c r="L4" i="145"/>
  <c r="K4" i="145"/>
  <c r="I4" i="145"/>
  <c r="J5" i="145" s="1"/>
  <c r="H4" i="145"/>
  <c r="E4" i="145"/>
  <c r="O3" i="145"/>
  <c r="O4" i="145" s="1"/>
  <c r="N3" i="145"/>
  <c r="L3" i="145"/>
  <c r="J3" i="145"/>
  <c r="K63" i="144"/>
  <c r="K62" i="144"/>
  <c r="K61" i="144"/>
  <c r="K60" i="144"/>
  <c r="K59" i="144"/>
  <c r="E50" i="144"/>
  <c r="E52" i="144" s="1"/>
  <c r="M47" i="144"/>
  <c r="K47" i="144"/>
  <c r="I47" i="144"/>
  <c r="J48" i="144" s="1"/>
  <c r="H47" i="144"/>
  <c r="E47" i="144"/>
  <c r="O46" i="144"/>
  <c r="N46" i="144"/>
  <c r="L46" i="144"/>
  <c r="J46" i="144"/>
  <c r="O45" i="144"/>
  <c r="N45" i="144"/>
  <c r="L45" i="144"/>
  <c r="J45" i="144"/>
  <c r="O44" i="144"/>
  <c r="N44" i="144"/>
  <c r="L44" i="144"/>
  <c r="J44" i="144"/>
  <c r="O43" i="144"/>
  <c r="N43" i="144"/>
  <c r="L43" i="144"/>
  <c r="J43" i="144"/>
  <c r="O42" i="144"/>
  <c r="N42" i="144"/>
  <c r="L42" i="144"/>
  <c r="J42" i="144"/>
  <c r="O41" i="144"/>
  <c r="N41" i="144"/>
  <c r="L41" i="144"/>
  <c r="J41" i="144"/>
  <c r="O40" i="144"/>
  <c r="O47" i="144" s="1"/>
  <c r="N40" i="144"/>
  <c r="L40" i="144"/>
  <c r="J40" i="144"/>
  <c r="E26" i="144"/>
  <c r="E28" i="144" s="1"/>
  <c r="J25" i="144"/>
  <c r="M23" i="144"/>
  <c r="K23" i="144"/>
  <c r="I23" i="144"/>
  <c r="H23" i="144"/>
  <c r="J24" i="144" s="1"/>
  <c r="E23" i="144"/>
  <c r="O22" i="144"/>
  <c r="O23" i="144" s="1"/>
  <c r="N22" i="144"/>
  <c r="N23" i="144" s="1"/>
  <c r="L22" i="144"/>
  <c r="L23" i="144" s="1"/>
  <c r="J22" i="144"/>
  <c r="E16" i="144"/>
  <c r="E18" i="144" s="1"/>
  <c r="M13" i="144"/>
  <c r="K13" i="144"/>
  <c r="I13" i="144"/>
  <c r="H13" i="144"/>
  <c r="E13" i="144"/>
  <c r="O12" i="144"/>
  <c r="N12" i="144"/>
  <c r="L12" i="144"/>
  <c r="J12" i="144"/>
  <c r="O11" i="144"/>
  <c r="N11" i="144"/>
  <c r="L11" i="144"/>
  <c r="J11" i="144"/>
  <c r="O10" i="144"/>
  <c r="N10" i="144"/>
  <c r="L10" i="144"/>
  <c r="J10" i="144"/>
  <c r="O9" i="144"/>
  <c r="N9" i="144"/>
  <c r="L9" i="144"/>
  <c r="J9" i="144"/>
  <c r="O8" i="144"/>
  <c r="N8" i="144"/>
  <c r="L8" i="144"/>
  <c r="J8" i="144"/>
  <c r="O7" i="144"/>
  <c r="N7" i="144"/>
  <c r="L7" i="144"/>
  <c r="J7" i="144"/>
  <c r="O6" i="144"/>
  <c r="N6" i="144"/>
  <c r="L6" i="144"/>
  <c r="J6" i="144"/>
  <c r="O5" i="144"/>
  <c r="N5" i="144"/>
  <c r="L5" i="144"/>
  <c r="J5" i="144"/>
  <c r="O4" i="144"/>
  <c r="N4" i="144"/>
  <c r="L4" i="144"/>
  <c r="J4" i="144"/>
  <c r="O3" i="144"/>
  <c r="N3" i="144"/>
  <c r="L3" i="144"/>
  <c r="J3" i="144"/>
  <c r="L13" i="144" l="1"/>
  <c r="N20" i="145"/>
  <c r="N13" i="144"/>
  <c r="N47" i="144"/>
  <c r="L47" i="145"/>
  <c r="J15" i="144"/>
  <c r="L92" i="145"/>
  <c r="O92" i="145"/>
  <c r="J32" i="145"/>
  <c r="J14" i="144"/>
  <c r="L20" i="145"/>
  <c r="J60" i="145"/>
  <c r="O20" i="145"/>
  <c r="O13" i="144"/>
  <c r="J49" i="144"/>
  <c r="J22" i="145"/>
  <c r="J21" i="145"/>
  <c r="L47" i="144"/>
  <c r="J49" i="145"/>
  <c r="J61" i="145"/>
  <c r="T36" i="149"/>
  <c r="S36" i="149"/>
  <c r="T38" i="149"/>
  <c r="U38" i="149"/>
  <c r="S37" i="149"/>
  <c r="T37" i="149"/>
  <c r="W17" i="116"/>
  <c r="X17" i="116" s="1"/>
  <c r="N17" i="116"/>
  <c r="L17" i="116"/>
  <c r="U17" i="116" s="1"/>
  <c r="J17" i="116"/>
  <c r="W21" i="113"/>
  <c r="X21" i="113" s="1"/>
  <c r="N21" i="113"/>
  <c r="L21" i="113"/>
  <c r="S21" i="113" s="1"/>
  <c r="J21" i="113"/>
  <c r="W36" i="110"/>
  <c r="N36" i="110"/>
  <c r="L36" i="110"/>
  <c r="U36" i="110" s="1"/>
  <c r="J36" i="110"/>
  <c r="W35" i="110"/>
  <c r="N35" i="110"/>
  <c r="L35" i="110"/>
  <c r="U35" i="110" s="1"/>
  <c r="J35" i="110"/>
  <c r="V23" i="109"/>
  <c r="N23" i="109"/>
  <c r="L23" i="109"/>
  <c r="U23" i="109" s="1"/>
  <c r="J23" i="109"/>
  <c r="W18" i="103"/>
  <c r="X18" i="103" s="1"/>
  <c r="N18" i="103"/>
  <c r="L18" i="103"/>
  <c r="T18" i="103" s="1"/>
  <c r="J18" i="103"/>
  <c r="W17" i="94"/>
  <c r="X17" i="94" s="1"/>
  <c r="N17" i="94"/>
  <c r="L17" i="94"/>
  <c r="T17" i="94" s="1"/>
  <c r="J17" i="94"/>
  <c r="W28" i="88"/>
  <c r="X28" i="88" s="1"/>
  <c r="N28" i="88"/>
  <c r="L28" i="88"/>
  <c r="U28" i="88" s="1"/>
  <c r="J28" i="88"/>
  <c r="W31" i="76"/>
  <c r="X31" i="76" s="1"/>
  <c r="N31" i="76"/>
  <c r="L31" i="76"/>
  <c r="U31" i="76" s="1"/>
  <c r="J31" i="76"/>
  <c r="W30" i="76"/>
  <c r="X30" i="76" s="1"/>
  <c r="N30" i="76"/>
  <c r="L30" i="76"/>
  <c r="T30" i="76" s="1"/>
  <c r="J30" i="76"/>
  <c r="W33" i="142"/>
  <c r="X33" i="142" s="1"/>
  <c r="N33" i="142"/>
  <c r="L33" i="142"/>
  <c r="T33" i="142" s="1"/>
  <c r="J33" i="142"/>
  <c r="W27" i="140"/>
  <c r="X27" i="140" s="1"/>
  <c r="N27" i="140"/>
  <c r="L27" i="140"/>
  <c r="U27" i="140" s="1"/>
  <c r="J27" i="140"/>
  <c r="W17" i="67"/>
  <c r="X17" i="67" s="1"/>
  <c r="N17" i="67"/>
  <c r="L17" i="67"/>
  <c r="T17" i="67" s="1"/>
  <c r="J17" i="67"/>
  <c r="W47" i="66"/>
  <c r="X47" i="66" s="1"/>
  <c r="N47" i="66"/>
  <c r="L47" i="66"/>
  <c r="U47" i="66" s="1"/>
  <c r="J47" i="66"/>
  <c r="W51" i="65"/>
  <c r="X51" i="65" s="1"/>
  <c r="N51" i="65"/>
  <c r="L51" i="65"/>
  <c r="S51" i="65" s="1"/>
  <c r="J51" i="65"/>
  <c r="W50" i="65"/>
  <c r="X50" i="65" s="1"/>
  <c r="N50" i="65"/>
  <c r="L50" i="65"/>
  <c r="S50" i="65" s="1"/>
  <c r="J50" i="65"/>
  <c r="W49" i="65"/>
  <c r="X49" i="65" s="1"/>
  <c r="N49" i="65"/>
  <c r="L49" i="65"/>
  <c r="S49" i="65" s="1"/>
  <c r="J49" i="65"/>
  <c r="W48" i="65"/>
  <c r="X48" i="65" s="1"/>
  <c r="N48" i="65"/>
  <c r="L48" i="65"/>
  <c r="S48" i="65" s="1"/>
  <c r="J48" i="65"/>
  <c r="W47" i="65"/>
  <c r="X47" i="65" s="1"/>
  <c r="N47" i="65"/>
  <c r="L47" i="65"/>
  <c r="U47" i="65" s="1"/>
  <c r="J47" i="65"/>
  <c r="W46" i="65"/>
  <c r="X46" i="65" s="1"/>
  <c r="N46" i="65"/>
  <c r="L46" i="65"/>
  <c r="U46" i="65" s="1"/>
  <c r="J46" i="65"/>
  <c r="W45" i="65"/>
  <c r="X45" i="65" s="1"/>
  <c r="N45" i="65"/>
  <c r="L45" i="65"/>
  <c r="U45" i="65" s="1"/>
  <c r="J45" i="65"/>
  <c r="W44" i="65"/>
  <c r="X44" i="65" s="1"/>
  <c r="N44" i="65"/>
  <c r="L44" i="65"/>
  <c r="T44" i="65" s="1"/>
  <c r="J44" i="65"/>
  <c r="W30" i="64"/>
  <c r="X30" i="64" s="1"/>
  <c r="N30" i="64"/>
  <c r="L30" i="64"/>
  <c r="U30" i="64" s="1"/>
  <c r="J30" i="64"/>
  <c r="W29" i="64"/>
  <c r="X29" i="64" s="1"/>
  <c r="N29" i="64"/>
  <c r="L29" i="64"/>
  <c r="U29" i="64" s="1"/>
  <c r="J29" i="64"/>
  <c r="W28" i="64"/>
  <c r="X28" i="64" s="1"/>
  <c r="N28" i="64"/>
  <c r="L28" i="64"/>
  <c r="U28" i="64" s="1"/>
  <c r="J28" i="64"/>
  <c r="W30" i="61"/>
  <c r="X30" i="61" s="1"/>
  <c r="N30" i="61"/>
  <c r="L30" i="61"/>
  <c r="T30" i="61" s="1"/>
  <c r="J30" i="61"/>
  <c r="W29" i="61"/>
  <c r="X29" i="61" s="1"/>
  <c r="N29" i="61"/>
  <c r="L29" i="61"/>
  <c r="U29" i="61" s="1"/>
  <c r="J29" i="61"/>
  <c r="W28" i="61"/>
  <c r="X28" i="61" s="1"/>
  <c r="N28" i="61"/>
  <c r="L28" i="61"/>
  <c r="S28" i="61" s="1"/>
  <c r="J28" i="61"/>
  <c r="U28" i="61" l="1"/>
  <c r="T28" i="61"/>
  <c r="S17" i="116"/>
  <c r="T17" i="116"/>
  <c r="T21" i="113"/>
  <c r="U21" i="113"/>
  <c r="S36" i="110"/>
  <c r="S35" i="110"/>
  <c r="T35" i="110"/>
  <c r="T36" i="110"/>
  <c r="S23" i="109"/>
  <c r="T23" i="109"/>
  <c r="U18" i="103"/>
  <c r="S18" i="103"/>
  <c r="S17" i="94"/>
  <c r="U17" i="94"/>
  <c r="T28" i="88"/>
  <c r="S28" i="88"/>
  <c r="S30" i="76"/>
  <c r="U30" i="76"/>
  <c r="S31" i="76"/>
  <c r="T31" i="76"/>
  <c r="S33" i="142"/>
  <c r="U33" i="142"/>
  <c r="S27" i="140"/>
  <c r="T27" i="140"/>
  <c r="S17" i="67"/>
  <c r="U17" i="67"/>
  <c r="S47" i="66"/>
  <c r="T47" i="66"/>
  <c r="T50" i="65"/>
  <c r="U50" i="65"/>
  <c r="T48" i="65"/>
  <c r="U48" i="65"/>
  <c r="S47" i="65"/>
  <c r="T47" i="65"/>
  <c r="T49" i="65"/>
  <c r="S44" i="65"/>
  <c r="U49" i="65"/>
  <c r="T51" i="65"/>
  <c r="U44" i="65"/>
  <c r="S46" i="65"/>
  <c r="U51" i="65"/>
  <c r="S45" i="65"/>
  <c r="T46" i="65"/>
  <c r="T45" i="65"/>
  <c r="S30" i="64"/>
  <c r="T30" i="64"/>
  <c r="S29" i="64"/>
  <c r="T29" i="64"/>
  <c r="S28" i="64"/>
  <c r="T28" i="64"/>
  <c r="U30" i="61"/>
  <c r="S30" i="61"/>
  <c r="S29" i="61"/>
  <c r="T29" i="61"/>
  <c r="W32" i="81"/>
  <c r="X32" i="81" s="1"/>
  <c r="N32" i="81"/>
  <c r="L32" i="81"/>
  <c r="T32" i="81" s="1"/>
  <c r="J32" i="81"/>
  <c r="W31" i="81"/>
  <c r="X31" i="81" s="1"/>
  <c r="U31" i="81"/>
  <c r="T31" i="81"/>
  <c r="S31" i="81"/>
  <c r="N31" i="81"/>
  <c r="L31" i="81"/>
  <c r="J31" i="81"/>
  <c r="W30" i="81"/>
  <c r="X30" i="81" s="1"/>
  <c r="N30" i="81"/>
  <c r="L30" i="81"/>
  <c r="T30" i="81" s="1"/>
  <c r="J30" i="81"/>
  <c r="W29" i="81"/>
  <c r="X29" i="81" s="1"/>
  <c r="T29" i="81"/>
  <c r="N29" i="81"/>
  <c r="L29" i="81"/>
  <c r="S29" i="81" s="1"/>
  <c r="J29" i="81"/>
  <c r="W28" i="81"/>
  <c r="X28" i="81" s="1"/>
  <c r="N28" i="81"/>
  <c r="L28" i="81"/>
  <c r="T28" i="81" s="1"/>
  <c r="J28" i="81"/>
  <c r="R16" i="81"/>
  <c r="Q16" i="81"/>
  <c r="O16" i="81"/>
  <c r="M16" i="81"/>
  <c r="K16" i="81"/>
  <c r="I16" i="81"/>
  <c r="H16" i="81"/>
  <c r="E16" i="81"/>
  <c r="W15" i="81"/>
  <c r="X15" i="81" s="1"/>
  <c r="N15" i="81"/>
  <c r="L15" i="81"/>
  <c r="T15" i="81" s="1"/>
  <c r="J15" i="81"/>
  <c r="W14" i="81"/>
  <c r="X14" i="81" s="1"/>
  <c r="U14" i="81"/>
  <c r="T14" i="81"/>
  <c r="S14" i="81"/>
  <c r="N14" i="81"/>
  <c r="L14" i="81"/>
  <c r="J14" i="81"/>
  <c r="W13" i="81"/>
  <c r="X13" i="81" s="1"/>
  <c r="N13" i="81"/>
  <c r="L13" i="81"/>
  <c r="T13" i="81" s="1"/>
  <c r="J13" i="81"/>
  <c r="W12" i="81"/>
  <c r="X12" i="81" s="1"/>
  <c r="U12" i="81"/>
  <c r="N12" i="81"/>
  <c r="L12" i="81"/>
  <c r="T12" i="81" s="1"/>
  <c r="J12" i="81"/>
  <c r="W11" i="81"/>
  <c r="X11" i="81" s="1"/>
  <c r="N11" i="81"/>
  <c r="L11" i="81"/>
  <c r="U11" i="81" s="1"/>
  <c r="J11" i="81"/>
  <c r="W3" i="81"/>
  <c r="X3" i="81" s="1"/>
  <c r="N3" i="81"/>
  <c r="L3" i="81"/>
  <c r="T3" i="81" s="1"/>
  <c r="J3" i="81"/>
  <c r="W2" i="81"/>
  <c r="X2" i="81" s="1"/>
  <c r="N2" i="81"/>
  <c r="L2" i="81"/>
  <c r="S2" i="81" s="1"/>
  <c r="J2" i="81"/>
  <c r="W25" i="58"/>
  <c r="X25" i="58" s="1"/>
  <c r="N25" i="58"/>
  <c r="L25" i="58"/>
  <c r="U25" i="58" s="1"/>
  <c r="J25" i="58"/>
  <c r="W24" i="58"/>
  <c r="X24" i="58" s="1"/>
  <c r="N24" i="58"/>
  <c r="L24" i="58"/>
  <c r="U24" i="58" s="1"/>
  <c r="J24" i="58"/>
  <c r="W23" i="58"/>
  <c r="X23" i="58" s="1"/>
  <c r="N23" i="58"/>
  <c r="L23" i="58"/>
  <c r="T23" i="58" s="1"/>
  <c r="J23" i="58"/>
  <c r="W22" i="58"/>
  <c r="X22" i="58" s="1"/>
  <c r="N22" i="58"/>
  <c r="L22" i="58"/>
  <c r="S22" i="58" s="1"/>
  <c r="J22" i="58"/>
  <c r="W21" i="58"/>
  <c r="X21" i="58" s="1"/>
  <c r="N21" i="58"/>
  <c r="L21" i="58"/>
  <c r="U21" i="58" s="1"/>
  <c r="J21" i="58"/>
  <c r="W8" i="58"/>
  <c r="X8" i="58" s="1"/>
  <c r="N8" i="58"/>
  <c r="L8" i="58"/>
  <c r="U8" i="58" s="1"/>
  <c r="J8" i="58"/>
  <c r="W7" i="58"/>
  <c r="X7" i="58" s="1"/>
  <c r="N7" i="58"/>
  <c r="L7" i="58"/>
  <c r="S7" i="58" s="1"/>
  <c r="J7" i="58"/>
  <c r="W5" i="58"/>
  <c r="X5" i="58" s="1"/>
  <c r="N5" i="58"/>
  <c r="L5" i="58"/>
  <c r="S5" i="58" s="1"/>
  <c r="J5" i="58"/>
  <c r="W2" i="58"/>
  <c r="X2" i="58" s="1"/>
  <c r="N2" i="58"/>
  <c r="L2" i="58"/>
  <c r="S2" i="58" s="1"/>
  <c r="J2" i="58"/>
  <c r="W4" i="58"/>
  <c r="X4" i="58" s="1"/>
  <c r="N4" i="58"/>
  <c r="L4" i="58"/>
  <c r="U4" i="58" s="1"/>
  <c r="J4" i="58"/>
  <c r="W3" i="58"/>
  <c r="X3" i="58" s="1"/>
  <c r="N3" i="58"/>
  <c r="L3" i="58"/>
  <c r="U3" i="58" s="1"/>
  <c r="J3" i="58"/>
  <c r="W6" i="58"/>
  <c r="X6" i="58" s="1"/>
  <c r="N6" i="58"/>
  <c r="L6" i="58"/>
  <c r="U6" i="58" s="1"/>
  <c r="J6" i="58"/>
  <c r="W2" i="53"/>
  <c r="X2" i="53" s="1"/>
  <c r="L2" i="53"/>
  <c r="U2" i="53" s="1"/>
  <c r="J2" i="53"/>
  <c r="W31" i="52"/>
  <c r="X31" i="52" s="1"/>
  <c r="N31" i="52"/>
  <c r="L31" i="52"/>
  <c r="U31" i="52" s="1"/>
  <c r="J31" i="52"/>
  <c r="W30" i="52"/>
  <c r="X30" i="52" s="1"/>
  <c r="N30" i="52"/>
  <c r="L30" i="52"/>
  <c r="U30" i="52" s="1"/>
  <c r="J30" i="52"/>
  <c r="W18" i="51"/>
  <c r="X18" i="51" s="1"/>
  <c r="N18" i="51"/>
  <c r="L18" i="51"/>
  <c r="U18" i="51" s="1"/>
  <c r="J18" i="51"/>
  <c r="W24" i="48"/>
  <c r="X24" i="48" s="1"/>
  <c r="N24" i="48"/>
  <c r="L24" i="48"/>
  <c r="U24" i="48" s="1"/>
  <c r="J24" i="48"/>
  <c r="W23" i="48"/>
  <c r="X23" i="48" s="1"/>
  <c r="N23" i="48"/>
  <c r="L23" i="48"/>
  <c r="U23" i="48" s="1"/>
  <c r="J23" i="48"/>
  <c r="W22" i="48"/>
  <c r="X22" i="48" s="1"/>
  <c r="N22" i="48"/>
  <c r="L22" i="48"/>
  <c r="S22" i="48" s="1"/>
  <c r="J22" i="48"/>
  <c r="W21" i="48"/>
  <c r="X21" i="48" s="1"/>
  <c r="N21" i="48"/>
  <c r="L21" i="48"/>
  <c r="T21" i="48" s="1"/>
  <c r="J21" i="48"/>
  <c r="W8" i="48"/>
  <c r="X8" i="48" s="1"/>
  <c r="N8" i="48"/>
  <c r="L8" i="48"/>
  <c r="U8" i="48" s="1"/>
  <c r="J8" i="48"/>
  <c r="W2" i="48"/>
  <c r="X2" i="48" s="1"/>
  <c r="N2" i="48"/>
  <c r="L2" i="48"/>
  <c r="U2" i="48" s="1"/>
  <c r="J2" i="48"/>
  <c r="J11" i="46"/>
  <c r="L11" i="46"/>
  <c r="S11" i="46" s="1"/>
  <c r="N11" i="46"/>
  <c r="W11" i="46"/>
  <c r="X11" i="46" s="1"/>
  <c r="W27" i="46"/>
  <c r="X27" i="46" s="1"/>
  <c r="N27" i="46"/>
  <c r="L27" i="46"/>
  <c r="U27" i="46" s="1"/>
  <c r="J27" i="46"/>
  <c r="W33" i="44"/>
  <c r="X33" i="44" s="1"/>
  <c r="N33" i="44"/>
  <c r="L33" i="44"/>
  <c r="U33" i="44" s="1"/>
  <c r="J33" i="44"/>
  <c r="W32" i="44"/>
  <c r="X32" i="44" s="1"/>
  <c r="N32" i="44"/>
  <c r="L32" i="44"/>
  <c r="T32" i="44" s="1"/>
  <c r="J32" i="44"/>
  <c r="W31" i="44"/>
  <c r="X31" i="44" s="1"/>
  <c r="N31" i="44"/>
  <c r="L31" i="44"/>
  <c r="T31" i="44" s="1"/>
  <c r="J31" i="44"/>
  <c r="W30" i="44"/>
  <c r="X30" i="44" s="1"/>
  <c r="N30" i="44"/>
  <c r="L30" i="44"/>
  <c r="S30" i="44" s="1"/>
  <c r="J30" i="44"/>
  <c r="W29" i="44"/>
  <c r="X29" i="44" s="1"/>
  <c r="N29" i="44"/>
  <c r="L29" i="44"/>
  <c r="S29" i="44" s="1"/>
  <c r="J29" i="44"/>
  <c r="W37" i="43"/>
  <c r="N37" i="43"/>
  <c r="L37" i="43"/>
  <c r="U37" i="43" s="1"/>
  <c r="J37" i="43"/>
  <c r="W36" i="43"/>
  <c r="N36" i="43"/>
  <c r="L36" i="43"/>
  <c r="U36" i="43" s="1"/>
  <c r="J36" i="43"/>
  <c r="W35" i="43"/>
  <c r="N35" i="43"/>
  <c r="L35" i="43"/>
  <c r="U35" i="43" s="1"/>
  <c r="J35" i="43"/>
  <c r="W34" i="43"/>
  <c r="N34" i="43"/>
  <c r="L34" i="43"/>
  <c r="S34" i="43" s="1"/>
  <c r="J34" i="43"/>
  <c r="W28" i="39"/>
  <c r="X28" i="39" s="1"/>
  <c r="N28" i="39"/>
  <c r="L28" i="39"/>
  <c r="U28" i="39" s="1"/>
  <c r="J28" i="39"/>
  <c r="W18" i="32"/>
  <c r="X18" i="32" s="1"/>
  <c r="N18" i="32"/>
  <c r="L18" i="32"/>
  <c r="U18" i="32" s="1"/>
  <c r="J18" i="32"/>
  <c r="W51" i="152"/>
  <c r="X51" i="152" s="1"/>
  <c r="N51" i="152"/>
  <c r="L51" i="152"/>
  <c r="U51" i="152" s="1"/>
  <c r="J51" i="152"/>
  <c r="W50" i="152"/>
  <c r="X50" i="152" s="1"/>
  <c r="N50" i="152"/>
  <c r="L50" i="152"/>
  <c r="S50" i="152" s="1"/>
  <c r="J50" i="152"/>
  <c r="W49" i="152"/>
  <c r="X49" i="152" s="1"/>
  <c r="N49" i="152"/>
  <c r="L49" i="152"/>
  <c r="T49" i="152" s="1"/>
  <c r="J49" i="152"/>
  <c r="W25" i="29"/>
  <c r="X25" i="29" s="1"/>
  <c r="N25" i="29"/>
  <c r="L25" i="29"/>
  <c r="T25" i="29" s="1"/>
  <c r="J25" i="29"/>
  <c r="W43" i="28"/>
  <c r="X43" i="28" s="1"/>
  <c r="N43" i="28"/>
  <c r="L43" i="28"/>
  <c r="S43" i="28" s="1"/>
  <c r="J43" i="28"/>
  <c r="W42" i="28"/>
  <c r="X42" i="28" s="1"/>
  <c r="N42" i="28"/>
  <c r="L42" i="28"/>
  <c r="U42" i="28" s="1"/>
  <c r="J42" i="28"/>
  <c r="W41" i="28"/>
  <c r="X41" i="28" s="1"/>
  <c r="N41" i="28"/>
  <c r="L41" i="28"/>
  <c r="S41" i="28" s="1"/>
  <c r="J41" i="28"/>
  <c r="W40" i="28"/>
  <c r="X40" i="28" s="1"/>
  <c r="N40" i="28"/>
  <c r="L40" i="28"/>
  <c r="S40" i="28" s="1"/>
  <c r="J40" i="28"/>
  <c r="W39" i="28"/>
  <c r="X39" i="28" s="1"/>
  <c r="N39" i="28"/>
  <c r="L39" i="28"/>
  <c r="U39" i="28" s="1"/>
  <c r="J39" i="28"/>
  <c r="W32" i="27"/>
  <c r="X32" i="27" s="1"/>
  <c r="N32" i="27"/>
  <c r="L32" i="27"/>
  <c r="T32" i="27" s="1"/>
  <c r="J32" i="27"/>
  <c r="W31" i="27"/>
  <c r="X31" i="27" s="1"/>
  <c r="N31" i="27"/>
  <c r="L31" i="27"/>
  <c r="U31" i="27" s="1"/>
  <c r="J31" i="27"/>
  <c r="W21" i="26"/>
  <c r="X21" i="26" s="1"/>
  <c r="N21" i="26"/>
  <c r="L21" i="26"/>
  <c r="S21" i="26" s="1"/>
  <c r="J21" i="26"/>
  <c r="W43" i="25"/>
  <c r="X43" i="25" s="1"/>
  <c r="N43" i="25"/>
  <c r="L43" i="25"/>
  <c r="U43" i="25" s="1"/>
  <c r="J43" i="25"/>
  <c r="W42" i="25"/>
  <c r="X42" i="25" s="1"/>
  <c r="N42" i="25"/>
  <c r="L42" i="25"/>
  <c r="T42" i="25" s="1"/>
  <c r="J42" i="25"/>
  <c r="W41" i="25"/>
  <c r="X41" i="25" s="1"/>
  <c r="N41" i="25"/>
  <c r="L41" i="25"/>
  <c r="U41" i="25" s="1"/>
  <c r="J41" i="25"/>
  <c r="W40" i="25"/>
  <c r="X40" i="25" s="1"/>
  <c r="N40" i="25"/>
  <c r="L40" i="25"/>
  <c r="T40" i="25" s="1"/>
  <c r="J40" i="25"/>
  <c r="W39" i="25"/>
  <c r="X39" i="25" s="1"/>
  <c r="N39" i="25"/>
  <c r="L39" i="25"/>
  <c r="T39" i="25" s="1"/>
  <c r="J39" i="25"/>
  <c r="W56" i="24"/>
  <c r="X56" i="24" s="1"/>
  <c r="N56" i="24"/>
  <c r="L56" i="24"/>
  <c r="U56" i="24" s="1"/>
  <c r="J56" i="24"/>
  <c r="W55" i="24"/>
  <c r="X55" i="24" s="1"/>
  <c r="N55" i="24"/>
  <c r="L55" i="24"/>
  <c r="U55" i="24" s="1"/>
  <c r="J55" i="24"/>
  <c r="W54" i="24"/>
  <c r="X54" i="24" s="1"/>
  <c r="N54" i="24"/>
  <c r="L54" i="24"/>
  <c r="S54" i="24" s="1"/>
  <c r="J54" i="24"/>
  <c r="W53" i="24"/>
  <c r="X53" i="24" s="1"/>
  <c r="N53" i="24"/>
  <c r="L53" i="24"/>
  <c r="S53" i="24" s="1"/>
  <c r="J53" i="24"/>
  <c r="W52" i="24"/>
  <c r="X52" i="24" s="1"/>
  <c r="N52" i="24"/>
  <c r="L52" i="24"/>
  <c r="T52" i="24" s="1"/>
  <c r="J52" i="24"/>
  <c r="W51" i="24"/>
  <c r="X51" i="24" s="1"/>
  <c r="N51" i="24"/>
  <c r="L51" i="24"/>
  <c r="U51" i="24" s="1"/>
  <c r="J51" i="24"/>
  <c r="W50" i="24"/>
  <c r="X50" i="24" s="1"/>
  <c r="N50" i="24"/>
  <c r="L50" i="24"/>
  <c r="S50" i="24" s="1"/>
  <c r="J50" i="24"/>
  <c r="W29" i="22"/>
  <c r="X29" i="22" s="1"/>
  <c r="N29" i="22"/>
  <c r="L29" i="22"/>
  <c r="T29" i="22" s="1"/>
  <c r="J29" i="22"/>
  <c r="W28" i="22"/>
  <c r="X28" i="22" s="1"/>
  <c r="N28" i="22"/>
  <c r="L28" i="22"/>
  <c r="U28" i="22" s="1"/>
  <c r="J28" i="22"/>
  <c r="W26" i="150"/>
  <c r="X26" i="150" s="1"/>
  <c r="N26" i="150"/>
  <c r="L26" i="150"/>
  <c r="U26" i="150" s="1"/>
  <c r="J26" i="150"/>
  <c r="W6" i="150"/>
  <c r="X6" i="150" s="1"/>
  <c r="N6" i="150"/>
  <c r="L6" i="150"/>
  <c r="T6" i="150" s="1"/>
  <c r="J6" i="150"/>
  <c r="J2" i="20"/>
  <c r="L2" i="20"/>
  <c r="T2" i="20" s="1"/>
  <c r="N2" i="20"/>
  <c r="W2" i="20"/>
  <c r="X2" i="20"/>
  <c r="J3" i="20"/>
  <c r="L3" i="20"/>
  <c r="T3" i="20" s="1"/>
  <c r="N3" i="20"/>
  <c r="S3" i="20"/>
  <c r="W3" i="20"/>
  <c r="X3" i="20" s="1"/>
  <c r="W30" i="139"/>
  <c r="X30" i="139" s="1"/>
  <c r="N30" i="139"/>
  <c r="L30" i="139"/>
  <c r="U30" i="139" s="1"/>
  <c r="J30" i="139"/>
  <c r="S2" i="20" l="1"/>
  <c r="T22" i="58"/>
  <c r="U3" i="20"/>
  <c r="U22" i="58"/>
  <c r="J18" i="81"/>
  <c r="N16" i="81"/>
  <c r="J17" i="81"/>
  <c r="U29" i="81"/>
  <c r="U2" i="20"/>
  <c r="U11" i="46"/>
  <c r="T11" i="46"/>
  <c r="X16" i="81"/>
  <c r="T2" i="81"/>
  <c r="T11" i="81"/>
  <c r="W16" i="81"/>
  <c r="U30" i="81"/>
  <c r="S32" i="81"/>
  <c r="L16" i="81"/>
  <c r="U2" i="81"/>
  <c r="S13" i="81"/>
  <c r="U28" i="81"/>
  <c r="S30" i="81"/>
  <c r="U13" i="81"/>
  <c r="S15" i="81"/>
  <c r="S3" i="81"/>
  <c r="U15" i="81"/>
  <c r="U32" i="81"/>
  <c r="U3" i="81"/>
  <c r="S12" i="81"/>
  <c r="S11" i="81"/>
  <c r="S28" i="81"/>
  <c r="T24" i="58"/>
  <c r="S24" i="58"/>
  <c r="U23" i="58"/>
  <c r="S25" i="58"/>
  <c r="T25" i="58"/>
  <c r="S23" i="58"/>
  <c r="S21" i="58"/>
  <c r="T21" i="58"/>
  <c r="U7" i="58"/>
  <c r="T7" i="58"/>
  <c r="T2" i="58"/>
  <c r="U2" i="58"/>
  <c r="S3" i="58"/>
  <c r="T5" i="58"/>
  <c r="U5" i="58"/>
  <c r="S8" i="58"/>
  <c r="T8" i="58"/>
  <c r="T4" i="58"/>
  <c r="T3" i="58"/>
  <c r="S4" i="58"/>
  <c r="S6" i="58"/>
  <c r="T6" i="58"/>
  <c r="S2" i="53"/>
  <c r="T2" i="53"/>
  <c r="S30" i="52"/>
  <c r="S31" i="52"/>
  <c r="T30" i="52"/>
  <c r="T31" i="52"/>
  <c r="S18" i="51"/>
  <c r="T18" i="51"/>
  <c r="S23" i="48"/>
  <c r="T23" i="48"/>
  <c r="T22" i="48"/>
  <c r="S24" i="48"/>
  <c r="T24" i="48"/>
  <c r="U22" i="48"/>
  <c r="S21" i="48"/>
  <c r="U21" i="48"/>
  <c r="T2" i="48"/>
  <c r="S8" i="48"/>
  <c r="S2" i="48"/>
  <c r="T8" i="48"/>
  <c r="S27" i="46"/>
  <c r="T27" i="46"/>
  <c r="T30" i="44"/>
  <c r="S32" i="44"/>
  <c r="U30" i="44"/>
  <c r="U32" i="44"/>
  <c r="T29" i="44"/>
  <c r="S31" i="44"/>
  <c r="S33" i="44"/>
  <c r="T33" i="44"/>
  <c r="U29" i="44"/>
  <c r="U31" i="44"/>
  <c r="S37" i="43"/>
  <c r="T37" i="43"/>
  <c r="S35" i="43"/>
  <c r="T35" i="43"/>
  <c r="S36" i="43"/>
  <c r="T36" i="43"/>
  <c r="T34" i="43"/>
  <c r="U34" i="43"/>
  <c r="S28" i="39"/>
  <c r="T28" i="39"/>
  <c r="S18" i="32"/>
  <c r="T18" i="32"/>
  <c r="S51" i="152"/>
  <c r="T51" i="152"/>
  <c r="T50" i="152"/>
  <c r="U50" i="152"/>
  <c r="U49" i="152"/>
  <c r="S49" i="152"/>
  <c r="S25" i="29"/>
  <c r="U25" i="29"/>
  <c r="T42" i="28"/>
  <c r="T40" i="28"/>
  <c r="U40" i="28"/>
  <c r="S42" i="28"/>
  <c r="S39" i="28"/>
  <c r="T39" i="28"/>
  <c r="T41" i="28"/>
  <c r="U41" i="28"/>
  <c r="T43" i="28"/>
  <c r="U43" i="28"/>
  <c r="S31" i="27"/>
  <c r="T31" i="27"/>
  <c r="S32" i="27"/>
  <c r="U32" i="27"/>
  <c r="T21" i="26"/>
  <c r="U21" i="26"/>
  <c r="U42" i="25"/>
  <c r="S40" i="25"/>
  <c r="U40" i="25"/>
  <c r="S42" i="25"/>
  <c r="S41" i="25"/>
  <c r="U39" i="25"/>
  <c r="T41" i="25"/>
  <c r="S43" i="25"/>
  <c r="T43" i="25"/>
  <c r="S39" i="25"/>
  <c r="S55" i="24"/>
  <c r="T55" i="24"/>
  <c r="T53" i="24"/>
  <c r="U53" i="24"/>
  <c r="S52" i="24"/>
  <c r="U52" i="24"/>
  <c r="T54" i="24"/>
  <c r="U54" i="24"/>
  <c r="T56" i="24"/>
  <c r="S51" i="24"/>
  <c r="T51" i="24"/>
  <c r="S56" i="24"/>
  <c r="T50" i="24"/>
  <c r="U50" i="24"/>
  <c r="U29" i="22"/>
  <c r="S29" i="22"/>
  <c r="S28" i="22"/>
  <c r="T28" i="22"/>
  <c r="S26" i="150"/>
  <c r="T26" i="150"/>
  <c r="U6" i="150"/>
  <c r="S6" i="150"/>
  <c r="S30" i="139"/>
  <c r="T30" i="139"/>
  <c r="O18" i="81" l="1"/>
  <c r="U18" i="81"/>
  <c r="R18" i="81"/>
  <c r="W44" i="18" l="1"/>
  <c r="X44" i="18" s="1"/>
  <c r="N44" i="18"/>
  <c r="L44" i="18"/>
  <c r="S44" i="18" s="1"/>
  <c r="J44" i="18"/>
  <c r="W43" i="18"/>
  <c r="X43" i="18" s="1"/>
  <c r="N43" i="18"/>
  <c r="L43" i="18"/>
  <c r="T43" i="18" s="1"/>
  <c r="J43" i="18"/>
  <c r="W42" i="18"/>
  <c r="X42" i="18" s="1"/>
  <c r="N42" i="18"/>
  <c r="L42" i="18"/>
  <c r="U42" i="18" s="1"/>
  <c r="J42" i="18"/>
  <c r="W41" i="18"/>
  <c r="X41" i="18" s="1"/>
  <c r="N41" i="18"/>
  <c r="L41" i="18"/>
  <c r="U41" i="18" s="1"/>
  <c r="J41" i="18"/>
  <c r="W27" i="138"/>
  <c r="X27" i="138" s="1"/>
  <c r="N27" i="138"/>
  <c r="L27" i="138"/>
  <c r="U27" i="138" s="1"/>
  <c r="J27" i="138"/>
  <c r="W39" i="12"/>
  <c r="X39" i="12" s="1"/>
  <c r="N39" i="12"/>
  <c r="L39" i="12"/>
  <c r="U39" i="12" s="1"/>
  <c r="J39" i="12"/>
  <c r="W38" i="12"/>
  <c r="X38" i="12" s="1"/>
  <c r="N38" i="12"/>
  <c r="L38" i="12"/>
  <c r="U38" i="12" s="1"/>
  <c r="J38" i="12"/>
  <c r="W37" i="12"/>
  <c r="X37" i="12" s="1"/>
  <c r="N37" i="12"/>
  <c r="L37" i="12"/>
  <c r="U37" i="12" s="1"/>
  <c r="J37" i="12"/>
  <c r="W36" i="12"/>
  <c r="X36" i="12" s="1"/>
  <c r="N36" i="12"/>
  <c r="L36" i="12"/>
  <c r="U36" i="12" s="1"/>
  <c r="J36" i="12"/>
  <c r="S43" i="18" l="1"/>
  <c r="U43" i="18"/>
  <c r="T44" i="18"/>
  <c r="U44" i="18"/>
  <c r="T41" i="18"/>
  <c r="S41" i="18"/>
  <c r="S42" i="18"/>
  <c r="T42" i="18"/>
  <c r="S27" i="138"/>
  <c r="T27" i="138"/>
  <c r="S36" i="12"/>
  <c r="T36" i="12"/>
  <c r="S38" i="12"/>
  <c r="T38" i="12"/>
  <c r="S37" i="12"/>
  <c r="T37" i="12"/>
  <c r="S39" i="12"/>
  <c r="T39" i="12"/>
  <c r="R6" i="154" l="1"/>
  <c r="Q6" i="154"/>
  <c r="O6" i="154"/>
  <c r="M6" i="154"/>
  <c r="K6" i="154"/>
  <c r="I6" i="154"/>
  <c r="H6" i="154"/>
  <c r="E6" i="154"/>
  <c r="W5" i="154"/>
  <c r="X5" i="154" s="1"/>
  <c r="N5" i="154"/>
  <c r="L5" i="154"/>
  <c r="J5" i="154"/>
  <c r="W3" i="154"/>
  <c r="X3" i="154" s="1"/>
  <c r="N3" i="154"/>
  <c r="L3" i="154"/>
  <c r="J3" i="154"/>
  <c r="W2" i="154"/>
  <c r="X2" i="154" s="1"/>
  <c r="N2" i="154"/>
  <c r="L2" i="154"/>
  <c r="S2" i="154" s="1"/>
  <c r="J2" i="154"/>
  <c r="W4" i="154"/>
  <c r="X4" i="154" s="1"/>
  <c r="N4" i="154"/>
  <c r="L4" i="154"/>
  <c r="T4" i="154" s="1"/>
  <c r="J4" i="154"/>
  <c r="J2" i="55"/>
  <c r="L2" i="55"/>
  <c r="T2" i="55" s="1"/>
  <c r="N2" i="55"/>
  <c r="S2" i="55"/>
  <c r="W2" i="55"/>
  <c r="X2" i="55"/>
  <c r="W13" i="47"/>
  <c r="X13" i="47" s="1"/>
  <c r="N13" i="47"/>
  <c r="L13" i="47"/>
  <c r="U13" i="47" s="1"/>
  <c r="J13" i="47"/>
  <c r="W12" i="47"/>
  <c r="X12" i="47" s="1"/>
  <c r="N12" i="47"/>
  <c r="L12" i="47"/>
  <c r="U12" i="47" s="1"/>
  <c r="J12" i="47"/>
  <c r="W11" i="47"/>
  <c r="X11" i="47" s="1"/>
  <c r="N11" i="47"/>
  <c r="L11" i="47"/>
  <c r="U11" i="47" s="1"/>
  <c r="J11" i="47"/>
  <c r="W10" i="47"/>
  <c r="X10" i="47" s="1"/>
  <c r="N10" i="47"/>
  <c r="L10" i="47"/>
  <c r="U10" i="47" s="1"/>
  <c r="J10" i="47"/>
  <c r="W9" i="47"/>
  <c r="X9" i="47" s="1"/>
  <c r="N9" i="47"/>
  <c r="L9" i="47"/>
  <c r="U9" i="47" s="1"/>
  <c r="J9" i="47"/>
  <c r="W8" i="47"/>
  <c r="X8" i="47" s="1"/>
  <c r="N8" i="47"/>
  <c r="L8" i="47"/>
  <c r="T8" i="47" s="1"/>
  <c r="J8" i="47"/>
  <c r="W7" i="47"/>
  <c r="X7" i="47" s="1"/>
  <c r="N7" i="47"/>
  <c r="L7" i="47"/>
  <c r="U7" i="47" s="1"/>
  <c r="J7" i="47"/>
  <c r="W6" i="47"/>
  <c r="X6" i="47" s="1"/>
  <c r="N6" i="47"/>
  <c r="L6" i="47"/>
  <c r="U6" i="47" s="1"/>
  <c r="J6" i="47"/>
  <c r="W5" i="47"/>
  <c r="X5" i="47" s="1"/>
  <c r="N5" i="47"/>
  <c r="L5" i="47"/>
  <c r="U5" i="47" s="1"/>
  <c r="J5" i="47"/>
  <c r="W4" i="47"/>
  <c r="X4" i="47" s="1"/>
  <c r="N4" i="47"/>
  <c r="L4" i="47"/>
  <c r="U4" i="47" s="1"/>
  <c r="J4" i="47"/>
  <c r="W3" i="47"/>
  <c r="X3" i="47" s="1"/>
  <c r="N3" i="47"/>
  <c r="L3" i="47"/>
  <c r="U3" i="47" s="1"/>
  <c r="J3" i="47"/>
  <c r="W2" i="47"/>
  <c r="X2" i="47" s="1"/>
  <c r="N2" i="47"/>
  <c r="L2" i="47"/>
  <c r="U2" i="47" s="1"/>
  <c r="J2" i="47"/>
  <c r="W17" i="32"/>
  <c r="X17" i="32" s="1"/>
  <c r="N17" i="32"/>
  <c r="L17" i="32"/>
  <c r="U17" i="32" s="1"/>
  <c r="J17" i="32"/>
  <c r="T10" i="47" l="1"/>
  <c r="U2" i="55"/>
  <c r="S10" i="47"/>
  <c r="U2" i="154"/>
  <c r="S4" i="154"/>
  <c r="U4" i="154"/>
  <c r="U3" i="154"/>
  <c r="T3" i="154"/>
  <c r="S3" i="154"/>
  <c r="W6" i="154"/>
  <c r="J7" i="154"/>
  <c r="U5" i="154"/>
  <c r="T5" i="154"/>
  <c r="S5" i="154"/>
  <c r="X6" i="154"/>
  <c r="L6" i="154"/>
  <c r="T2" i="154"/>
  <c r="J8" i="154"/>
  <c r="N6" i="154"/>
  <c r="U8" i="47"/>
  <c r="T3" i="47"/>
  <c r="S3" i="47"/>
  <c r="S5" i="47"/>
  <c r="S12" i="47"/>
  <c r="T5" i="47"/>
  <c r="T12" i="47"/>
  <c r="S7" i="47"/>
  <c r="T7" i="47"/>
  <c r="S2" i="47"/>
  <c r="S9" i="47"/>
  <c r="T2" i="47"/>
  <c r="T9" i="47"/>
  <c r="S4" i="47"/>
  <c r="S11" i="47"/>
  <c r="T4" i="47"/>
  <c r="T11" i="47"/>
  <c r="S6" i="47"/>
  <c r="S13" i="47"/>
  <c r="T6" i="47"/>
  <c r="T13" i="47"/>
  <c r="S8" i="47"/>
  <c r="S17" i="32"/>
  <c r="T17" i="32"/>
  <c r="U8" i="154" l="1"/>
  <c r="R8" i="154"/>
  <c r="O8" i="154"/>
  <c r="W20" i="50" l="1"/>
  <c r="X20" i="50" s="1"/>
  <c r="N20" i="50"/>
  <c r="L20" i="50"/>
  <c r="T20" i="50" s="1"/>
  <c r="J20" i="50"/>
  <c r="W16" i="70"/>
  <c r="N16" i="70"/>
  <c r="L16" i="70"/>
  <c r="T16" i="70" s="1"/>
  <c r="J16" i="70"/>
  <c r="U20" i="50" l="1"/>
  <c r="S20" i="50"/>
  <c r="U16" i="70"/>
  <c r="S16" i="70"/>
  <c r="R4" i="153" l="1"/>
  <c r="Q4" i="153"/>
  <c r="O4" i="153"/>
  <c r="M4" i="153"/>
  <c r="K4" i="153"/>
  <c r="I4" i="153"/>
  <c r="H4" i="153"/>
  <c r="E4" i="153"/>
  <c r="W3" i="153"/>
  <c r="X3" i="153" s="1"/>
  <c r="N3" i="153"/>
  <c r="L3" i="153"/>
  <c r="J3" i="153"/>
  <c r="W2" i="153"/>
  <c r="X2" i="153" s="1"/>
  <c r="U2" i="153"/>
  <c r="N2" i="153"/>
  <c r="L2" i="153"/>
  <c r="T2" i="153" s="1"/>
  <c r="J2" i="153"/>
  <c r="S2" i="153" l="1"/>
  <c r="J5" i="153"/>
  <c r="T3" i="153"/>
  <c r="U3" i="153"/>
  <c r="S3" i="153"/>
  <c r="W4" i="153"/>
  <c r="X4" i="153"/>
  <c r="J6" i="153"/>
  <c r="L4" i="153"/>
  <c r="N4" i="153"/>
  <c r="J2" i="30"/>
  <c r="L2" i="30"/>
  <c r="T2" i="30" s="1"/>
  <c r="N2" i="30"/>
  <c r="S2" i="30"/>
  <c r="W2" i="30"/>
  <c r="X2" i="30"/>
  <c r="J3" i="30"/>
  <c r="L3" i="30"/>
  <c r="N3" i="30"/>
  <c r="S3" i="30"/>
  <c r="T3" i="30"/>
  <c r="U3" i="30"/>
  <c r="W3" i="30"/>
  <c r="X3" i="30" s="1"/>
  <c r="U2" i="30" l="1"/>
  <c r="U6" i="153"/>
  <c r="R6" i="153"/>
  <c r="O6" i="153"/>
  <c r="L26" i="149"/>
  <c r="W18" i="75" l="1"/>
  <c r="X18" i="75" s="1"/>
  <c r="N18" i="75"/>
  <c r="L18" i="75"/>
  <c r="S18" i="75" s="1"/>
  <c r="J18" i="75"/>
  <c r="W20" i="59"/>
  <c r="X20" i="59" s="1"/>
  <c r="N20" i="59"/>
  <c r="L20" i="59"/>
  <c r="U20" i="59" s="1"/>
  <c r="J20" i="59"/>
  <c r="W19" i="59"/>
  <c r="X19" i="59" s="1"/>
  <c r="N19" i="59"/>
  <c r="L19" i="59"/>
  <c r="U19" i="59" s="1"/>
  <c r="J19" i="59"/>
  <c r="W17" i="51"/>
  <c r="X17" i="51" s="1"/>
  <c r="N17" i="51"/>
  <c r="L17" i="51"/>
  <c r="T17" i="51" s="1"/>
  <c r="J17" i="51"/>
  <c r="W18" i="49"/>
  <c r="X18" i="49" s="1"/>
  <c r="S18" i="49"/>
  <c r="N18" i="49"/>
  <c r="L18" i="49"/>
  <c r="T18" i="49" s="1"/>
  <c r="J18" i="49"/>
  <c r="W51" i="47"/>
  <c r="X51" i="47" s="1"/>
  <c r="N51" i="47"/>
  <c r="L51" i="47"/>
  <c r="U51" i="47" s="1"/>
  <c r="J51" i="47"/>
  <c r="W50" i="47"/>
  <c r="X50" i="47" s="1"/>
  <c r="N50" i="47"/>
  <c r="L50" i="47"/>
  <c r="T50" i="47" s="1"/>
  <c r="J50" i="47"/>
  <c r="W49" i="47"/>
  <c r="X49" i="47" s="1"/>
  <c r="N49" i="47"/>
  <c r="L49" i="47"/>
  <c r="U49" i="47" s="1"/>
  <c r="J49" i="47"/>
  <c r="W48" i="47"/>
  <c r="X48" i="47" s="1"/>
  <c r="N48" i="47"/>
  <c r="L48" i="47"/>
  <c r="S48" i="47" s="1"/>
  <c r="J48" i="47"/>
  <c r="W47" i="47"/>
  <c r="X47" i="47" s="1"/>
  <c r="N47" i="47"/>
  <c r="L47" i="47"/>
  <c r="U47" i="47" s="1"/>
  <c r="J47" i="47"/>
  <c r="W46" i="47"/>
  <c r="X46" i="47" s="1"/>
  <c r="N46" i="47"/>
  <c r="L46" i="47"/>
  <c r="U46" i="47" s="1"/>
  <c r="J46" i="47"/>
  <c r="W45" i="47"/>
  <c r="X45" i="47" s="1"/>
  <c r="N45" i="47"/>
  <c r="L45" i="47"/>
  <c r="U45" i="47" s="1"/>
  <c r="J45" i="47"/>
  <c r="W44" i="47"/>
  <c r="X44" i="47" s="1"/>
  <c r="N44" i="47"/>
  <c r="L44" i="47"/>
  <c r="U44" i="47" s="1"/>
  <c r="J44" i="47"/>
  <c r="W43" i="47"/>
  <c r="X43" i="47" s="1"/>
  <c r="N43" i="47"/>
  <c r="L43" i="47"/>
  <c r="U43" i="47" s="1"/>
  <c r="J43" i="47"/>
  <c r="W42" i="47"/>
  <c r="X42" i="47" s="1"/>
  <c r="N42" i="47"/>
  <c r="L42" i="47"/>
  <c r="U42" i="47" s="1"/>
  <c r="J42" i="47"/>
  <c r="W41" i="47"/>
  <c r="X41" i="47" s="1"/>
  <c r="N41" i="47"/>
  <c r="L41" i="47"/>
  <c r="S41" i="47" s="1"/>
  <c r="J41" i="47"/>
  <c r="W40" i="47"/>
  <c r="X40" i="47" s="1"/>
  <c r="N40" i="47"/>
  <c r="L40" i="47"/>
  <c r="T40" i="47" s="1"/>
  <c r="J40" i="47"/>
  <c r="R27" i="43"/>
  <c r="Q27" i="43"/>
  <c r="O27" i="43"/>
  <c r="M27" i="43"/>
  <c r="K27" i="43"/>
  <c r="I27" i="43"/>
  <c r="H27" i="43"/>
  <c r="E27" i="43"/>
  <c r="W25" i="43"/>
  <c r="N25" i="43"/>
  <c r="L25" i="43"/>
  <c r="U25" i="43" s="1"/>
  <c r="J25" i="43"/>
  <c r="W24" i="43"/>
  <c r="N24" i="43"/>
  <c r="L24" i="43"/>
  <c r="S24" i="43" s="1"/>
  <c r="J24" i="43"/>
  <c r="W26" i="43"/>
  <c r="N26" i="43"/>
  <c r="L26" i="43"/>
  <c r="U26" i="43" s="1"/>
  <c r="J26" i="43"/>
  <c r="X27" i="43"/>
  <c r="W18" i="36"/>
  <c r="X18" i="36" s="1"/>
  <c r="N18" i="36"/>
  <c r="L18" i="36"/>
  <c r="U18" i="36" s="1"/>
  <c r="J18" i="36"/>
  <c r="W17" i="36"/>
  <c r="X17" i="36" s="1"/>
  <c r="N17" i="36"/>
  <c r="L17" i="36"/>
  <c r="S17" i="36" s="1"/>
  <c r="J17" i="36"/>
  <c r="W25" i="30"/>
  <c r="X25" i="30" s="1"/>
  <c r="N25" i="30"/>
  <c r="L25" i="30"/>
  <c r="U25" i="30" s="1"/>
  <c r="J25" i="30"/>
  <c r="W24" i="30"/>
  <c r="X24" i="30" s="1"/>
  <c r="N24" i="30"/>
  <c r="L24" i="30"/>
  <c r="T24" i="30" s="1"/>
  <c r="J24" i="30"/>
  <c r="W23" i="30"/>
  <c r="X23" i="30" s="1"/>
  <c r="N23" i="30"/>
  <c r="L23" i="30"/>
  <c r="U23" i="30" s="1"/>
  <c r="J23" i="30"/>
  <c r="W22" i="30"/>
  <c r="X22" i="30" s="1"/>
  <c r="N22" i="30"/>
  <c r="L22" i="30"/>
  <c r="T22" i="30" s="1"/>
  <c r="J22" i="30"/>
  <c r="W21" i="30"/>
  <c r="X21" i="30" s="1"/>
  <c r="N21" i="30"/>
  <c r="L21" i="30"/>
  <c r="U21" i="30" s="1"/>
  <c r="J21" i="30"/>
  <c r="W24" i="29"/>
  <c r="X24" i="29" s="1"/>
  <c r="N24" i="29"/>
  <c r="L24" i="29"/>
  <c r="U24" i="29" s="1"/>
  <c r="J24" i="29"/>
  <c r="W23" i="29"/>
  <c r="X23" i="29" s="1"/>
  <c r="N23" i="29"/>
  <c r="L23" i="29"/>
  <c r="T23" i="29" s="1"/>
  <c r="J23" i="29"/>
  <c r="W22" i="29"/>
  <c r="X22" i="29" s="1"/>
  <c r="N22" i="29"/>
  <c r="L22" i="29"/>
  <c r="U22" i="29" s="1"/>
  <c r="J22" i="29"/>
  <c r="R25" i="67"/>
  <c r="Q25" i="67"/>
  <c r="O25" i="67"/>
  <c r="M25" i="67"/>
  <c r="K25" i="67"/>
  <c r="I25" i="67"/>
  <c r="H25" i="67"/>
  <c r="E25" i="67"/>
  <c r="W24" i="67"/>
  <c r="N24" i="67"/>
  <c r="L24" i="67"/>
  <c r="U24" i="67" s="1"/>
  <c r="J24" i="67"/>
  <c r="W23" i="67"/>
  <c r="N23" i="67"/>
  <c r="N25" i="67" s="1"/>
  <c r="L23" i="67"/>
  <c r="T23" i="67" s="1"/>
  <c r="J23" i="67"/>
  <c r="W16" i="78"/>
  <c r="X16" i="78" s="1"/>
  <c r="N16" i="78"/>
  <c r="L16" i="78"/>
  <c r="U16" i="78" s="1"/>
  <c r="J16" i="78"/>
  <c r="W27" i="88"/>
  <c r="X27" i="88" s="1"/>
  <c r="N27" i="88"/>
  <c r="L27" i="88"/>
  <c r="U27" i="88" s="1"/>
  <c r="J27" i="88"/>
  <c r="U18" i="49" l="1"/>
  <c r="J27" i="67"/>
  <c r="U17" i="36"/>
  <c r="N27" i="43"/>
  <c r="T18" i="75"/>
  <c r="U18" i="75"/>
  <c r="S20" i="59"/>
  <c r="T20" i="59"/>
  <c r="S19" i="59"/>
  <c r="T19" i="59"/>
  <c r="U17" i="51"/>
  <c r="S17" i="51"/>
  <c r="U50" i="47"/>
  <c r="S50" i="47"/>
  <c r="T48" i="47"/>
  <c r="U48" i="47"/>
  <c r="S47" i="47"/>
  <c r="T47" i="47"/>
  <c r="S49" i="47"/>
  <c r="T49" i="47"/>
  <c r="S51" i="47"/>
  <c r="T51" i="47"/>
  <c r="S45" i="47"/>
  <c r="T45" i="47"/>
  <c r="S46" i="47"/>
  <c r="T46" i="47"/>
  <c r="T43" i="47"/>
  <c r="S43" i="47"/>
  <c r="T41" i="47"/>
  <c r="U41" i="47"/>
  <c r="S42" i="47"/>
  <c r="T42" i="47"/>
  <c r="S44" i="47"/>
  <c r="T44" i="47"/>
  <c r="U40" i="47"/>
  <c r="S40" i="47"/>
  <c r="J28" i="43"/>
  <c r="L27" i="43"/>
  <c r="U29" i="43" s="1"/>
  <c r="S25" i="43"/>
  <c r="T25" i="43"/>
  <c r="J29" i="43"/>
  <c r="W27" i="43"/>
  <c r="U24" i="43"/>
  <c r="S26" i="43"/>
  <c r="T26" i="43"/>
  <c r="T24" i="43"/>
  <c r="T17" i="36"/>
  <c r="S18" i="36"/>
  <c r="T18" i="36"/>
  <c r="U24" i="30"/>
  <c r="S24" i="30"/>
  <c r="S25" i="30"/>
  <c r="T25" i="30"/>
  <c r="S22" i="30"/>
  <c r="U22" i="30"/>
  <c r="S23" i="30"/>
  <c r="T23" i="30"/>
  <c r="S21" i="30"/>
  <c r="T21" i="30"/>
  <c r="S24" i="29"/>
  <c r="T24" i="29"/>
  <c r="U23" i="29"/>
  <c r="S22" i="29"/>
  <c r="T22" i="29"/>
  <c r="S23" i="29"/>
  <c r="J26" i="67"/>
  <c r="S23" i="67"/>
  <c r="U23" i="67"/>
  <c r="X25" i="67"/>
  <c r="S24" i="67"/>
  <c r="T24" i="67"/>
  <c r="L25" i="67"/>
  <c r="W25" i="67"/>
  <c r="S16" i="78"/>
  <c r="T16" i="78"/>
  <c r="S27" i="88"/>
  <c r="T27" i="88"/>
  <c r="R29" i="43" l="1"/>
  <c r="O29" i="43"/>
  <c r="U27" i="67"/>
  <c r="R27" i="67"/>
  <c r="O27" i="67"/>
  <c r="W29" i="86" l="1"/>
  <c r="X29" i="86" s="1"/>
  <c r="N29" i="86"/>
  <c r="L29" i="86"/>
  <c r="S29" i="86" s="1"/>
  <c r="J29" i="86"/>
  <c r="W28" i="86"/>
  <c r="X28" i="86" s="1"/>
  <c r="N28" i="86"/>
  <c r="L28" i="86"/>
  <c r="S28" i="86" s="1"/>
  <c r="J28" i="86"/>
  <c r="W27" i="86"/>
  <c r="X27" i="86" s="1"/>
  <c r="N27" i="86"/>
  <c r="L27" i="86"/>
  <c r="U27" i="86" s="1"/>
  <c r="J27" i="86"/>
  <c r="W26" i="86"/>
  <c r="X26" i="86" s="1"/>
  <c r="N26" i="86"/>
  <c r="L26" i="86"/>
  <c r="U26" i="86" s="1"/>
  <c r="J26" i="86"/>
  <c r="W22" i="85"/>
  <c r="X22" i="85" s="1"/>
  <c r="N22" i="85"/>
  <c r="L22" i="85"/>
  <c r="T22" i="85" s="1"/>
  <c r="J22" i="85"/>
  <c r="L2" i="75"/>
  <c r="S2" i="75" s="1"/>
  <c r="W21" i="85"/>
  <c r="X21" i="85" s="1"/>
  <c r="N21" i="85"/>
  <c r="L21" i="85"/>
  <c r="U21" i="85" s="1"/>
  <c r="J21" i="85"/>
  <c r="W20" i="85"/>
  <c r="X20" i="85" s="1"/>
  <c r="N20" i="85"/>
  <c r="L20" i="85"/>
  <c r="U20" i="85" s="1"/>
  <c r="J20" i="85"/>
  <c r="W19" i="85"/>
  <c r="X19" i="85" s="1"/>
  <c r="N19" i="85"/>
  <c r="L19" i="85"/>
  <c r="U19" i="85" s="1"/>
  <c r="J19" i="85"/>
  <c r="J2" i="80"/>
  <c r="L2" i="80"/>
  <c r="U2" i="80" s="1"/>
  <c r="N2" i="80"/>
  <c r="S2" i="80"/>
  <c r="T2" i="80"/>
  <c r="W2" i="80"/>
  <c r="X2" i="80" s="1"/>
  <c r="T29" i="86" l="1"/>
  <c r="U29" i="86"/>
  <c r="T28" i="86"/>
  <c r="U28" i="86"/>
  <c r="T26" i="86"/>
  <c r="S26" i="86"/>
  <c r="S27" i="86"/>
  <c r="T27" i="86"/>
  <c r="U22" i="85"/>
  <c r="S22" i="85"/>
  <c r="S21" i="85"/>
  <c r="T21" i="85"/>
  <c r="S20" i="85"/>
  <c r="T20" i="85"/>
  <c r="S19" i="85"/>
  <c r="T19" i="85"/>
  <c r="W16" i="90" l="1"/>
  <c r="X16" i="90" s="1"/>
  <c r="N16" i="90"/>
  <c r="L16" i="90"/>
  <c r="U16" i="90" s="1"/>
  <c r="J16" i="90"/>
  <c r="W22" i="98"/>
  <c r="X22" i="98" s="1"/>
  <c r="N22" i="98"/>
  <c r="L22" i="98"/>
  <c r="U22" i="98" s="1"/>
  <c r="J22" i="98"/>
  <c r="W21" i="98"/>
  <c r="X21" i="98" s="1"/>
  <c r="N21" i="98"/>
  <c r="L21" i="98"/>
  <c r="S21" i="98" s="1"/>
  <c r="J21" i="98"/>
  <c r="W20" i="98"/>
  <c r="X20" i="98" s="1"/>
  <c r="N20" i="98"/>
  <c r="L20" i="98"/>
  <c r="S20" i="98" s="1"/>
  <c r="J20" i="98"/>
  <c r="W17" i="103"/>
  <c r="X17" i="103" s="1"/>
  <c r="N17" i="103"/>
  <c r="L17" i="103"/>
  <c r="U17" i="103" s="1"/>
  <c r="J17" i="103"/>
  <c r="J3" i="80"/>
  <c r="L3" i="80"/>
  <c r="U3" i="80" s="1"/>
  <c r="N3" i="80"/>
  <c r="W3" i="80"/>
  <c r="X3" i="80" s="1"/>
  <c r="W24" i="77"/>
  <c r="X24" i="77" s="1"/>
  <c r="N24" i="77"/>
  <c r="L24" i="77"/>
  <c r="U24" i="77" s="1"/>
  <c r="J24" i="77"/>
  <c r="W23" i="77"/>
  <c r="X23" i="77" s="1"/>
  <c r="N23" i="77"/>
  <c r="L23" i="77"/>
  <c r="S23" i="77" s="1"/>
  <c r="J23" i="77"/>
  <c r="W22" i="77"/>
  <c r="X22" i="77" s="1"/>
  <c r="N22" i="77"/>
  <c r="L22" i="77"/>
  <c r="T22" i="77" s="1"/>
  <c r="J22" i="77"/>
  <c r="W32" i="142"/>
  <c r="X32" i="142" s="1"/>
  <c r="N32" i="142"/>
  <c r="L32" i="142"/>
  <c r="U32" i="142" s="1"/>
  <c r="J32" i="142"/>
  <c r="W31" i="142"/>
  <c r="X31" i="142" s="1"/>
  <c r="N31" i="142"/>
  <c r="L31" i="142"/>
  <c r="U31" i="142" s="1"/>
  <c r="J31" i="142"/>
  <c r="W26" i="140"/>
  <c r="X26" i="140" s="1"/>
  <c r="N26" i="140"/>
  <c r="L26" i="140"/>
  <c r="U26" i="140" s="1"/>
  <c r="J26" i="140"/>
  <c r="W25" i="140"/>
  <c r="X25" i="140" s="1"/>
  <c r="N25" i="140"/>
  <c r="L25" i="140"/>
  <c r="T25" i="140" s="1"/>
  <c r="J25" i="140"/>
  <c r="W24" i="140"/>
  <c r="X24" i="140" s="1"/>
  <c r="N24" i="140"/>
  <c r="L24" i="140"/>
  <c r="U24" i="140" s="1"/>
  <c r="J24" i="140"/>
  <c r="W23" i="140"/>
  <c r="X23" i="140" s="1"/>
  <c r="N23" i="140"/>
  <c r="L23" i="140"/>
  <c r="U23" i="140" s="1"/>
  <c r="J23" i="140"/>
  <c r="W18" i="59"/>
  <c r="X18" i="59" s="1"/>
  <c r="N18" i="59"/>
  <c r="L18" i="59"/>
  <c r="U18" i="59" s="1"/>
  <c r="J18" i="59"/>
  <c r="W17" i="68"/>
  <c r="X17" i="68" s="1"/>
  <c r="N17" i="68"/>
  <c r="L17" i="68"/>
  <c r="S17" i="68" s="1"/>
  <c r="J17" i="68"/>
  <c r="W46" i="66"/>
  <c r="X46" i="66" s="1"/>
  <c r="N46" i="66"/>
  <c r="L46" i="66"/>
  <c r="U46" i="66" s="1"/>
  <c r="J46" i="66"/>
  <c r="W45" i="66"/>
  <c r="X45" i="66" s="1"/>
  <c r="N45" i="66"/>
  <c r="L45" i="66"/>
  <c r="U45" i="66" s="1"/>
  <c r="J45" i="66"/>
  <c r="W44" i="66"/>
  <c r="X44" i="66" s="1"/>
  <c r="N44" i="66"/>
  <c r="L44" i="66"/>
  <c r="U44" i="66" s="1"/>
  <c r="J44" i="66"/>
  <c r="W43" i="66"/>
  <c r="X43" i="66" s="1"/>
  <c r="N43" i="66"/>
  <c r="L43" i="66"/>
  <c r="U43" i="66" s="1"/>
  <c r="J43" i="66"/>
  <c r="W42" i="66"/>
  <c r="X42" i="66" s="1"/>
  <c r="N42" i="66"/>
  <c r="L42" i="66"/>
  <c r="U42" i="66" s="1"/>
  <c r="J42" i="66"/>
  <c r="W41" i="66"/>
  <c r="X41" i="66" s="1"/>
  <c r="N41" i="66"/>
  <c r="L41" i="66"/>
  <c r="U41" i="66" s="1"/>
  <c r="J41" i="66"/>
  <c r="W40" i="66"/>
  <c r="X40" i="66" s="1"/>
  <c r="N40" i="66"/>
  <c r="L40" i="66"/>
  <c r="S40" i="66" s="1"/>
  <c r="J40" i="66"/>
  <c r="W39" i="66"/>
  <c r="X39" i="66" s="1"/>
  <c r="N39" i="66"/>
  <c r="L39" i="66"/>
  <c r="S39" i="66" s="1"/>
  <c r="J39" i="66"/>
  <c r="W38" i="66"/>
  <c r="X38" i="66" s="1"/>
  <c r="N38" i="66"/>
  <c r="L38" i="66"/>
  <c r="T38" i="66" s="1"/>
  <c r="J38" i="66"/>
  <c r="W37" i="66"/>
  <c r="X37" i="66" s="1"/>
  <c r="N37" i="66"/>
  <c r="L37" i="66"/>
  <c r="T37" i="66" s="1"/>
  <c r="J37" i="66"/>
  <c r="W36" i="66"/>
  <c r="X36" i="66" s="1"/>
  <c r="N36" i="66"/>
  <c r="L36" i="66"/>
  <c r="U36" i="66" s="1"/>
  <c r="J36" i="66"/>
  <c r="W43" i="65"/>
  <c r="X43" i="65" s="1"/>
  <c r="N43" i="65"/>
  <c r="L43" i="65"/>
  <c r="U43" i="65" s="1"/>
  <c r="J43" i="65"/>
  <c r="W42" i="65"/>
  <c r="X42" i="65" s="1"/>
  <c r="N42" i="65"/>
  <c r="L42" i="65"/>
  <c r="U42" i="65" s="1"/>
  <c r="J42" i="65"/>
  <c r="W41" i="65"/>
  <c r="X41" i="65" s="1"/>
  <c r="N41" i="65"/>
  <c r="L41" i="65"/>
  <c r="U41" i="65" s="1"/>
  <c r="J41" i="65"/>
  <c r="W40" i="65"/>
  <c r="X40" i="65" s="1"/>
  <c r="N40" i="65"/>
  <c r="L40" i="65"/>
  <c r="U40" i="65" s="1"/>
  <c r="J40" i="65"/>
  <c r="W39" i="65"/>
  <c r="X39" i="65" s="1"/>
  <c r="N39" i="65"/>
  <c r="L39" i="65"/>
  <c r="U39" i="65" s="1"/>
  <c r="J39" i="65"/>
  <c r="W38" i="65"/>
  <c r="X38" i="65" s="1"/>
  <c r="N38" i="65"/>
  <c r="L38" i="65"/>
  <c r="U38" i="65" s="1"/>
  <c r="J38" i="65"/>
  <c r="W37" i="65"/>
  <c r="X37" i="65" s="1"/>
  <c r="N37" i="65"/>
  <c r="L37" i="65"/>
  <c r="U37" i="65" s="1"/>
  <c r="J37" i="65"/>
  <c r="W27" i="64"/>
  <c r="X27" i="64" s="1"/>
  <c r="N27" i="64"/>
  <c r="L27" i="64"/>
  <c r="U27" i="64" s="1"/>
  <c r="J27" i="64"/>
  <c r="W24" i="63"/>
  <c r="X24" i="63" s="1"/>
  <c r="N24" i="63"/>
  <c r="L24" i="63"/>
  <c r="U24" i="63" s="1"/>
  <c r="J24" i="63"/>
  <c r="W23" i="63"/>
  <c r="X23" i="63" s="1"/>
  <c r="N23" i="63"/>
  <c r="L23" i="63"/>
  <c r="U23" i="63" s="1"/>
  <c r="J23" i="63"/>
  <c r="W22" i="63"/>
  <c r="X22" i="63" s="1"/>
  <c r="N22" i="63"/>
  <c r="L22" i="63"/>
  <c r="U22" i="63" s="1"/>
  <c r="J22" i="63"/>
  <c r="W20" i="62"/>
  <c r="X20" i="62" s="1"/>
  <c r="N20" i="62"/>
  <c r="L20" i="62"/>
  <c r="U20" i="62" s="1"/>
  <c r="J20" i="62"/>
  <c r="W19" i="62"/>
  <c r="X19" i="62" s="1"/>
  <c r="N19" i="62"/>
  <c r="L19" i="62"/>
  <c r="U19" i="62" s="1"/>
  <c r="J19" i="62"/>
  <c r="W18" i="62"/>
  <c r="X18" i="62" s="1"/>
  <c r="N18" i="62"/>
  <c r="L18" i="62"/>
  <c r="U18" i="62" s="1"/>
  <c r="J18" i="62"/>
  <c r="W27" i="61"/>
  <c r="X27" i="61" s="1"/>
  <c r="N27" i="61"/>
  <c r="L27" i="61"/>
  <c r="U27" i="61" s="1"/>
  <c r="J27" i="61"/>
  <c r="W26" i="61"/>
  <c r="X26" i="61" s="1"/>
  <c r="N26" i="61"/>
  <c r="L26" i="61"/>
  <c r="U26" i="61" s="1"/>
  <c r="J26" i="61"/>
  <c r="W25" i="61"/>
  <c r="X25" i="61" s="1"/>
  <c r="N25" i="61"/>
  <c r="L25" i="61"/>
  <c r="U25" i="61" s="1"/>
  <c r="J25" i="61"/>
  <c r="W24" i="61"/>
  <c r="X24" i="61" s="1"/>
  <c r="N24" i="61"/>
  <c r="L24" i="61"/>
  <c r="U24" i="61" s="1"/>
  <c r="J24" i="61"/>
  <c r="W22" i="53"/>
  <c r="X22" i="53" s="1"/>
  <c r="N22" i="53"/>
  <c r="L22" i="53"/>
  <c r="U22" i="53" s="1"/>
  <c r="J22" i="53"/>
  <c r="W21" i="53"/>
  <c r="X21" i="53" s="1"/>
  <c r="N21" i="53"/>
  <c r="L21" i="53"/>
  <c r="T21" i="53" s="1"/>
  <c r="J21" i="53"/>
  <c r="W20" i="53"/>
  <c r="X20" i="53" s="1"/>
  <c r="N20" i="53"/>
  <c r="L20" i="53"/>
  <c r="U20" i="53" s="1"/>
  <c r="J20" i="53"/>
  <c r="W19" i="53"/>
  <c r="X19" i="53" s="1"/>
  <c r="N19" i="53"/>
  <c r="L19" i="53"/>
  <c r="U19" i="53" s="1"/>
  <c r="J19" i="53"/>
  <c r="W29" i="52"/>
  <c r="X29" i="52" s="1"/>
  <c r="N29" i="52"/>
  <c r="L29" i="52"/>
  <c r="U29" i="52" s="1"/>
  <c r="J29" i="52"/>
  <c r="W28" i="52"/>
  <c r="X28" i="52" s="1"/>
  <c r="N28" i="52"/>
  <c r="L28" i="52"/>
  <c r="U28" i="52" s="1"/>
  <c r="J28" i="52"/>
  <c r="W27" i="52"/>
  <c r="X27" i="52" s="1"/>
  <c r="N27" i="52"/>
  <c r="L27" i="52"/>
  <c r="U27" i="52" s="1"/>
  <c r="J27" i="52"/>
  <c r="W26" i="52"/>
  <c r="X26" i="52" s="1"/>
  <c r="N26" i="52"/>
  <c r="L26" i="52"/>
  <c r="U26" i="52" s="1"/>
  <c r="J26" i="52"/>
  <c r="W25" i="52"/>
  <c r="X25" i="52" s="1"/>
  <c r="N25" i="52"/>
  <c r="L25" i="52"/>
  <c r="U25" i="52" s="1"/>
  <c r="J25" i="52"/>
  <c r="W26" i="46"/>
  <c r="X26" i="46" s="1"/>
  <c r="N26" i="46"/>
  <c r="L26" i="46"/>
  <c r="U26" i="46" s="1"/>
  <c r="J26" i="46"/>
  <c r="W25" i="46"/>
  <c r="X25" i="46" s="1"/>
  <c r="N25" i="46"/>
  <c r="L25" i="46"/>
  <c r="T25" i="46" s="1"/>
  <c r="J25" i="46"/>
  <c r="W19" i="50"/>
  <c r="X19" i="50" s="1"/>
  <c r="N19" i="50"/>
  <c r="L19" i="50"/>
  <c r="U19" i="50" s="1"/>
  <c r="J19" i="50"/>
  <c r="W24" i="46"/>
  <c r="X24" i="46" s="1"/>
  <c r="N24" i="46"/>
  <c r="L24" i="46"/>
  <c r="U24" i="46" s="1"/>
  <c r="J24" i="46"/>
  <c r="W28" i="44"/>
  <c r="X28" i="44" s="1"/>
  <c r="N28" i="44"/>
  <c r="L28" i="44"/>
  <c r="U28" i="44" s="1"/>
  <c r="J28" i="44"/>
  <c r="S3" i="80" l="1"/>
  <c r="T3" i="80"/>
  <c r="S16" i="90"/>
  <c r="T16" i="90"/>
  <c r="T21" i="98"/>
  <c r="U21" i="98"/>
  <c r="T20" i="98"/>
  <c r="U20" i="98"/>
  <c r="S22" i="98"/>
  <c r="T22" i="98"/>
  <c r="S17" i="103"/>
  <c r="T17" i="103"/>
  <c r="T23" i="77"/>
  <c r="U23" i="77"/>
  <c r="S24" i="77"/>
  <c r="T24" i="77"/>
  <c r="S22" i="77"/>
  <c r="U22" i="77"/>
  <c r="S32" i="142"/>
  <c r="T32" i="142"/>
  <c r="T31" i="142"/>
  <c r="S31" i="142"/>
  <c r="S26" i="140"/>
  <c r="T26" i="140"/>
  <c r="U25" i="140"/>
  <c r="S24" i="140"/>
  <c r="T24" i="140"/>
  <c r="S23" i="140"/>
  <c r="T23" i="140"/>
  <c r="S25" i="140"/>
  <c r="S18" i="59"/>
  <c r="T18" i="59"/>
  <c r="T17" i="68"/>
  <c r="U17" i="68"/>
  <c r="T46" i="66"/>
  <c r="S46" i="66"/>
  <c r="S45" i="66"/>
  <c r="T45" i="66"/>
  <c r="S44" i="66"/>
  <c r="T44" i="66"/>
  <c r="S43" i="66"/>
  <c r="T43" i="66"/>
  <c r="U39" i="66"/>
  <c r="S41" i="66"/>
  <c r="T41" i="66"/>
  <c r="T39" i="66"/>
  <c r="T40" i="66"/>
  <c r="U40" i="66"/>
  <c r="S42" i="66"/>
  <c r="T42" i="66"/>
  <c r="U37" i="66"/>
  <c r="S37" i="66"/>
  <c r="S38" i="66"/>
  <c r="U38" i="66"/>
  <c r="S36" i="66"/>
  <c r="T36" i="66"/>
  <c r="S42" i="65"/>
  <c r="T42" i="65"/>
  <c r="S41" i="65"/>
  <c r="T41" i="65"/>
  <c r="S43" i="65"/>
  <c r="T43" i="65"/>
  <c r="S40" i="65"/>
  <c r="T40" i="65"/>
  <c r="S39" i="65"/>
  <c r="T39" i="65"/>
  <c r="S38" i="65"/>
  <c r="T38" i="65"/>
  <c r="S37" i="65"/>
  <c r="T37" i="65"/>
  <c r="S27" i="64"/>
  <c r="T27" i="64"/>
  <c r="S23" i="63"/>
  <c r="T23" i="63"/>
  <c r="S24" i="63"/>
  <c r="T24" i="63"/>
  <c r="S22" i="63"/>
  <c r="T22" i="63"/>
  <c r="S20" i="62"/>
  <c r="T20" i="62"/>
  <c r="T19" i="62"/>
  <c r="S19" i="62"/>
  <c r="S18" i="62"/>
  <c r="T18" i="62"/>
  <c r="S26" i="61"/>
  <c r="T26" i="61"/>
  <c r="S27" i="61"/>
  <c r="T27" i="61"/>
  <c r="S24" i="61"/>
  <c r="T24" i="61"/>
  <c r="S25" i="61"/>
  <c r="T25" i="61"/>
  <c r="S22" i="53"/>
  <c r="T22" i="53"/>
  <c r="S21" i="53"/>
  <c r="U21" i="53"/>
  <c r="S19" i="53"/>
  <c r="T19" i="53"/>
  <c r="S20" i="53"/>
  <c r="T20" i="53"/>
  <c r="S28" i="52"/>
  <c r="T28" i="52"/>
  <c r="S29" i="52"/>
  <c r="T29" i="52"/>
  <c r="S27" i="52"/>
  <c r="T27" i="52"/>
  <c r="S25" i="52"/>
  <c r="T25" i="52"/>
  <c r="S26" i="52"/>
  <c r="T26" i="52"/>
  <c r="S25" i="46"/>
  <c r="U25" i="46"/>
  <c r="S26" i="46"/>
  <c r="T26" i="46"/>
  <c r="S19" i="50"/>
  <c r="T19" i="50"/>
  <c r="S24" i="46"/>
  <c r="T24" i="46"/>
  <c r="S28" i="44"/>
  <c r="T28" i="44"/>
  <c r="W27" i="44" l="1"/>
  <c r="X27" i="44" s="1"/>
  <c r="N27" i="44"/>
  <c r="L27" i="44"/>
  <c r="U27" i="44" s="1"/>
  <c r="J27" i="44"/>
  <c r="W65" i="38"/>
  <c r="X65" i="38" s="1"/>
  <c r="N65" i="38"/>
  <c r="L65" i="38"/>
  <c r="U65" i="38" s="1"/>
  <c r="J65" i="38"/>
  <c r="W64" i="38"/>
  <c r="X64" i="38" s="1"/>
  <c r="N64" i="38"/>
  <c r="L64" i="38"/>
  <c r="U64" i="38" s="1"/>
  <c r="J64" i="38"/>
  <c r="W19" i="40"/>
  <c r="X19" i="40" s="1"/>
  <c r="N19" i="40"/>
  <c r="L19" i="40"/>
  <c r="U19" i="40" s="1"/>
  <c r="J19" i="40"/>
  <c r="W18" i="40"/>
  <c r="X18" i="40" s="1"/>
  <c r="N18" i="40"/>
  <c r="L18" i="40"/>
  <c r="U18" i="40" s="1"/>
  <c r="J18" i="40"/>
  <c r="W27" i="39"/>
  <c r="X27" i="39" s="1"/>
  <c r="N27" i="39"/>
  <c r="L27" i="39"/>
  <c r="U27" i="39" s="1"/>
  <c r="J27" i="39"/>
  <c r="W26" i="39"/>
  <c r="X26" i="39" s="1"/>
  <c r="N26" i="39"/>
  <c r="L26" i="39"/>
  <c r="U26" i="39" s="1"/>
  <c r="J26" i="39"/>
  <c r="W25" i="39"/>
  <c r="X25" i="39" s="1"/>
  <c r="N25" i="39"/>
  <c r="L25" i="39"/>
  <c r="U25" i="39" s="1"/>
  <c r="J25" i="39"/>
  <c r="W63" i="38"/>
  <c r="X63" i="38" s="1"/>
  <c r="N63" i="38"/>
  <c r="L63" i="38"/>
  <c r="T63" i="38" s="1"/>
  <c r="J63" i="38"/>
  <c r="W62" i="38"/>
  <c r="X62" i="38" s="1"/>
  <c r="N62" i="38"/>
  <c r="L62" i="38"/>
  <c r="U62" i="38" s="1"/>
  <c r="J62" i="38"/>
  <c r="X68" i="34"/>
  <c r="W68" i="34"/>
  <c r="N68" i="34"/>
  <c r="L68" i="34"/>
  <c r="U68" i="34" s="1"/>
  <c r="J68" i="34"/>
  <c r="W67" i="34"/>
  <c r="X67" i="34" s="1"/>
  <c r="N67" i="34"/>
  <c r="L67" i="34"/>
  <c r="U67" i="34" s="1"/>
  <c r="J67" i="34"/>
  <c r="W48" i="152"/>
  <c r="X48" i="152" s="1"/>
  <c r="N48" i="152"/>
  <c r="L48" i="152"/>
  <c r="T48" i="152" s="1"/>
  <c r="J48" i="152"/>
  <c r="W47" i="152"/>
  <c r="X47" i="152" s="1"/>
  <c r="N47" i="152"/>
  <c r="L47" i="152"/>
  <c r="U47" i="152" s="1"/>
  <c r="J47" i="152"/>
  <c r="W46" i="152"/>
  <c r="X46" i="152" s="1"/>
  <c r="N46" i="152"/>
  <c r="L46" i="152"/>
  <c r="U46" i="152" s="1"/>
  <c r="J46" i="152"/>
  <c r="W45" i="152"/>
  <c r="X45" i="152" s="1"/>
  <c r="N45" i="152"/>
  <c r="L45" i="152"/>
  <c r="U45" i="152" s="1"/>
  <c r="J45" i="152"/>
  <c r="W44" i="152"/>
  <c r="X44" i="152" s="1"/>
  <c r="N44" i="152"/>
  <c r="L44" i="152"/>
  <c r="U44" i="152" s="1"/>
  <c r="J44" i="152"/>
  <c r="W43" i="152"/>
  <c r="X43" i="152" s="1"/>
  <c r="N43" i="152"/>
  <c r="L43" i="152"/>
  <c r="U43" i="152" s="1"/>
  <c r="J43" i="152"/>
  <c r="W42" i="152"/>
  <c r="X42" i="152" s="1"/>
  <c r="N42" i="152"/>
  <c r="L42" i="152"/>
  <c r="T42" i="152" s="1"/>
  <c r="J42" i="152"/>
  <c r="W41" i="152"/>
  <c r="X41" i="152" s="1"/>
  <c r="N41" i="152"/>
  <c r="L41" i="152"/>
  <c r="U41" i="152" s="1"/>
  <c r="J41" i="152"/>
  <c r="W40" i="152"/>
  <c r="X40" i="152" s="1"/>
  <c r="N40" i="152"/>
  <c r="L40" i="152"/>
  <c r="U40" i="152" s="1"/>
  <c r="J40" i="152"/>
  <c r="W39" i="152"/>
  <c r="X39" i="152" s="1"/>
  <c r="N39" i="152"/>
  <c r="L39" i="152"/>
  <c r="U39" i="152" s="1"/>
  <c r="J39" i="152"/>
  <c r="R27" i="152"/>
  <c r="Q27" i="152"/>
  <c r="O27" i="152"/>
  <c r="M27" i="152"/>
  <c r="K27" i="152"/>
  <c r="I27" i="152"/>
  <c r="H27" i="152"/>
  <c r="E27" i="152"/>
  <c r="W17" i="152"/>
  <c r="X17" i="152" s="1"/>
  <c r="N17" i="152"/>
  <c r="L17" i="152"/>
  <c r="J17" i="152"/>
  <c r="W20" i="152"/>
  <c r="X20" i="152" s="1"/>
  <c r="N20" i="152"/>
  <c r="L20" i="152"/>
  <c r="J20" i="152"/>
  <c r="W26" i="152"/>
  <c r="X26" i="152" s="1"/>
  <c r="N26" i="152"/>
  <c r="L26" i="152"/>
  <c r="U26" i="152" s="1"/>
  <c r="J26" i="152"/>
  <c r="W5" i="152"/>
  <c r="X5" i="152" s="1"/>
  <c r="N5" i="152"/>
  <c r="L5" i="152"/>
  <c r="S5" i="152" s="1"/>
  <c r="J5" i="152"/>
  <c r="W12" i="152"/>
  <c r="X12" i="152" s="1"/>
  <c r="N12" i="152"/>
  <c r="L12" i="152"/>
  <c r="J12" i="152"/>
  <c r="W16" i="152"/>
  <c r="X16" i="152" s="1"/>
  <c r="N16" i="152"/>
  <c r="L16" i="152"/>
  <c r="U16" i="152" s="1"/>
  <c r="J16" i="152"/>
  <c r="W13" i="152"/>
  <c r="X13" i="152" s="1"/>
  <c r="N13" i="152"/>
  <c r="L13" i="152"/>
  <c r="U13" i="152" s="1"/>
  <c r="J13" i="152"/>
  <c r="W2" i="152"/>
  <c r="X2" i="152" s="1"/>
  <c r="N2" i="152"/>
  <c r="L2" i="152"/>
  <c r="S2" i="152" s="1"/>
  <c r="J2" i="152"/>
  <c r="W8" i="152"/>
  <c r="X8" i="152" s="1"/>
  <c r="N8" i="152"/>
  <c r="L8" i="152"/>
  <c r="J8" i="152"/>
  <c r="W3" i="152"/>
  <c r="X3" i="152" s="1"/>
  <c r="N3" i="152"/>
  <c r="L3" i="152"/>
  <c r="T3" i="152" s="1"/>
  <c r="J3" i="152"/>
  <c r="W6" i="152"/>
  <c r="X6" i="152" s="1"/>
  <c r="N6" i="152"/>
  <c r="L6" i="152"/>
  <c r="J6" i="152"/>
  <c r="W11" i="152"/>
  <c r="X11" i="152" s="1"/>
  <c r="N11" i="152"/>
  <c r="L11" i="152"/>
  <c r="T11" i="152" s="1"/>
  <c r="J11" i="152"/>
  <c r="W21" i="152"/>
  <c r="X21" i="152" s="1"/>
  <c r="N21" i="152"/>
  <c r="L21" i="152"/>
  <c r="J21" i="152"/>
  <c r="W22" i="152"/>
  <c r="X22" i="152" s="1"/>
  <c r="N22" i="152"/>
  <c r="L22" i="152"/>
  <c r="J22" i="152"/>
  <c r="W25" i="152"/>
  <c r="X25" i="152" s="1"/>
  <c r="N25" i="152"/>
  <c r="L25" i="152"/>
  <c r="U25" i="152" s="1"/>
  <c r="J25" i="152"/>
  <c r="W10" i="152"/>
  <c r="X10" i="152" s="1"/>
  <c r="N10" i="152"/>
  <c r="L10" i="152"/>
  <c r="S10" i="152" s="1"/>
  <c r="J10" i="152"/>
  <c r="W19" i="152"/>
  <c r="X19" i="152" s="1"/>
  <c r="N19" i="152"/>
  <c r="L19" i="152"/>
  <c r="S19" i="152" s="1"/>
  <c r="J19" i="152"/>
  <c r="W7" i="152"/>
  <c r="X7" i="152" s="1"/>
  <c r="N7" i="152"/>
  <c r="L7" i="152"/>
  <c r="T7" i="152" s="1"/>
  <c r="J7" i="152"/>
  <c r="W23" i="152"/>
  <c r="X23" i="152" s="1"/>
  <c r="N23" i="152"/>
  <c r="L23" i="152"/>
  <c r="J23" i="152"/>
  <c r="W9" i="152"/>
  <c r="X9" i="152" s="1"/>
  <c r="N9" i="152"/>
  <c r="L9" i="152"/>
  <c r="S9" i="152" s="1"/>
  <c r="J9" i="152"/>
  <c r="W4" i="152"/>
  <c r="X4" i="152" s="1"/>
  <c r="N4" i="152"/>
  <c r="L4" i="152"/>
  <c r="J4" i="152"/>
  <c r="W14" i="152"/>
  <c r="X14" i="152" s="1"/>
  <c r="N14" i="152"/>
  <c r="L14" i="152"/>
  <c r="S14" i="152" s="1"/>
  <c r="J14" i="152"/>
  <c r="W18" i="152"/>
  <c r="X18" i="152" s="1"/>
  <c r="N18" i="152"/>
  <c r="L18" i="152"/>
  <c r="S18" i="152" s="1"/>
  <c r="J18" i="152"/>
  <c r="W15" i="152"/>
  <c r="X15" i="152" s="1"/>
  <c r="N15" i="152"/>
  <c r="L15" i="152"/>
  <c r="T15" i="152" s="1"/>
  <c r="J15" i="152"/>
  <c r="S27" i="44" l="1"/>
  <c r="T27" i="44"/>
  <c r="S64" i="38"/>
  <c r="T64" i="38"/>
  <c r="S65" i="38"/>
  <c r="T65" i="38"/>
  <c r="S19" i="40"/>
  <c r="T19" i="40"/>
  <c r="S18" i="40"/>
  <c r="T18" i="40"/>
  <c r="S27" i="39"/>
  <c r="T27" i="39"/>
  <c r="S26" i="39"/>
  <c r="T26" i="39"/>
  <c r="S25" i="39"/>
  <c r="T25" i="39"/>
  <c r="U63" i="38"/>
  <c r="S63" i="38"/>
  <c r="S62" i="38"/>
  <c r="T62" i="38"/>
  <c r="S67" i="34"/>
  <c r="T67" i="34"/>
  <c r="T68" i="34"/>
  <c r="S68" i="34"/>
  <c r="U48" i="152"/>
  <c r="S47" i="152"/>
  <c r="T47" i="152"/>
  <c r="S46" i="152"/>
  <c r="T46" i="152"/>
  <c r="S48" i="152"/>
  <c r="S44" i="152"/>
  <c r="T44" i="152"/>
  <c r="S43" i="152"/>
  <c r="T43" i="152"/>
  <c r="S45" i="152"/>
  <c r="T45" i="152"/>
  <c r="U42" i="152"/>
  <c r="S42" i="152"/>
  <c r="S40" i="152"/>
  <c r="T40" i="152"/>
  <c r="S39" i="152"/>
  <c r="T39" i="152"/>
  <c r="S41" i="152"/>
  <c r="T41" i="152"/>
  <c r="S25" i="152"/>
  <c r="T25" i="152"/>
  <c r="T5" i="152"/>
  <c r="U5" i="152"/>
  <c r="T19" i="152"/>
  <c r="S11" i="152"/>
  <c r="U11" i="152"/>
  <c r="T26" i="152"/>
  <c r="U15" i="152"/>
  <c r="T18" i="152"/>
  <c r="U18" i="152"/>
  <c r="J28" i="152"/>
  <c r="S26" i="152"/>
  <c r="S15" i="152"/>
  <c r="N27" i="152"/>
  <c r="S22" i="152"/>
  <c r="U22" i="152"/>
  <c r="T22" i="152"/>
  <c r="T4" i="152"/>
  <c r="U4" i="152"/>
  <c r="S4" i="152"/>
  <c r="S21" i="152"/>
  <c r="T21" i="152"/>
  <c r="U21" i="152"/>
  <c r="S16" i="152"/>
  <c r="T2" i="152"/>
  <c r="T16" i="152"/>
  <c r="U2" i="152"/>
  <c r="S13" i="152"/>
  <c r="T13" i="152"/>
  <c r="U20" i="152"/>
  <c r="S20" i="152"/>
  <c r="T20" i="152"/>
  <c r="T10" i="152"/>
  <c r="S7" i="152"/>
  <c r="U7" i="152"/>
  <c r="S17" i="152"/>
  <c r="U17" i="152"/>
  <c r="T17" i="152"/>
  <c r="T14" i="152"/>
  <c r="U14" i="152"/>
  <c r="U8" i="152"/>
  <c r="T8" i="152"/>
  <c r="U12" i="152"/>
  <c r="T12" i="152"/>
  <c r="S12" i="152"/>
  <c r="S8" i="152"/>
  <c r="S6" i="152"/>
  <c r="U6" i="152"/>
  <c r="T6" i="152"/>
  <c r="U10" i="152"/>
  <c r="U9" i="152"/>
  <c r="T9" i="152"/>
  <c r="J29" i="152"/>
  <c r="L27" i="152"/>
  <c r="U23" i="152"/>
  <c r="S23" i="152"/>
  <c r="U3" i="152"/>
  <c r="S3" i="152"/>
  <c r="W27" i="152"/>
  <c r="X27" i="152"/>
  <c r="T23" i="152"/>
  <c r="U19" i="152"/>
  <c r="W30" i="27"/>
  <c r="X30" i="27" s="1"/>
  <c r="N30" i="27"/>
  <c r="L30" i="27"/>
  <c r="U30" i="27" s="1"/>
  <c r="J30" i="27"/>
  <c r="W29" i="27"/>
  <c r="X29" i="27" s="1"/>
  <c r="N29" i="27"/>
  <c r="L29" i="27"/>
  <c r="U29" i="27" s="1"/>
  <c r="J29" i="27"/>
  <c r="W28" i="27"/>
  <c r="X28" i="27" s="1"/>
  <c r="N28" i="27"/>
  <c r="L28" i="27"/>
  <c r="U28" i="27" s="1"/>
  <c r="J28" i="27"/>
  <c r="W27" i="27"/>
  <c r="X27" i="27" s="1"/>
  <c r="N27" i="27"/>
  <c r="L27" i="27"/>
  <c r="U27" i="27" s="1"/>
  <c r="J27" i="27"/>
  <c r="W26" i="27"/>
  <c r="X26" i="27" s="1"/>
  <c r="N26" i="27"/>
  <c r="L26" i="27"/>
  <c r="U26" i="27" s="1"/>
  <c r="J26" i="27"/>
  <c r="W25" i="27"/>
  <c r="X25" i="27" s="1"/>
  <c r="N25" i="27"/>
  <c r="L25" i="27"/>
  <c r="U25" i="27" s="1"/>
  <c r="J25" i="27"/>
  <c r="W24" i="27"/>
  <c r="X24" i="27" s="1"/>
  <c r="N24" i="27"/>
  <c r="L24" i="27"/>
  <c r="T24" i="27" s="1"/>
  <c r="J24" i="27"/>
  <c r="W25" i="150"/>
  <c r="X25" i="150" s="1"/>
  <c r="N25" i="150"/>
  <c r="L25" i="150"/>
  <c r="U25" i="150" s="1"/>
  <c r="J25" i="150"/>
  <c r="W24" i="150"/>
  <c r="X24" i="150" s="1"/>
  <c r="N24" i="150"/>
  <c r="L24" i="150"/>
  <c r="U24" i="150" s="1"/>
  <c r="J24" i="150"/>
  <c r="W23" i="150"/>
  <c r="X23" i="150" s="1"/>
  <c r="N23" i="150"/>
  <c r="L23" i="150"/>
  <c r="U23" i="150" s="1"/>
  <c r="J23" i="150"/>
  <c r="W27" i="22"/>
  <c r="X27" i="22" s="1"/>
  <c r="N27" i="22"/>
  <c r="L27" i="22"/>
  <c r="S27" i="22" s="1"/>
  <c r="J27" i="22"/>
  <c r="W26" i="22"/>
  <c r="X26" i="22" s="1"/>
  <c r="N26" i="22"/>
  <c r="L26" i="22"/>
  <c r="U26" i="22" s="1"/>
  <c r="J26" i="22"/>
  <c r="W25" i="22"/>
  <c r="X25" i="22" s="1"/>
  <c r="N25" i="22"/>
  <c r="L25" i="22"/>
  <c r="U25" i="22" s="1"/>
  <c r="J25" i="22"/>
  <c r="W28" i="20"/>
  <c r="X28" i="20" s="1"/>
  <c r="N28" i="20"/>
  <c r="L28" i="20"/>
  <c r="U28" i="20" s="1"/>
  <c r="J28" i="20"/>
  <c r="W27" i="20"/>
  <c r="X27" i="20" s="1"/>
  <c r="N27" i="20"/>
  <c r="L27" i="20"/>
  <c r="U27" i="20" s="1"/>
  <c r="J27" i="20"/>
  <c r="W26" i="20"/>
  <c r="X26" i="20" s="1"/>
  <c r="N26" i="20"/>
  <c r="L26" i="20"/>
  <c r="U26" i="20" s="1"/>
  <c r="J26" i="20"/>
  <c r="W25" i="20"/>
  <c r="X25" i="20" s="1"/>
  <c r="N25" i="20"/>
  <c r="L25" i="20"/>
  <c r="U25" i="20" s="1"/>
  <c r="J25" i="20"/>
  <c r="W53" i="16"/>
  <c r="X53" i="16" s="1"/>
  <c r="N53" i="16"/>
  <c r="L53" i="16"/>
  <c r="U53" i="16" s="1"/>
  <c r="J53" i="16"/>
  <c r="W52" i="16"/>
  <c r="X52" i="16" s="1"/>
  <c r="N52" i="16"/>
  <c r="L52" i="16"/>
  <c r="U52" i="16" s="1"/>
  <c r="J52" i="16"/>
  <c r="W35" i="12"/>
  <c r="X35" i="12" s="1"/>
  <c r="N35" i="12"/>
  <c r="L35" i="12"/>
  <c r="U35" i="12" s="1"/>
  <c r="J35" i="12"/>
  <c r="J2" i="85"/>
  <c r="L2" i="85"/>
  <c r="U2" i="85" s="1"/>
  <c r="N2" i="85"/>
  <c r="W2" i="85"/>
  <c r="X2" i="85"/>
  <c r="J3" i="85"/>
  <c r="L3" i="85"/>
  <c r="S3" i="85" s="1"/>
  <c r="N3" i="85"/>
  <c r="W3" i="85"/>
  <c r="X3" i="85" s="1"/>
  <c r="J4" i="85"/>
  <c r="L4" i="85"/>
  <c r="S4" i="85" s="1"/>
  <c r="N4" i="85"/>
  <c r="W4" i="85"/>
  <c r="X4" i="85" s="1"/>
  <c r="J5" i="85"/>
  <c r="L5" i="85"/>
  <c r="S5" i="85" s="1"/>
  <c r="N5" i="85"/>
  <c r="W5" i="85"/>
  <c r="X5" i="85" s="1"/>
  <c r="J28" i="139"/>
  <c r="L28" i="139"/>
  <c r="S28" i="139" s="1"/>
  <c r="N28" i="139"/>
  <c r="W28" i="139"/>
  <c r="X28" i="139" s="1"/>
  <c r="J29" i="139"/>
  <c r="L29" i="139"/>
  <c r="U29" i="139" s="1"/>
  <c r="N29" i="139"/>
  <c r="S29" i="139"/>
  <c r="T29" i="139"/>
  <c r="W29" i="139"/>
  <c r="X29" i="139" s="1"/>
  <c r="J24" i="20"/>
  <c r="L24" i="20"/>
  <c r="S24" i="20" s="1"/>
  <c r="N24" i="20"/>
  <c r="W24" i="20"/>
  <c r="X24" i="20" s="1"/>
  <c r="J35" i="18"/>
  <c r="L35" i="18"/>
  <c r="T35" i="18" s="1"/>
  <c r="N35" i="18"/>
  <c r="W35" i="18"/>
  <c r="X35" i="18" s="1"/>
  <c r="J36" i="18"/>
  <c r="L36" i="18"/>
  <c r="S36" i="18" s="1"/>
  <c r="N36" i="18"/>
  <c r="T36" i="18"/>
  <c r="U36" i="18"/>
  <c r="W36" i="18"/>
  <c r="X36" i="18" s="1"/>
  <c r="J37" i="18"/>
  <c r="L37" i="18"/>
  <c r="U37" i="18" s="1"/>
  <c r="N37" i="18"/>
  <c r="W37" i="18"/>
  <c r="X37" i="18" s="1"/>
  <c r="J38" i="18"/>
  <c r="L38" i="18"/>
  <c r="T38" i="18" s="1"/>
  <c r="N38" i="18"/>
  <c r="S38" i="18"/>
  <c r="W38" i="18"/>
  <c r="X38" i="18"/>
  <c r="J39" i="18"/>
  <c r="L39" i="18"/>
  <c r="U39" i="18" s="1"/>
  <c r="N39" i="18"/>
  <c r="S39" i="18"/>
  <c r="T39" i="18"/>
  <c r="W39" i="18"/>
  <c r="X39" i="18" s="1"/>
  <c r="J40" i="18"/>
  <c r="L40" i="18"/>
  <c r="T40" i="18" s="1"/>
  <c r="N40" i="18"/>
  <c r="W40" i="18"/>
  <c r="X40" i="18" s="1"/>
  <c r="T37" i="18" l="1"/>
  <c r="S35" i="18"/>
  <c r="S37" i="18"/>
  <c r="U35" i="18"/>
  <c r="U5" i="85"/>
  <c r="T5" i="85"/>
  <c r="T2" i="85"/>
  <c r="S2" i="85"/>
  <c r="T27" i="22"/>
  <c r="T28" i="139"/>
  <c r="U28" i="139"/>
  <c r="U4" i="85"/>
  <c r="T4" i="85"/>
  <c r="U29" i="152"/>
  <c r="R29" i="152"/>
  <c r="O29" i="152"/>
  <c r="S30" i="27"/>
  <c r="T30" i="27"/>
  <c r="S28" i="27"/>
  <c r="T28" i="27"/>
  <c r="S27" i="27"/>
  <c r="T27" i="27"/>
  <c r="S29" i="27"/>
  <c r="T29" i="27"/>
  <c r="T25" i="27"/>
  <c r="S25" i="27"/>
  <c r="S26" i="27"/>
  <c r="T26" i="27"/>
  <c r="U24" i="27"/>
  <c r="S24" i="27"/>
  <c r="S24" i="150"/>
  <c r="T24" i="150"/>
  <c r="S25" i="150"/>
  <c r="T25" i="150"/>
  <c r="S23" i="150"/>
  <c r="T23" i="150"/>
  <c r="U27" i="22"/>
  <c r="T26" i="22"/>
  <c r="T25" i="22"/>
  <c r="S26" i="22"/>
  <c r="S25" i="22"/>
  <c r="S28" i="20"/>
  <c r="T28" i="20"/>
  <c r="S26" i="20"/>
  <c r="T26" i="20"/>
  <c r="S25" i="20"/>
  <c r="S27" i="20"/>
  <c r="T27" i="20"/>
  <c r="T25" i="20"/>
  <c r="U24" i="20"/>
  <c r="T24" i="20"/>
  <c r="S52" i="16"/>
  <c r="T52" i="16"/>
  <c r="S53" i="16"/>
  <c r="T53" i="16"/>
  <c r="S35" i="12"/>
  <c r="T35" i="12"/>
  <c r="U3" i="85"/>
  <c r="T3" i="85"/>
  <c r="S40" i="18"/>
  <c r="U38" i="18"/>
  <c r="U40" i="18"/>
  <c r="W116" i="15" l="1"/>
  <c r="X116" i="15" s="1"/>
  <c r="N116" i="15"/>
  <c r="L116" i="15"/>
  <c r="U116" i="15" s="1"/>
  <c r="J116" i="15"/>
  <c r="W115" i="15"/>
  <c r="X115" i="15" s="1"/>
  <c r="N115" i="15"/>
  <c r="L115" i="15"/>
  <c r="S115" i="15" s="1"/>
  <c r="J115" i="15"/>
  <c r="W26" i="138"/>
  <c r="X26" i="138" s="1"/>
  <c r="N26" i="138"/>
  <c r="L26" i="138"/>
  <c r="S26" i="138" s="1"/>
  <c r="J26" i="138"/>
  <c r="W25" i="138"/>
  <c r="X25" i="138" s="1"/>
  <c r="N25" i="138"/>
  <c r="L25" i="138"/>
  <c r="S25" i="138" s="1"/>
  <c r="J25" i="138"/>
  <c r="W24" i="138"/>
  <c r="X24" i="138" s="1"/>
  <c r="N24" i="138"/>
  <c r="L24" i="138"/>
  <c r="T24" i="138" s="1"/>
  <c r="J24" i="138"/>
  <c r="W114" i="15"/>
  <c r="X114" i="15" s="1"/>
  <c r="N114" i="15"/>
  <c r="L114" i="15"/>
  <c r="U114" i="15" s="1"/>
  <c r="J114" i="15"/>
  <c r="W29" i="149"/>
  <c r="X29" i="149" s="1"/>
  <c r="N29" i="149"/>
  <c r="L29" i="149"/>
  <c r="T29" i="149" s="1"/>
  <c r="J29" i="149"/>
  <c r="W32" i="149"/>
  <c r="X32" i="149" s="1"/>
  <c r="N32" i="149"/>
  <c r="L32" i="149"/>
  <c r="S32" i="149" s="1"/>
  <c r="J32" i="149"/>
  <c r="W27" i="149"/>
  <c r="X27" i="149" s="1"/>
  <c r="N27" i="149"/>
  <c r="L27" i="149"/>
  <c r="T27" i="149" s="1"/>
  <c r="J27" i="149"/>
  <c r="W13" i="149"/>
  <c r="X13" i="149" s="1"/>
  <c r="N13" i="149"/>
  <c r="L13" i="149"/>
  <c r="U13" i="149" s="1"/>
  <c r="J13" i="149"/>
  <c r="T115" i="15" l="1"/>
  <c r="U115" i="15"/>
  <c r="T116" i="15"/>
  <c r="S116" i="15"/>
  <c r="S24" i="138"/>
  <c r="T26" i="138"/>
  <c r="T25" i="138"/>
  <c r="U25" i="138"/>
  <c r="U24" i="138"/>
  <c r="U26" i="138"/>
  <c r="S114" i="15"/>
  <c r="T114" i="15"/>
  <c r="T32" i="149"/>
  <c r="U32" i="149"/>
  <c r="U27" i="149"/>
  <c r="S29" i="149"/>
  <c r="U29" i="149"/>
  <c r="S27" i="149"/>
  <c r="S13" i="149"/>
  <c r="T13" i="149"/>
  <c r="W26" i="149" l="1"/>
  <c r="X26" i="149" s="1"/>
  <c r="N26" i="149"/>
  <c r="U26" i="149"/>
  <c r="J26" i="149"/>
  <c r="W28" i="149"/>
  <c r="X28" i="149" s="1"/>
  <c r="N28" i="149"/>
  <c r="L28" i="149"/>
  <c r="U28" i="149" s="1"/>
  <c r="J28" i="149"/>
  <c r="W30" i="149"/>
  <c r="X30" i="149" s="1"/>
  <c r="N30" i="149"/>
  <c r="L30" i="149"/>
  <c r="U30" i="149" s="1"/>
  <c r="J30" i="149"/>
  <c r="W35" i="149"/>
  <c r="X35" i="149" s="1"/>
  <c r="N35" i="149"/>
  <c r="L35" i="149"/>
  <c r="S35" i="149" s="1"/>
  <c r="J35" i="149"/>
  <c r="S28" i="149" l="1"/>
  <c r="T28" i="149"/>
  <c r="U35" i="149"/>
  <c r="T35" i="149"/>
  <c r="S30" i="149"/>
  <c r="T30" i="149"/>
  <c r="S26" i="149"/>
  <c r="T26" i="149"/>
  <c r="W26" i="44"/>
  <c r="X26" i="44" s="1"/>
  <c r="N26" i="44"/>
  <c r="L26" i="44"/>
  <c r="U26" i="44" s="1"/>
  <c r="J26" i="44"/>
  <c r="W25" i="44"/>
  <c r="X25" i="44" s="1"/>
  <c r="N25" i="44"/>
  <c r="L25" i="44"/>
  <c r="U25" i="44" s="1"/>
  <c r="J25" i="44"/>
  <c r="R1329" i="151"/>
  <c r="Q1329" i="151"/>
  <c r="O1329" i="151"/>
  <c r="M1329" i="151"/>
  <c r="K1329" i="151"/>
  <c r="I1329" i="151"/>
  <c r="J1330" i="151" s="1"/>
  <c r="H1329" i="151"/>
  <c r="E1329" i="151"/>
  <c r="W1328" i="151"/>
  <c r="X1328" i="151" s="1"/>
  <c r="N1328" i="151"/>
  <c r="L1328" i="151"/>
  <c r="T1328" i="151" s="1"/>
  <c r="J1328" i="151"/>
  <c r="W1327" i="151"/>
  <c r="X1327" i="151" s="1"/>
  <c r="N1327" i="151"/>
  <c r="L1327" i="151"/>
  <c r="J1327" i="151"/>
  <c r="W1326" i="151"/>
  <c r="X1326" i="151" s="1"/>
  <c r="T1326" i="151"/>
  <c r="N1326" i="151"/>
  <c r="L1326" i="151"/>
  <c r="J1326" i="151"/>
  <c r="W1325" i="151"/>
  <c r="X1325" i="151" s="1"/>
  <c r="N1325" i="151"/>
  <c r="L1325" i="151"/>
  <c r="J1325" i="151"/>
  <c r="W1324" i="151"/>
  <c r="X1324" i="151" s="1"/>
  <c r="N1324" i="151"/>
  <c r="L1324" i="151"/>
  <c r="J1324" i="151"/>
  <c r="W1323" i="151"/>
  <c r="X1323" i="151" s="1"/>
  <c r="N1323" i="151"/>
  <c r="L1323" i="151"/>
  <c r="J1323" i="151"/>
  <c r="X1322" i="151"/>
  <c r="W1322" i="151"/>
  <c r="U1322" i="151"/>
  <c r="T1322" i="151"/>
  <c r="S1322" i="151"/>
  <c r="N1322" i="151"/>
  <c r="L1322" i="151"/>
  <c r="J1322" i="151"/>
  <c r="W1321" i="151"/>
  <c r="X1321" i="151" s="1"/>
  <c r="N1321" i="151"/>
  <c r="L1321" i="151"/>
  <c r="J1321" i="151"/>
  <c r="W1320" i="151"/>
  <c r="X1320" i="151" s="1"/>
  <c r="N1320" i="151"/>
  <c r="L1320" i="151"/>
  <c r="J1320" i="151"/>
  <c r="W1319" i="151"/>
  <c r="X1319" i="151" s="1"/>
  <c r="S1319" i="151"/>
  <c r="N1319" i="151"/>
  <c r="L1319" i="151"/>
  <c r="U1319" i="151" s="1"/>
  <c r="J1319" i="151"/>
  <c r="W1318" i="151"/>
  <c r="X1318" i="151" s="1"/>
  <c r="N1318" i="151"/>
  <c r="L1318" i="151"/>
  <c r="J1318" i="151"/>
  <c r="W1317" i="151"/>
  <c r="X1317" i="151" s="1"/>
  <c r="N1317" i="151"/>
  <c r="L1317" i="151"/>
  <c r="J1317" i="151"/>
  <c r="X1316" i="151"/>
  <c r="W1316" i="151"/>
  <c r="U1316" i="151"/>
  <c r="T1316" i="151"/>
  <c r="N1316" i="151"/>
  <c r="L1316" i="151"/>
  <c r="S1316" i="151" s="1"/>
  <c r="J1316" i="151"/>
  <c r="W1315" i="151"/>
  <c r="X1315" i="151" s="1"/>
  <c r="U1315" i="151"/>
  <c r="T1315" i="151"/>
  <c r="S1315" i="151"/>
  <c r="N1315" i="151"/>
  <c r="L1315" i="151"/>
  <c r="J1315" i="151"/>
  <c r="W1314" i="151"/>
  <c r="X1314" i="151" s="1"/>
  <c r="U1314" i="151"/>
  <c r="N1314" i="151"/>
  <c r="L1314" i="151"/>
  <c r="J1314" i="151"/>
  <c r="W1313" i="151"/>
  <c r="X1313" i="151" s="1"/>
  <c r="N1313" i="151"/>
  <c r="L1313" i="151"/>
  <c r="J1313" i="151"/>
  <c r="X1312" i="151"/>
  <c r="W1312" i="151"/>
  <c r="N1312" i="151"/>
  <c r="L1312" i="151"/>
  <c r="U1312" i="151" s="1"/>
  <c r="J1312" i="151"/>
  <c r="X1311" i="151"/>
  <c r="W1311" i="151"/>
  <c r="S1311" i="151"/>
  <c r="N1311" i="151"/>
  <c r="L1311" i="151"/>
  <c r="J1311" i="151"/>
  <c r="W1310" i="151"/>
  <c r="N1310" i="151"/>
  <c r="L1310" i="151"/>
  <c r="J1310" i="151"/>
  <c r="W1309" i="151"/>
  <c r="N1309" i="151"/>
  <c r="L1309" i="151"/>
  <c r="S1309" i="151" s="1"/>
  <c r="J1309" i="151"/>
  <c r="W1308" i="151"/>
  <c r="N1308" i="151"/>
  <c r="L1308" i="151"/>
  <c r="T1308" i="151" s="1"/>
  <c r="J1308" i="151"/>
  <c r="W1307" i="151"/>
  <c r="N1307" i="151"/>
  <c r="L1307" i="151"/>
  <c r="J1307" i="151"/>
  <c r="W1306" i="151"/>
  <c r="N1306" i="151"/>
  <c r="L1306" i="151"/>
  <c r="J1306" i="151"/>
  <c r="W1305" i="151"/>
  <c r="N1305" i="151"/>
  <c r="L1305" i="151"/>
  <c r="S1305" i="151" s="1"/>
  <c r="J1305" i="151"/>
  <c r="W1304" i="151"/>
  <c r="N1304" i="151"/>
  <c r="L1304" i="151"/>
  <c r="J1304" i="151"/>
  <c r="W1303" i="151"/>
  <c r="N1303" i="151"/>
  <c r="L1303" i="151"/>
  <c r="J1303" i="151"/>
  <c r="W1302" i="151"/>
  <c r="U1302" i="151"/>
  <c r="N1302" i="151"/>
  <c r="L1302" i="151"/>
  <c r="S1302" i="151" s="1"/>
  <c r="J1302" i="151"/>
  <c r="W1301" i="151"/>
  <c r="N1301" i="151"/>
  <c r="L1301" i="151"/>
  <c r="J1301" i="151"/>
  <c r="W1300" i="151"/>
  <c r="U1300" i="151"/>
  <c r="T1300" i="151"/>
  <c r="S1300" i="151"/>
  <c r="N1300" i="151"/>
  <c r="L1300" i="151"/>
  <c r="J1300" i="151"/>
  <c r="W1299" i="151"/>
  <c r="N1299" i="151"/>
  <c r="L1299" i="151"/>
  <c r="S1299" i="151" s="1"/>
  <c r="J1299" i="151"/>
  <c r="W1298" i="151"/>
  <c r="N1298" i="151"/>
  <c r="L1298" i="151"/>
  <c r="J1298" i="151"/>
  <c r="W1297" i="151"/>
  <c r="S1297" i="151"/>
  <c r="N1297" i="151"/>
  <c r="L1297" i="151"/>
  <c r="J1297" i="151"/>
  <c r="W1296" i="151"/>
  <c r="T1296" i="151"/>
  <c r="S1296" i="151"/>
  <c r="N1296" i="151"/>
  <c r="L1296" i="151"/>
  <c r="U1296" i="151" s="1"/>
  <c r="J1296" i="151"/>
  <c r="W1295" i="151"/>
  <c r="S1295" i="151"/>
  <c r="N1295" i="151"/>
  <c r="L1295" i="151"/>
  <c r="J1295" i="151"/>
  <c r="W1294" i="151"/>
  <c r="N1294" i="151"/>
  <c r="L1294" i="151"/>
  <c r="J1294" i="151"/>
  <c r="W1293" i="151"/>
  <c r="S1293" i="151"/>
  <c r="N1293" i="151"/>
  <c r="L1293" i="151"/>
  <c r="J1293" i="151"/>
  <c r="W1292" i="151"/>
  <c r="N1292" i="151"/>
  <c r="L1292" i="151"/>
  <c r="J1292" i="151"/>
  <c r="W1291" i="151"/>
  <c r="N1291" i="151"/>
  <c r="L1291" i="151"/>
  <c r="J1291" i="151"/>
  <c r="W1290" i="151"/>
  <c r="N1290" i="151"/>
  <c r="L1290" i="151"/>
  <c r="J1290" i="151"/>
  <c r="W1289" i="151"/>
  <c r="N1289" i="151"/>
  <c r="L1289" i="151"/>
  <c r="J1289" i="151"/>
  <c r="W1288" i="151"/>
  <c r="U1288" i="151"/>
  <c r="N1288" i="151"/>
  <c r="L1288" i="151"/>
  <c r="S1288" i="151" s="1"/>
  <c r="J1288" i="151"/>
  <c r="W1287" i="151"/>
  <c r="N1287" i="151"/>
  <c r="L1287" i="151"/>
  <c r="J1287" i="151"/>
  <c r="W1286" i="151"/>
  <c r="U1286" i="151"/>
  <c r="T1286" i="151"/>
  <c r="S1286" i="151"/>
  <c r="N1286" i="151"/>
  <c r="L1286" i="151"/>
  <c r="J1286" i="151"/>
  <c r="W1285" i="151"/>
  <c r="N1285" i="151"/>
  <c r="L1285" i="151"/>
  <c r="S1285" i="151" s="1"/>
  <c r="J1285" i="151"/>
  <c r="W1284" i="151"/>
  <c r="U1284" i="151"/>
  <c r="N1284" i="151"/>
  <c r="L1284" i="151"/>
  <c r="J1284" i="151"/>
  <c r="W1283" i="151"/>
  <c r="S1283" i="151"/>
  <c r="N1283" i="151"/>
  <c r="L1283" i="151"/>
  <c r="J1283" i="151"/>
  <c r="W1282" i="151"/>
  <c r="T1282" i="151"/>
  <c r="S1282" i="151"/>
  <c r="N1282" i="151"/>
  <c r="L1282" i="151"/>
  <c r="U1282" i="151" s="1"/>
  <c r="J1282" i="151"/>
  <c r="W1281" i="151"/>
  <c r="S1281" i="151"/>
  <c r="N1281" i="151"/>
  <c r="L1281" i="151"/>
  <c r="J1281" i="151"/>
  <c r="W1280" i="151"/>
  <c r="N1280" i="151"/>
  <c r="L1280" i="151"/>
  <c r="T1280" i="151" s="1"/>
  <c r="J1280" i="151"/>
  <c r="W1279" i="151"/>
  <c r="S1279" i="151"/>
  <c r="N1279" i="151"/>
  <c r="L1279" i="151"/>
  <c r="J1279" i="151"/>
  <c r="W1278" i="151"/>
  <c r="N1278" i="151"/>
  <c r="L1278" i="151"/>
  <c r="J1278" i="151"/>
  <c r="W1277" i="151"/>
  <c r="N1277" i="151"/>
  <c r="L1277" i="151"/>
  <c r="S1277" i="151" s="1"/>
  <c r="J1277" i="151"/>
  <c r="W1276" i="151"/>
  <c r="N1276" i="151"/>
  <c r="L1276" i="151"/>
  <c r="J1276" i="151"/>
  <c r="W1275" i="151"/>
  <c r="N1275" i="151"/>
  <c r="L1275" i="151"/>
  <c r="J1275" i="151"/>
  <c r="W1274" i="151"/>
  <c r="N1274" i="151"/>
  <c r="L1274" i="151"/>
  <c r="S1274" i="151" s="1"/>
  <c r="J1274" i="151"/>
  <c r="W1273" i="151"/>
  <c r="N1273" i="151"/>
  <c r="L1273" i="151"/>
  <c r="J1273" i="151"/>
  <c r="W1272" i="151"/>
  <c r="U1272" i="151"/>
  <c r="T1272" i="151"/>
  <c r="S1272" i="151"/>
  <c r="N1272" i="151"/>
  <c r="L1272" i="151"/>
  <c r="J1272" i="151"/>
  <c r="W1271" i="151"/>
  <c r="N1271" i="151"/>
  <c r="L1271" i="151"/>
  <c r="S1271" i="151" s="1"/>
  <c r="J1271" i="151"/>
  <c r="W1270" i="151"/>
  <c r="N1270" i="151"/>
  <c r="L1270" i="151"/>
  <c r="J1270" i="151"/>
  <c r="W1269" i="151"/>
  <c r="N1269" i="151"/>
  <c r="L1269" i="151"/>
  <c r="S1269" i="151" s="1"/>
  <c r="J1269" i="151"/>
  <c r="W1268" i="151"/>
  <c r="N1268" i="151"/>
  <c r="L1268" i="151"/>
  <c r="J1268" i="151"/>
  <c r="W1267" i="151"/>
  <c r="N1267" i="151"/>
  <c r="L1267" i="151"/>
  <c r="S1267" i="151" s="1"/>
  <c r="J1267" i="151"/>
  <c r="W1266" i="151"/>
  <c r="N1266" i="151"/>
  <c r="L1266" i="151"/>
  <c r="J1266" i="151"/>
  <c r="W1265" i="151"/>
  <c r="N1265" i="151"/>
  <c r="L1265" i="151"/>
  <c r="J1265" i="151"/>
  <c r="W1264" i="151"/>
  <c r="N1264" i="151"/>
  <c r="L1264" i="151"/>
  <c r="S1264" i="151" s="1"/>
  <c r="J1264" i="151"/>
  <c r="W1263" i="151"/>
  <c r="N1263" i="151"/>
  <c r="L1263" i="151"/>
  <c r="J1263" i="151"/>
  <c r="W1262" i="151"/>
  <c r="X1262" i="151" s="1"/>
  <c r="N1262" i="151"/>
  <c r="L1262" i="151"/>
  <c r="J1262" i="151"/>
  <c r="X1261" i="151"/>
  <c r="W1261" i="151"/>
  <c r="N1261" i="151"/>
  <c r="L1261" i="151"/>
  <c r="J1261" i="151"/>
  <c r="W1260" i="151"/>
  <c r="X1260" i="151" s="1"/>
  <c r="N1260" i="151"/>
  <c r="L1260" i="151"/>
  <c r="J1260" i="151"/>
  <c r="X1259" i="151"/>
  <c r="W1259" i="151"/>
  <c r="N1259" i="151"/>
  <c r="L1259" i="151"/>
  <c r="J1259" i="151"/>
  <c r="W1258" i="151"/>
  <c r="X1258" i="151" s="1"/>
  <c r="N1258" i="151"/>
  <c r="L1258" i="151"/>
  <c r="J1258" i="151"/>
  <c r="W1257" i="151"/>
  <c r="X1257" i="151" s="1"/>
  <c r="N1257" i="151"/>
  <c r="L1257" i="151"/>
  <c r="T1257" i="151" s="1"/>
  <c r="J1257" i="151"/>
  <c r="W1256" i="151"/>
  <c r="X1256" i="151" s="1"/>
  <c r="N1256" i="151"/>
  <c r="L1256" i="151"/>
  <c r="S1256" i="151" s="1"/>
  <c r="J1256" i="151"/>
  <c r="W1255" i="151"/>
  <c r="N1255" i="151"/>
  <c r="L1255" i="151"/>
  <c r="J1255" i="151"/>
  <c r="W1254" i="151"/>
  <c r="X1254" i="151" s="1"/>
  <c r="N1254" i="151"/>
  <c r="L1254" i="151"/>
  <c r="J1254" i="151"/>
  <c r="X1253" i="151"/>
  <c r="W1253" i="151"/>
  <c r="N1253" i="151"/>
  <c r="L1253" i="151"/>
  <c r="J1253" i="151"/>
  <c r="W1252" i="151"/>
  <c r="S1252" i="151"/>
  <c r="N1252" i="151"/>
  <c r="L1252" i="151"/>
  <c r="J1252" i="151"/>
  <c r="W1251" i="151"/>
  <c r="N1251" i="151"/>
  <c r="L1251" i="151"/>
  <c r="J1251" i="151"/>
  <c r="W1250" i="151"/>
  <c r="N1250" i="151"/>
  <c r="L1250" i="151"/>
  <c r="J1250" i="151"/>
  <c r="W1249" i="151"/>
  <c r="N1249" i="151"/>
  <c r="L1249" i="151"/>
  <c r="J1249" i="151"/>
  <c r="W1248" i="151"/>
  <c r="N1248" i="151"/>
  <c r="L1248" i="151"/>
  <c r="J1248" i="151"/>
  <c r="W1247" i="151"/>
  <c r="N1247" i="151"/>
  <c r="L1247" i="151"/>
  <c r="J1247" i="151"/>
  <c r="W1246" i="151"/>
  <c r="S1246" i="151"/>
  <c r="N1246" i="151"/>
  <c r="L1246" i="151"/>
  <c r="J1246" i="151"/>
  <c r="W1245" i="151"/>
  <c r="N1245" i="151"/>
  <c r="L1245" i="151"/>
  <c r="J1245" i="151"/>
  <c r="W1244" i="151"/>
  <c r="S1244" i="151"/>
  <c r="N1244" i="151"/>
  <c r="L1244" i="151"/>
  <c r="J1244" i="151"/>
  <c r="W1243" i="151"/>
  <c r="N1243" i="151"/>
  <c r="L1243" i="151"/>
  <c r="J1243" i="151"/>
  <c r="W1242" i="151"/>
  <c r="X1242" i="151" s="1"/>
  <c r="N1242" i="151"/>
  <c r="L1242" i="151"/>
  <c r="J1242" i="151"/>
  <c r="X1241" i="151"/>
  <c r="W1241" i="151"/>
  <c r="N1241" i="151"/>
  <c r="L1241" i="151"/>
  <c r="S1241" i="151" s="1"/>
  <c r="J1241" i="151"/>
  <c r="W1240" i="151"/>
  <c r="X1240" i="151" s="1"/>
  <c r="S1240" i="151"/>
  <c r="N1240" i="151"/>
  <c r="L1240" i="151"/>
  <c r="J1240" i="151"/>
  <c r="W1239" i="151"/>
  <c r="X1239" i="151" s="1"/>
  <c r="N1239" i="151"/>
  <c r="L1239" i="151"/>
  <c r="J1239" i="151"/>
  <c r="W1238" i="151"/>
  <c r="X1238" i="151" s="1"/>
  <c r="N1238" i="151"/>
  <c r="L1238" i="151"/>
  <c r="J1238" i="151"/>
  <c r="W1237" i="151"/>
  <c r="X1237" i="151" s="1"/>
  <c r="T1237" i="151"/>
  <c r="S1237" i="151"/>
  <c r="N1237" i="151"/>
  <c r="L1237" i="151"/>
  <c r="U1237" i="151" s="1"/>
  <c r="J1237" i="151"/>
  <c r="W1236" i="151"/>
  <c r="X1236" i="151" s="1"/>
  <c r="U1236" i="151"/>
  <c r="T1236" i="151"/>
  <c r="S1236" i="151"/>
  <c r="N1236" i="151"/>
  <c r="L1236" i="151"/>
  <c r="J1236" i="151"/>
  <c r="W1235" i="151"/>
  <c r="X1235" i="151" s="1"/>
  <c r="N1235" i="151"/>
  <c r="L1235" i="151"/>
  <c r="S1235" i="151" s="1"/>
  <c r="J1235" i="151"/>
  <c r="X1234" i="151"/>
  <c r="W1234" i="151"/>
  <c r="U1234" i="151"/>
  <c r="T1234" i="151"/>
  <c r="S1234" i="151"/>
  <c r="N1234" i="151"/>
  <c r="L1234" i="151"/>
  <c r="J1234" i="151"/>
  <c r="W1233" i="151"/>
  <c r="X1233" i="151" s="1"/>
  <c r="N1233" i="151"/>
  <c r="L1233" i="151"/>
  <c r="J1233" i="151"/>
  <c r="W1232" i="151"/>
  <c r="X1232" i="151" s="1"/>
  <c r="N1232" i="151"/>
  <c r="L1232" i="151"/>
  <c r="J1232" i="151"/>
  <c r="W1231" i="151"/>
  <c r="X1231" i="151" s="1"/>
  <c r="N1231" i="151"/>
  <c r="L1231" i="151"/>
  <c r="J1231" i="151"/>
  <c r="W1230" i="151"/>
  <c r="X1230" i="151" s="1"/>
  <c r="N1230" i="151"/>
  <c r="L1230" i="151"/>
  <c r="J1230" i="151"/>
  <c r="W1229" i="151"/>
  <c r="X1229" i="151" s="1"/>
  <c r="N1229" i="151"/>
  <c r="L1229" i="151"/>
  <c r="J1229" i="151"/>
  <c r="W1228" i="151"/>
  <c r="X1228" i="151" s="1"/>
  <c r="N1228" i="151"/>
  <c r="L1228" i="151"/>
  <c r="J1228" i="151"/>
  <c r="W1227" i="151"/>
  <c r="X1227" i="151" s="1"/>
  <c r="U1227" i="151"/>
  <c r="T1227" i="151"/>
  <c r="S1227" i="151"/>
  <c r="N1227" i="151"/>
  <c r="L1227" i="151"/>
  <c r="J1227" i="151"/>
  <c r="W1226" i="151"/>
  <c r="X1226" i="151" s="1"/>
  <c r="N1226" i="151"/>
  <c r="L1226" i="151"/>
  <c r="J1226" i="151"/>
  <c r="W1225" i="151"/>
  <c r="X1225" i="151" s="1"/>
  <c r="N1225" i="151"/>
  <c r="L1225" i="151"/>
  <c r="J1225" i="151"/>
  <c r="W1224" i="151"/>
  <c r="X1224" i="151" s="1"/>
  <c r="T1224" i="151"/>
  <c r="N1224" i="151"/>
  <c r="L1224" i="151"/>
  <c r="U1224" i="151" s="1"/>
  <c r="J1224" i="151"/>
  <c r="W1223" i="151"/>
  <c r="X1223" i="151" s="1"/>
  <c r="T1223" i="151"/>
  <c r="S1223" i="151"/>
  <c r="N1223" i="151"/>
  <c r="L1223" i="151"/>
  <c r="U1223" i="151" s="1"/>
  <c r="J1223" i="151"/>
  <c r="W1222" i="151"/>
  <c r="X1222" i="151" s="1"/>
  <c r="T1222" i="151"/>
  <c r="S1222" i="151"/>
  <c r="N1222" i="151"/>
  <c r="L1222" i="151"/>
  <c r="U1222" i="151" s="1"/>
  <c r="J1222" i="151"/>
  <c r="W1221" i="151"/>
  <c r="X1221" i="151" s="1"/>
  <c r="U1221" i="151"/>
  <c r="T1221" i="151"/>
  <c r="N1221" i="151"/>
  <c r="L1221" i="151"/>
  <c r="S1221" i="151" s="1"/>
  <c r="J1221" i="151"/>
  <c r="W1220" i="151"/>
  <c r="X1220" i="151" s="1"/>
  <c r="N1220" i="151"/>
  <c r="L1220" i="151"/>
  <c r="J1220" i="151"/>
  <c r="W1219" i="151"/>
  <c r="X1219" i="151" s="1"/>
  <c r="S1219" i="151"/>
  <c r="N1219" i="151"/>
  <c r="L1219" i="151"/>
  <c r="J1219" i="151"/>
  <c r="W1218" i="151"/>
  <c r="X1218" i="151" s="1"/>
  <c r="N1218" i="151"/>
  <c r="L1218" i="151"/>
  <c r="J1218" i="151"/>
  <c r="W1217" i="151"/>
  <c r="X1217" i="151" s="1"/>
  <c r="N1217" i="151"/>
  <c r="L1217" i="151"/>
  <c r="J1217" i="151"/>
  <c r="W1216" i="151"/>
  <c r="X1216" i="151" s="1"/>
  <c r="T1216" i="151"/>
  <c r="N1216" i="151"/>
  <c r="L1216" i="151"/>
  <c r="U1216" i="151" s="1"/>
  <c r="J1216" i="151"/>
  <c r="W1215" i="151"/>
  <c r="X1215" i="151" s="1"/>
  <c r="U1215" i="151"/>
  <c r="T1215" i="151"/>
  <c r="S1215" i="151"/>
  <c r="N1215" i="151"/>
  <c r="L1215" i="151"/>
  <c r="J1215" i="151"/>
  <c r="W1214" i="151"/>
  <c r="X1214" i="151" s="1"/>
  <c r="N1214" i="151"/>
  <c r="L1214" i="151"/>
  <c r="J1214" i="151"/>
  <c r="W1213" i="151"/>
  <c r="X1213" i="151" s="1"/>
  <c r="S1213" i="151"/>
  <c r="N1213" i="151"/>
  <c r="L1213" i="151"/>
  <c r="J1213" i="151"/>
  <c r="W1212" i="151"/>
  <c r="X1212" i="151" s="1"/>
  <c r="N1212" i="151"/>
  <c r="L1212" i="151"/>
  <c r="J1212" i="151"/>
  <c r="W1211" i="151"/>
  <c r="X1211" i="151" s="1"/>
  <c r="N1211" i="151"/>
  <c r="L1211" i="151"/>
  <c r="J1211" i="151"/>
  <c r="W1210" i="151"/>
  <c r="X1210" i="151" s="1"/>
  <c r="N1210" i="151"/>
  <c r="L1210" i="151"/>
  <c r="J1210" i="151"/>
  <c r="W1209" i="151"/>
  <c r="X1209" i="151" s="1"/>
  <c r="T1209" i="151"/>
  <c r="S1209" i="151"/>
  <c r="N1209" i="151"/>
  <c r="L1209" i="151"/>
  <c r="U1209" i="151" s="1"/>
  <c r="J1209" i="151"/>
  <c r="W1208" i="151"/>
  <c r="X1208" i="151" s="1"/>
  <c r="S1208" i="151"/>
  <c r="N1208" i="151"/>
  <c r="L1208" i="151"/>
  <c r="J1208" i="151"/>
  <c r="W1207" i="151"/>
  <c r="X1207" i="151" s="1"/>
  <c r="N1207" i="151"/>
  <c r="L1207" i="151"/>
  <c r="J1207" i="151"/>
  <c r="X1206" i="151"/>
  <c r="W1206" i="151"/>
  <c r="N1206" i="151"/>
  <c r="L1206" i="151"/>
  <c r="J1206" i="151"/>
  <c r="W1205" i="151"/>
  <c r="X1205" i="151" s="1"/>
  <c r="N1205" i="151"/>
  <c r="L1205" i="151"/>
  <c r="J1205" i="151"/>
  <c r="W1204" i="151"/>
  <c r="X1204" i="151" s="1"/>
  <c r="N1204" i="151"/>
  <c r="L1204" i="151"/>
  <c r="J1204" i="151"/>
  <c r="W1203" i="151"/>
  <c r="X1203" i="151" s="1"/>
  <c r="T1203" i="151"/>
  <c r="S1203" i="151"/>
  <c r="N1203" i="151"/>
  <c r="L1203" i="151"/>
  <c r="U1203" i="151" s="1"/>
  <c r="J1203" i="151"/>
  <c r="W1202" i="151"/>
  <c r="X1202" i="151" s="1"/>
  <c r="T1202" i="151"/>
  <c r="S1202" i="151"/>
  <c r="N1202" i="151"/>
  <c r="L1202" i="151"/>
  <c r="U1202" i="151" s="1"/>
  <c r="J1202" i="151"/>
  <c r="W1201" i="151"/>
  <c r="X1201" i="151" s="1"/>
  <c r="T1201" i="151"/>
  <c r="S1201" i="151"/>
  <c r="N1201" i="151"/>
  <c r="L1201" i="151"/>
  <c r="U1201" i="151" s="1"/>
  <c r="J1201" i="151"/>
  <c r="W1200" i="151"/>
  <c r="X1200" i="151" s="1"/>
  <c r="U1200" i="151"/>
  <c r="N1200" i="151"/>
  <c r="L1200" i="151"/>
  <c r="S1200" i="151" s="1"/>
  <c r="J1200" i="151"/>
  <c r="W1199" i="151"/>
  <c r="X1199" i="151" s="1"/>
  <c r="S1199" i="151"/>
  <c r="N1199" i="151"/>
  <c r="L1199" i="151"/>
  <c r="J1199" i="151"/>
  <c r="W1198" i="151"/>
  <c r="X1198" i="151" s="1"/>
  <c r="N1198" i="151"/>
  <c r="L1198" i="151"/>
  <c r="J1198" i="151"/>
  <c r="W1197" i="151"/>
  <c r="X1197" i="151" s="1"/>
  <c r="N1197" i="151"/>
  <c r="L1197" i="151"/>
  <c r="J1197" i="151"/>
  <c r="W1196" i="151"/>
  <c r="X1196" i="151" s="1"/>
  <c r="N1196" i="151"/>
  <c r="L1196" i="151"/>
  <c r="J1196" i="151"/>
  <c r="W1195" i="151"/>
  <c r="X1195" i="151" s="1"/>
  <c r="N1195" i="151"/>
  <c r="L1195" i="151"/>
  <c r="U1195" i="151" s="1"/>
  <c r="J1195" i="151"/>
  <c r="W1194" i="151"/>
  <c r="X1194" i="151" s="1"/>
  <c r="U1194" i="151"/>
  <c r="T1194" i="151"/>
  <c r="N1194" i="151"/>
  <c r="L1194" i="151"/>
  <c r="S1194" i="151" s="1"/>
  <c r="J1194" i="151"/>
  <c r="W1193" i="151"/>
  <c r="X1193" i="151" s="1"/>
  <c r="N1193" i="151"/>
  <c r="L1193" i="151"/>
  <c r="J1193" i="151"/>
  <c r="W1192" i="151"/>
  <c r="X1192" i="151" s="1"/>
  <c r="N1192" i="151"/>
  <c r="L1192" i="151"/>
  <c r="J1192" i="151"/>
  <c r="W1191" i="151"/>
  <c r="X1191" i="151" s="1"/>
  <c r="N1191" i="151"/>
  <c r="L1191" i="151"/>
  <c r="J1191" i="151"/>
  <c r="X1190" i="151"/>
  <c r="W1190" i="151"/>
  <c r="N1190" i="151"/>
  <c r="L1190" i="151"/>
  <c r="J1190" i="151"/>
  <c r="W1189" i="151"/>
  <c r="X1189" i="151" s="1"/>
  <c r="N1189" i="151"/>
  <c r="L1189" i="151"/>
  <c r="J1189" i="151"/>
  <c r="W1188" i="151"/>
  <c r="X1188" i="151" s="1"/>
  <c r="T1188" i="151"/>
  <c r="S1188" i="151"/>
  <c r="N1188" i="151"/>
  <c r="L1188" i="151"/>
  <c r="U1188" i="151" s="1"/>
  <c r="J1188" i="151"/>
  <c r="W1187" i="151"/>
  <c r="X1187" i="151" s="1"/>
  <c r="N1187" i="151"/>
  <c r="L1187" i="151"/>
  <c r="J1187" i="151"/>
  <c r="W1186" i="151"/>
  <c r="X1186" i="151" s="1"/>
  <c r="N1186" i="151"/>
  <c r="L1186" i="151"/>
  <c r="J1186" i="151"/>
  <c r="W1185" i="151"/>
  <c r="X1185" i="151" s="1"/>
  <c r="U1185" i="151"/>
  <c r="N1185" i="151"/>
  <c r="L1185" i="151"/>
  <c r="T1185" i="151" s="1"/>
  <c r="J1185" i="151"/>
  <c r="W1184" i="151"/>
  <c r="X1184" i="151" s="1"/>
  <c r="S1184" i="151"/>
  <c r="N1184" i="151"/>
  <c r="L1184" i="151"/>
  <c r="J1184" i="151"/>
  <c r="W1183" i="151"/>
  <c r="X1183" i="151" s="1"/>
  <c r="N1183" i="151"/>
  <c r="L1183" i="151"/>
  <c r="J1183" i="151"/>
  <c r="W1182" i="151"/>
  <c r="X1182" i="151" s="1"/>
  <c r="S1182" i="151"/>
  <c r="N1182" i="151"/>
  <c r="L1182" i="151"/>
  <c r="J1182" i="151"/>
  <c r="W1181" i="151"/>
  <c r="X1181" i="151" s="1"/>
  <c r="T1181" i="151"/>
  <c r="S1181" i="151"/>
  <c r="N1181" i="151"/>
  <c r="L1181" i="151"/>
  <c r="U1181" i="151" s="1"/>
  <c r="J1181" i="151"/>
  <c r="W1180" i="151"/>
  <c r="X1180" i="151" s="1"/>
  <c r="N1180" i="151"/>
  <c r="L1180" i="151"/>
  <c r="J1180" i="151"/>
  <c r="W1179" i="151"/>
  <c r="X1179" i="151" s="1"/>
  <c r="N1179" i="151"/>
  <c r="L1179" i="151"/>
  <c r="J1179" i="151"/>
  <c r="W1178" i="151"/>
  <c r="X1178" i="151" s="1"/>
  <c r="N1178" i="151"/>
  <c r="L1178" i="151"/>
  <c r="U1178" i="151" s="1"/>
  <c r="J1178" i="151"/>
  <c r="W1177" i="151"/>
  <c r="X1177" i="151" s="1"/>
  <c r="N1177" i="151"/>
  <c r="L1177" i="151"/>
  <c r="S1177" i="151" s="1"/>
  <c r="J1177" i="151"/>
  <c r="W1176" i="151"/>
  <c r="X1176" i="151" s="1"/>
  <c r="N1176" i="151"/>
  <c r="L1176" i="151"/>
  <c r="J1176" i="151"/>
  <c r="W1175" i="151"/>
  <c r="X1175" i="151" s="1"/>
  <c r="N1175" i="151"/>
  <c r="L1175" i="151"/>
  <c r="J1175" i="151"/>
  <c r="W1174" i="151"/>
  <c r="X1174" i="151" s="1"/>
  <c r="T1174" i="151"/>
  <c r="S1174" i="151"/>
  <c r="N1174" i="151"/>
  <c r="L1174" i="151"/>
  <c r="U1174" i="151" s="1"/>
  <c r="J1174" i="151"/>
  <c r="W1173" i="151"/>
  <c r="X1173" i="151" s="1"/>
  <c r="N1173" i="151"/>
  <c r="L1173" i="151"/>
  <c r="J1173" i="151"/>
  <c r="W1172" i="151"/>
  <c r="X1172" i="151" s="1"/>
  <c r="T1172" i="151"/>
  <c r="N1172" i="151"/>
  <c r="L1172" i="151"/>
  <c r="J1172" i="151"/>
  <c r="W1171" i="151"/>
  <c r="X1171" i="151" s="1"/>
  <c r="N1171" i="151"/>
  <c r="L1171" i="151"/>
  <c r="J1171" i="151"/>
  <c r="W1170" i="151"/>
  <c r="X1170" i="151" s="1"/>
  <c r="N1170" i="151"/>
  <c r="L1170" i="151"/>
  <c r="S1170" i="151" s="1"/>
  <c r="J1170" i="151"/>
  <c r="X1169" i="151"/>
  <c r="W1169" i="151"/>
  <c r="N1169" i="151"/>
  <c r="L1169" i="151"/>
  <c r="T1169" i="151" s="1"/>
  <c r="J1169" i="151"/>
  <c r="W1168" i="151"/>
  <c r="X1168" i="151" s="1"/>
  <c r="N1168" i="151"/>
  <c r="L1168" i="151"/>
  <c r="J1168" i="151"/>
  <c r="W1167" i="151"/>
  <c r="X1167" i="151" s="1"/>
  <c r="T1167" i="151"/>
  <c r="S1167" i="151"/>
  <c r="N1167" i="151"/>
  <c r="L1167" i="151"/>
  <c r="U1167" i="151" s="1"/>
  <c r="J1167" i="151"/>
  <c r="W1166" i="151"/>
  <c r="X1166" i="151" s="1"/>
  <c r="N1166" i="151"/>
  <c r="L1166" i="151"/>
  <c r="J1166" i="151"/>
  <c r="W1165" i="151"/>
  <c r="X1165" i="151" s="1"/>
  <c r="N1165" i="151"/>
  <c r="L1165" i="151"/>
  <c r="J1165" i="151"/>
  <c r="W1164" i="151"/>
  <c r="X1164" i="151" s="1"/>
  <c r="N1164" i="151"/>
  <c r="L1164" i="151"/>
  <c r="J1164" i="151"/>
  <c r="X1163" i="151"/>
  <c r="W1163" i="151"/>
  <c r="N1163" i="151"/>
  <c r="L1163" i="151"/>
  <c r="S1163" i="151" s="1"/>
  <c r="J1163" i="151"/>
  <c r="W1162" i="151"/>
  <c r="X1162" i="151" s="1"/>
  <c r="N1162" i="151"/>
  <c r="L1162" i="151"/>
  <c r="J1162" i="151"/>
  <c r="W1161" i="151"/>
  <c r="X1161" i="151" s="1"/>
  <c r="U1161" i="151"/>
  <c r="T1161" i="151"/>
  <c r="S1161" i="151"/>
  <c r="N1161" i="151"/>
  <c r="L1161" i="151"/>
  <c r="J1161" i="151"/>
  <c r="W1160" i="151"/>
  <c r="X1160" i="151" s="1"/>
  <c r="T1160" i="151"/>
  <c r="S1160" i="151"/>
  <c r="N1160" i="151"/>
  <c r="L1160" i="151"/>
  <c r="U1160" i="151" s="1"/>
  <c r="J1160" i="151"/>
  <c r="W1159" i="151"/>
  <c r="X1159" i="151" s="1"/>
  <c r="T1159" i="151"/>
  <c r="S1159" i="151"/>
  <c r="N1159" i="151"/>
  <c r="L1159" i="151"/>
  <c r="U1159" i="151" s="1"/>
  <c r="J1159" i="151"/>
  <c r="W1158" i="151"/>
  <c r="X1158" i="151" s="1"/>
  <c r="N1158" i="151"/>
  <c r="L1158" i="151"/>
  <c r="J1158" i="151"/>
  <c r="W1157" i="151"/>
  <c r="X1157" i="151" s="1"/>
  <c r="N1157" i="151"/>
  <c r="L1157" i="151"/>
  <c r="J1157" i="151"/>
  <c r="W1156" i="151"/>
  <c r="X1156" i="151" s="1"/>
  <c r="N1156" i="151"/>
  <c r="L1156" i="151"/>
  <c r="J1156" i="151"/>
  <c r="X1155" i="151"/>
  <c r="W1155" i="151"/>
  <c r="N1155" i="151"/>
  <c r="L1155" i="151"/>
  <c r="J1155" i="151"/>
  <c r="W1154" i="151"/>
  <c r="X1154" i="151" s="1"/>
  <c r="T1154" i="151"/>
  <c r="N1154" i="151"/>
  <c r="L1154" i="151"/>
  <c r="J1154" i="151"/>
  <c r="W1153" i="151"/>
  <c r="X1153" i="151" s="1"/>
  <c r="T1153" i="151"/>
  <c r="S1153" i="151"/>
  <c r="N1153" i="151"/>
  <c r="L1153" i="151"/>
  <c r="U1153" i="151" s="1"/>
  <c r="J1153" i="151"/>
  <c r="W1152" i="151"/>
  <c r="X1152" i="151" s="1"/>
  <c r="S1152" i="151"/>
  <c r="N1152" i="151"/>
  <c r="L1152" i="151"/>
  <c r="J1152" i="151"/>
  <c r="W1151" i="151"/>
  <c r="X1151" i="151" s="1"/>
  <c r="U1151" i="151"/>
  <c r="T1151" i="151"/>
  <c r="N1151" i="151"/>
  <c r="L1151" i="151"/>
  <c r="S1151" i="151" s="1"/>
  <c r="J1151" i="151"/>
  <c r="W1150" i="151"/>
  <c r="X1150" i="151" s="1"/>
  <c r="N1150" i="151"/>
  <c r="L1150" i="151"/>
  <c r="J1150" i="151"/>
  <c r="W1149" i="151"/>
  <c r="X1149" i="151" s="1"/>
  <c r="S1149" i="151"/>
  <c r="N1149" i="151"/>
  <c r="L1149" i="151"/>
  <c r="J1149" i="151"/>
  <c r="W1148" i="151"/>
  <c r="X1148" i="151" s="1"/>
  <c r="N1148" i="151"/>
  <c r="L1148" i="151"/>
  <c r="J1148" i="151"/>
  <c r="X1147" i="151"/>
  <c r="W1147" i="151"/>
  <c r="T1147" i="151"/>
  <c r="S1147" i="151"/>
  <c r="N1147" i="151"/>
  <c r="L1147" i="151"/>
  <c r="U1147" i="151" s="1"/>
  <c r="J1147" i="151"/>
  <c r="W1146" i="151"/>
  <c r="X1146" i="151" s="1"/>
  <c r="N1146" i="151"/>
  <c r="L1146" i="151"/>
  <c r="U1146" i="151" s="1"/>
  <c r="J1146" i="151"/>
  <c r="W1145" i="151"/>
  <c r="X1145" i="151" s="1"/>
  <c r="N1145" i="151"/>
  <c r="L1145" i="151"/>
  <c r="J1145" i="151"/>
  <c r="W1144" i="151"/>
  <c r="X1144" i="151" s="1"/>
  <c r="N1144" i="151"/>
  <c r="L1144" i="151"/>
  <c r="S1144" i="151" s="1"/>
  <c r="J1144" i="151"/>
  <c r="W1143" i="151"/>
  <c r="X1143" i="151" s="1"/>
  <c r="N1143" i="151"/>
  <c r="L1143" i="151"/>
  <c r="J1143" i="151"/>
  <c r="W1142" i="151"/>
  <c r="X1142" i="151" s="1"/>
  <c r="N1142" i="151"/>
  <c r="L1142" i="151"/>
  <c r="J1142" i="151"/>
  <c r="W1141" i="151"/>
  <c r="X1141" i="151" s="1"/>
  <c r="N1141" i="151"/>
  <c r="L1141" i="151"/>
  <c r="J1141" i="151"/>
  <c r="W1140" i="151"/>
  <c r="X1140" i="151" s="1"/>
  <c r="N1140" i="151"/>
  <c r="L1140" i="151"/>
  <c r="J1140" i="151"/>
  <c r="W1139" i="151"/>
  <c r="X1139" i="151" s="1"/>
  <c r="T1139" i="151"/>
  <c r="N1139" i="151"/>
  <c r="L1139" i="151"/>
  <c r="U1139" i="151" s="1"/>
  <c r="J1139" i="151"/>
  <c r="W1138" i="151"/>
  <c r="X1138" i="151" s="1"/>
  <c r="N1138" i="151"/>
  <c r="L1138" i="151"/>
  <c r="J1138" i="151"/>
  <c r="W1137" i="151"/>
  <c r="X1137" i="151" s="1"/>
  <c r="N1137" i="151"/>
  <c r="L1137" i="151"/>
  <c r="J1137" i="151"/>
  <c r="W1136" i="151"/>
  <c r="X1136" i="151" s="1"/>
  <c r="U1136" i="151"/>
  <c r="N1136" i="151"/>
  <c r="L1136" i="151"/>
  <c r="T1136" i="151" s="1"/>
  <c r="J1136" i="151"/>
  <c r="W1135" i="151"/>
  <c r="X1135" i="151" s="1"/>
  <c r="N1135" i="151"/>
  <c r="L1135" i="151"/>
  <c r="J1135" i="151"/>
  <c r="W1134" i="151"/>
  <c r="X1134" i="151" s="1"/>
  <c r="N1134" i="151"/>
  <c r="L1134" i="151"/>
  <c r="S1134" i="151" s="1"/>
  <c r="J1134" i="151"/>
  <c r="X1133" i="151"/>
  <c r="W1133" i="151"/>
  <c r="N1133" i="151"/>
  <c r="L1133" i="151"/>
  <c r="S1133" i="151" s="1"/>
  <c r="J1133" i="151"/>
  <c r="W1132" i="151"/>
  <c r="X1132" i="151" s="1"/>
  <c r="S1132" i="151"/>
  <c r="N1132" i="151"/>
  <c r="L1132" i="151"/>
  <c r="J1132" i="151"/>
  <c r="W1131" i="151"/>
  <c r="X1131" i="151" s="1"/>
  <c r="N1131" i="151"/>
  <c r="L1131" i="151"/>
  <c r="U1131" i="151" s="1"/>
  <c r="J1131" i="151"/>
  <c r="W1130" i="151"/>
  <c r="X1130" i="151" s="1"/>
  <c r="N1130" i="151"/>
  <c r="L1130" i="151"/>
  <c r="T1130" i="151" s="1"/>
  <c r="J1130" i="151"/>
  <c r="W1129" i="151"/>
  <c r="X1129" i="151" s="1"/>
  <c r="U1129" i="151"/>
  <c r="T1129" i="151"/>
  <c r="N1129" i="151"/>
  <c r="L1129" i="151"/>
  <c r="S1129" i="151" s="1"/>
  <c r="J1129" i="151"/>
  <c r="W1128" i="151"/>
  <c r="X1128" i="151" s="1"/>
  <c r="N1128" i="151"/>
  <c r="L1128" i="151"/>
  <c r="S1128" i="151" s="1"/>
  <c r="J1128" i="151"/>
  <c r="X1127" i="151"/>
  <c r="W1127" i="151"/>
  <c r="U1127" i="151"/>
  <c r="T1127" i="151"/>
  <c r="N1127" i="151"/>
  <c r="L1127" i="151"/>
  <c r="S1127" i="151" s="1"/>
  <c r="J1127" i="151"/>
  <c r="W1126" i="151"/>
  <c r="X1126" i="151" s="1"/>
  <c r="N1126" i="151"/>
  <c r="L1126" i="151"/>
  <c r="T1126" i="151" s="1"/>
  <c r="J1126" i="151"/>
  <c r="W1125" i="151"/>
  <c r="X1125" i="151" s="1"/>
  <c r="T1125" i="151"/>
  <c r="N1125" i="151"/>
  <c r="L1125" i="151"/>
  <c r="J1125" i="151"/>
  <c r="W1124" i="151"/>
  <c r="X1124" i="151" s="1"/>
  <c r="N1124" i="151"/>
  <c r="L1124" i="151"/>
  <c r="J1124" i="151"/>
  <c r="W1123" i="151"/>
  <c r="X1123" i="151" s="1"/>
  <c r="U1123" i="151"/>
  <c r="T1123" i="151"/>
  <c r="N1123" i="151"/>
  <c r="L1123" i="151"/>
  <c r="S1123" i="151" s="1"/>
  <c r="J1123" i="151"/>
  <c r="W1122" i="151"/>
  <c r="X1122" i="151" s="1"/>
  <c r="U1122" i="151"/>
  <c r="T1122" i="151"/>
  <c r="S1122" i="151"/>
  <c r="N1122" i="151"/>
  <c r="L1122" i="151"/>
  <c r="J1122" i="151"/>
  <c r="W1121" i="151"/>
  <c r="X1121" i="151" s="1"/>
  <c r="N1121" i="151"/>
  <c r="L1121" i="151"/>
  <c r="S1121" i="151" s="1"/>
  <c r="J1121" i="151"/>
  <c r="W1120" i="151"/>
  <c r="X1120" i="151" s="1"/>
  <c r="T1120" i="151"/>
  <c r="N1120" i="151"/>
  <c r="L1120" i="151"/>
  <c r="S1120" i="151" s="1"/>
  <c r="J1120" i="151"/>
  <c r="X1119" i="151"/>
  <c r="W1119" i="151"/>
  <c r="N1119" i="151"/>
  <c r="L1119" i="151"/>
  <c r="J1119" i="151"/>
  <c r="W1118" i="151"/>
  <c r="X1118" i="151" s="1"/>
  <c r="N1118" i="151"/>
  <c r="L1118" i="151"/>
  <c r="J1118" i="151"/>
  <c r="W1117" i="151"/>
  <c r="X1117" i="151" s="1"/>
  <c r="N1117" i="151"/>
  <c r="L1117" i="151"/>
  <c r="S1117" i="151" s="1"/>
  <c r="J1117" i="151"/>
  <c r="W1116" i="151"/>
  <c r="X1116" i="151" s="1"/>
  <c r="U1116" i="151"/>
  <c r="N1116" i="151"/>
  <c r="L1116" i="151"/>
  <c r="S1116" i="151" s="1"/>
  <c r="J1116" i="151"/>
  <c r="W1115" i="151"/>
  <c r="X1115" i="151" s="1"/>
  <c r="U1115" i="151"/>
  <c r="T1115" i="151"/>
  <c r="N1115" i="151"/>
  <c r="L1115" i="151"/>
  <c r="S1115" i="151" s="1"/>
  <c r="J1115" i="151"/>
  <c r="W1114" i="151"/>
  <c r="X1114" i="151" s="1"/>
  <c r="N1114" i="151"/>
  <c r="L1114" i="151"/>
  <c r="S1114" i="151" s="1"/>
  <c r="J1114" i="151"/>
  <c r="W1113" i="151"/>
  <c r="X1113" i="151" s="1"/>
  <c r="U1113" i="151"/>
  <c r="N1113" i="151"/>
  <c r="L1113" i="151"/>
  <c r="S1113" i="151" s="1"/>
  <c r="J1113" i="151"/>
  <c r="W1112" i="151"/>
  <c r="X1112" i="151" s="1"/>
  <c r="N1112" i="151"/>
  <c r="L1112" i="151"/>
  <c r="J1112" i="151"/>
  <c r="W1111" i="151"/>
  <c r="X1111" i="151" s="1"/>
  <c r="N1111" i="151"/>
  <c r="L1111" i="151"/>
  <c r="T1111" i="151" s="1"/>
  <c r="J1111" i="151"/>
  <c r="W1110" i="151"/>
  <c r="X1110" i="151" s="1"/>
  <c r="U1110" i="151"/>
  <c r="N1110" i="151"/>
  <c r="L1110" i="151"/>
  <c r="S1110" i="151" s="1"/>
  <c r="J1110" i="151"/>
  <c r="W1109" i="151"/>
  <c r="X1109" i="151" s="1"/>
  <c r="N1109" i="151"/>
  <c r="L1109" i="151"/>
  <c r="J1109" i="151"/>
  <c r="W1108" i="151"/>
  <c r="X1108" i="151" s="1"/>
  <c r="U1108" i="151"/>
  <c r="T1108" i="151"/>
  <c r="S1108" i="151"/>
  <c r="N1108" i="151"/>
  <c r="L1108" i="151"/>
  <c r="J1108" i="151"/>
  <c r="W1107" i="151"/>
  <c r="X1107" i="151" s="1"/>
  <c r="N1107" i="151"/>
  <c r="L1107" i="151"/>
  <c r="J1107" i="151"/>
  <c r="W1106" i="151"/>
  <c r="X1106" i="151" s="1"/>
  <c r="U1106" i="151"/>
  <c r="T1106" i="151"/>
  <c r="N1106" i="151"/>
  <c r="L1106" i="151"/>
  <c r="S1106" i="151" s="1"/>
  <c r="J1106" i="151"/>
  <c r="X1105" i="151"/>
  <c r="W1105" i="151"/>
  <c r="N1105" i="151"/>
  <c r="L1105" i="151"/>
  <c r="U1105" i="151" s="1"/>
  <c r="J1105" i="151"/>
  <c r="W1104" i="151"/>
  <c r="X1104" i="151" s="1"/>
  <c r="U1104" i="151"/>
  <c r="S1104" i="151"/>
  <c r="N1104" i="151"/>
  <c r="L1104" i="151"/>
  <c r="T1104" i="151" s="1"/>
  <c r="J1104" i="151"/>
  <c r="W1103" i="151"/>
  <c r="X1103" i="151" s="1"/>
  <c r="S1103" i="151"/>
  <c r="N1103" i="151"/>
  <c r="L1103" i="151"/>
  <c r="J1103" i="151"/>
  <c r="W1102" i="151"/>
  <c r="X1102" i="151" s="1"/>
  <c r="N1102" i="151"/>
  <c r="L1102" i="151"/>
  <c r="J1102" i="151"/>
  <c r="W1101" i="151"/>
  <c r="X1101" i="151" s="1"/>
  <c r="U1101" i="151"/>
  <c r="T1101" i="151"/>
  <c r="S1101" i="151"/>
  <c r="N1101" i="151"/>
  <c r="L1101" i="151"/>
  <c r="J1101" i="151"/>
  <c r="W1100" i="151"/>
  <c r="X1100" i="151" s="1"/>
  <c r="N1100" i="151"/>
  <c r="L1100" i="151"/>
  <c r="U1100" i="151" s="1"/>
  <c r="J1100" i="151"/>
  <c r="W1099" i="151"/>
  <c r="X1099" i="151" s="1"/>
  <c r="N1099" i="151"/>
  <c r="L1099" i="151"/>
  <c r="J1099" i="151"/>
  <c r="W1098" i="151"/>
  <c r="X1098" i="151" s="1"/>
  <c r="N1098" i="151"/>
  <c r="L1098" i="151"/>
  <c r="J1098" i="151"/>
  <c r="W1097" i="151"/>
  <c r="X1097" i="151" s="1"/>
  <c r="N1097" i="151"/>
  <c r="L1097" i="151"/>
  <c r="T1097" i="151" s="1"/>
  <c r="J1097" i="151"/>
  <c r="X1096" i="151"/>
  <c r="W1096" i="151"/>
  <c r="N1096" i="151"/>
  <c r="L1096" i="151"/>
  <c r="J1096" i="151"/>
  <c r="W1095" i="151"/>
  <c r="X1095" i="151" s="1"/>
  <c r="N1095" i="151"/>
  <c r="L1095" i="151"/>
  <c r="J1095" i="151"/>
  <c r="W1094" i="151"/>
  <c r="X1094" i="151" s="1"/>
  <c r="N1094" i="151"/>
  <c r="L1094" i="151"/>
  <c r="J1094" i="151"/>
  <c r="X1093" i="151"/>
  <c r="W1093" i="151"/>
  <c r="N1093" i="151"/>
  <c r="L1093" i="151"/>
  <c r="U1093" i="151" s="1"/>
  <c r="J1093" i="151"/>
  <c r="W1092" i="151"/>
  <c r="X1092" i="151" s="1"/>
  <c r="N1092" i="151"/>
  <c r="L1092" i="151"/>
  <c r="J1092" i="151"/>
  <c r="W1091" i="151"/>
  <c r="X1091" i="151" s="1"/>
  <c r="N1091" i="151"/>
  <c r="L1091" i="151"/>
  <c r="J1091" i="151"/>
  <c r="X1090" i="151"/>
  <c r="W1090" i="151"/>
  <c r="N1090" i="151"/>
  <c r="L1090" i="151"/>
  <c r="T1090" i="151" s="1"/>
  <c r="J1090" i="151"/>
  <c r="W1089" i="151"/>
  <c r="X1089" i="151" s="1"/>
  <c r="U1089" i="151"/>
  <c r="T1089" i="151"/>
  <c r="S1089" i="151"/>
  <c r="N1089" i="151"/>
  <c r="L1089" i="151"/>
  <c r="J1089" i="151"/>
  <c r="X1088" i="151"/>
  <c r="W1088" i="151"/>
  <c r="N1088" i="151"/>
  <c r="L1088" i="151"/>
  <c r="J1088" i="151"/>
  <c r="W1087" i="151"/>
  <c r="X1087" i="151" s="1"/>
  <c r="U1087" i="151"/>
  <c r="T1087" i="151"/>
  <c r="S1087" i="151"/>
  <c r="N1087" i="151"/>
  <c r="L1087" i="151"/>
  <c r="J1087" i="151"/>
  <c r="W1086" i="151"/>
  <c r="X1086" i="151" s="1"/>
  <c r="N1086" i="151"/>
  <c r="L1086" i="151"/>
  <c r="J1086" i="151"/>
  <c r="W1085" i="151"/>
  <c r="X1085" i="151" s="1"/>
  <c r="T1085" i="151"/>
  <c r="N1085" i="151"/>
  <c r="L1085" i="151"/>
  <c r="J1085" i="151"/>
  <c r="W1084" i="151"/>
  <c r="X1084" i="151" s="1"/>
  <c r="S1084" i="151"/>
  <c r="N1084" i="151"/>
  <c r="L1084" i="151"/>
  <c r="J1084" i="151"/>
  <c r="W1083" i="151"/>
  <c r="X1083" i="151" s="1"/>
  <c r="N1083" i="151"/>
  <c r="L1083" i="151"/>
  <c r="J1083" i="151"/>
  <c r="X1082" i="151"/>
  <c r="W1082" i="151"/>
  <c r="N1082" i="151"/>
  <c r="L1082" i="151"/>
  <c r="U1082" i="151" s="1"/>
  <c r="J1082" i="151"/>
  <c r="X1081" i="151"/>
  <c r="W1081" i="151"/>
  <c r="N1081" i="151"/>
  <c r="L1081" i="151"/>
  <c r="J1081" i="151"/>
  <c r="W1080" i="151"/>
  <c r="X1080" i="151" s="1"/>
  <c r="N1080" i="151"/>
  <c r="L1080" i="151"/>
  <c r="J1080" i="151"/>
  <c r="W1079" i="151"/>
  <c r="X1079" i="151" s="1"/>
  <c r="T1079" i="151"/>
  <c r="N1079" i="151"/>
  <c r="L1079" i="151"/>
  <c r="J1079" i="151"/>
  <c r="X1078" i="151"/>
  <c r="W1078" i="151"/>
  <c r="N1078" i="151"/>
  <c r="L1078" i="151"/>
  <c r="J1078" i="151"/>
  <c r="W1077" i="151"/>
  <c r="X1077" i="151" s="1"/>
  <c r="N1077" i="151"/>
  <c r="L1077" i="151"/>
  <c r="T1077" i="151" s="1"/>
  <c r="J1077" i="151"/>
  <c r="X1076" i="151"/>
  <c r="W1076" i="151"/>
  <c r="U1076" i="151"/>
  <c r="N1076" i="151"/>
  <c r="L1076" i="151"/>
  <c r="T1076" i="151" s="1"/>
  <c r="J1076" i="151"/>
  <c r="W1075" i="151"/>
  <c r="X1075" i="151" s="1"/>
  <c r="N1075" i="151"/>
  <c r="L1075" i="151"/>
  <c r="J1075" i="151"/>
  <c r="W1074" i="151"/>
  <c r="X1074" i="151" s="1"/>
  <c r="N1074" i="151"/>
  <c r="L1074" i="151"/>
  <c r="J1074" i="151"/>
  <c r="X1073" i="151"/>
  <c r="W1073" i="151"/>
  <c r="N1073" i="151"/>
  <c r="L1073" i="151"/>
  <c r="U1073" i="151" s="1"/>
  <c r="J1073" i="151"/>
  <c r="W1072" i="151"/>
  <c r="X1072" i="151" s="1"/>
  <c r="N1072" i="151"/>
  <c r="L1072" i="151"/>
  <c r="J1072" i="151"/>
  <c r="W1071" i="151"/>
  <c r="X1071" i="151" s="1"/>
  <c r="T1071" i="151"/>
  <c r="N1071" i="151"/>
  <c r="L1071" i="151"/>
  <c r="U1071" i="151" s="1"/>
  <c r="J1071" i="151"/>
  <c r="W1070" i="151"/>
  <c r="X1070" i="151" s="1"/>
  <c r="N1070" i="151"/>
  <c r="L1070" i="151"/>
  <c r="S1070" i="151" s="1"/>
  <c r="J1070" i="151"/>
  <c r="W1069" i="151"/>
  <c r="X1069" i="151" s="1"/>
  <c r="N1069" i="151"/>
  <c r="L1069" i="151"/>
  <c r="J1069" i="151"/>
  <c r="W1068" i="151"/>
  <c r="X1068" i="151" s="1"/>
  <c r="N1068" i="151"/>
  <c r="L1068" i="151"/>
  <c r="J1068" i="151"/>
  <c r="W1067" i="151"/>
  <c r="X1067" i="151" s="1"/>
  <c r="N1067" i="151"/>
  <c r="L1067" i="151"/>
  <c r="J1067" i="151"/>
  <c r="W1066" i="151"/>
  <c r="X1066" i="151" s="1"/>
  <c r="N1066" i="151"/>
  <c r="L1066" i="151"/>
  <c r="S1066" i="151" s="1"/>
  <c r="J1066" i="151"/>
  <c r="X1065" i="151"/>
  <c r="W1065" i="151"/>
  <c r="N1065" i="151"/>
  <c r="L1065" i="151"/>
  <c r="T1065" i="151" s="1"/>
  <c r="J1065" i="151"/>
  <c r="W1064" i="151"/>
  <c r="U1064" i="151"/>
  <c r="N1064" i="151"/>
  <c r="L1064" i="151"/>
  <c r="T1064" i="151" s="1"/>
  <c r="J1064" i="151"/>
  <c r="W1063" i="151"/>
  <c r="S1063" i="151"/>
  <c r="N1063" i="151"/>
  <c r="L1063" i="151"/>
  <c r="J1063" i="151"/>
  <c r="W1062" i="151"/>
  <c r="U1062" i="151"/>
  <c r="T1062" i="151"/>
  <c r="S1062" i="151"/>
  <c r="N1062" i="151"/>
  <c r="L1062" i="151"/>
  <c r="J1062" i="151"/>
  <c r="W1061" i="151"/>
  <c r="N1061" i="151"/>
  <c r="L1061" i="151"/>
  <c r="J1061" i="151"/>
  <c r="W1060" i="151"/>
  <c r="N1060" i="151"/>
  <c r="L1060" i="151"/>
  <c r="J1060" i="151"/>
  <c r="W1059" i="151"/>
  <c r="S1059" i="151"/>
  <c r="N1059" i="151"/>
  <c r="L1059" i="151"/>
  <c r="J1059" i="151"/>
  <c r="W1058" i="151"/>
  <c r="U1058" i="151"/>
  <c r="N1058" i="151"/>
  <c r="L1058" i="151"/>
  <c r="T1058" i="151" s="1"/>
  <c r="J1058" i="151"/>
  <c r="W1057" i="151"/>
  <c r="N1057" i="151"/>
  <c r="L1057" i="151"/>
  <c r="J1057" i="151"/>
  <c r="W1056" i="151"/>
  <c r="U1056" i="151"/>
  <c r="T1056" i="151"/>
  <c r="S1056" i="151"/>
  <c r="N1056" i="151"/>
  <c r="L1056" i="151"/>
  <c r="J1056" i="151"/>
  <c r="W1055" i="151"/>
  <c r="X1055" i="151" s="1"/>
  <c r="N1055" i="151"/>
  <c r="L1055" i="151"/>
  <c r="J1055" i="151"/>
  <c r="W1054" i="151"/>
  <c r="X1054" i="151" s="1"/>
  <c r="U1054" i="151"/>
  <c r="N1054" i="151"/>
  <c r="L1054" i="151"/>
  <c r="J1054" i="151"/>
  <c r="X1053" i="151"/>
  <c r="W1053" i="151"/>
  <c r="N1053" i="151"/>
  <c r="L1053" i="151"/>
  <c r="S1053" i="151" s="1"/>
  <c r="J1053" i="151"/>
  <c r="W1052" i="151"/>
  <c r="X1052" i="151" s="1"/>
  <c r="N1052" i="151"/>
  <c r="L1052" i="151"/>
  <c r="J1052" i="151"/>
  <c r="W1051" i="151"/>
  <c r="X1051" i="151" s="1"/>
  <c r="N1051" i="151"/>
  <c r="L1051" i="151"/>
  <c r="J1051" i="151"/>
  <c r="W1050" i="151"/>
  <c r="X1050" i="151" s="1"/>
  <c r="N1050" i="151"/>
  <c r="L1050" i="151"/>
  <c r="J1050" i="151"/>
  <c r="W1049" i="151"/>
  <c r="X1049" i="151" s="1"/>
  <c r="N1049" i="151"/>
  <c r="L1049" i="151"/>
  <c r="J1049" i="151"/>
  <c r="W1048" i="151"/>
  <c r="X1048" i="151" s="1"/>
  <c r="N1048" i="151"/>
  <c r="L1048" i="151"/>
  <c r="J1048" i="151"/>
  <c r="X1047" i="151"/>
  <c r="W1047" i="151"/>
  <c r="N1047" i="151"/>
  <c r="L1047" i="151"/>
  <c r="J1047" i="151"/>
  <c r="W1046" i="151"/>
  <c r="X1046" i="151" s="1"/>
  <c r="U1046" i="151"/>
  <c r="T1046" i="151"/>
  <c r="S1046" i="151"/>
  <c r="N1046" i="151"/>
  <c r="L1046" i="151"/>
  <c r="J1046" i="151"/>
  <c r="W1045" i="151"/>
  <c r="X1045" i="151" s="1"/>
  <c r="N1045" i="151"/>
  <c r="L1045" i="151"/>
  <c r="J1045" i="151"/>
  <c r="W1044" i="151"/>
  <c r="X1044" i="151" s="1"/>
  <c r="U1044" i="151"/>
  <c r="T1044" i="151"/>
  <c r="S1044" i="151"/>
  <c r="N1044" i="151"/>
  <c r="L1044" i="151"/>
  <c r="J1044" i="151"/>
  <c r="W1043" i="151"/>
  <c r="X1043" i="151" s="1"/>
  <c r="N1043" i="151"/>
  <c r="L1043" i="151"/>
  <c r="J1043" i="151"/>
  <c r="W1042" i="151"/>
  <c r="X1042" i="151" s="1"/>
  <c r="N1042" i="151"/>
  <c r="L1042" i="151"/>
  <c r="J1042" i="151"/>
  <c r="W1041" i="151"/>
  <c r="N1041" i="151"/>
  <c r="L1041" i="151"/>
  <c r="J1041" i="151"/>
  <c r="W1040" i="151"/>
  <c r="T1040" i="151"/>
  <c r="N1040" i="151"/>
  <c r="L1040" i="151"/>
  <c r="U1040" i="151" s="1"/>
  <c r="J1040" i="151"/>
  <c r="W1039" i="151"/>
  <c r="T1039" i="151"/>
  <c r="S1039" i="151"/>
  <c r="N1039" i="151"/>
  <c r="L1039" i="151"/>
  <c r="U1039" i="151" s="1"/>
  <c r="J1039" i="151"/>
  <c r="W1038" i="151"/>
  <c r="S1038" i="151"/>
  <c r="N1038" i="151"/>
  <c r="L1038" i="151"/>
  <c r="J1038" i="151"/>
  <c r="W1037" i="151"/>
  <c r="N1037" i="151"/>
  <c r="L1037" i="151"/>
  <c r="J1037" i="151"/>
  <c r="W1036" i="151"/>
  <c r="N1036" i="151"/>
  <c r="L1036" i="151"/>
  <c r="J1036" i="151"/>
  <c r="W1035" i="151"/>
  <c r="N1035" i="151"/>
  <c r="L1035" i="151"/>
  <c r="J1035" i="151"/>
  <c r="W1034" i="151"/>
  <c r="U1034" i="151"/>
  <c r="T1034" i="151"/>
  <c r="N1034" i="151"/>
  <c r="L1034" i="151"/>
  <c r="S1034" i="151" s="1"/>
  <c r="J1034" i="151"/>
  <c r="W1033" i="151"/>
  <c r="N1033" i="151"/>
  <c r="L1033" i="151"/>
  <c r="S1033" i="151" s="1"/>
  <c r="J1033" i="151"/>
  <c r="W1032" i="151"/>
  <c r="U1032" i="151"/>
  <c r="T1032" i="151"/>
  <c r="S1032" i="151"/>
  <c r="N1032" i="151"/>
  <c r="L1032" i="151"/>
  <c r="J1032" i="151"/>
  <c r="W1031" i="151"/>
  <c r="N1031" i="151"/>
  <c r="L1031" i="151"/>
  <c r="J1031" i="151"/>
  <c r="W1030" i="151"/>
  <c r="U1030" i="151"/>
  <c r="T1030" i="151"/>
  <c r="S1030" i="151"/>
  <c r="N1030" i="151"/>
  <c r="L1030" i="151"/>
  <c r="J1030" i="151"/>
  <c r="W1029" i="151"/>
  <c r="N1029" i="151"/>
  <c r="L1029" i="151"/>
  <c r="J1029" i="151"/>
  <c r="W1028" i="151"/>
  <c r="N1028" i="151"/>
  <c r="L1028" i="151"/>
  <c r="J1028" i="151"/>
  <c r="W1027" i="151"/>
  <c r="T1027" i="151"/>
  <c r="N1027" i="151"/>
  <c r="L1027" i="151"/>
  <c r="U1027" i="151" s="1"/>
  <c r="J1027" i="151"/>
  <c r="W1026" i="151"/>
  <c r="N1026" i="151"/>
  <c r="L1026" i="151"/>
  <c r="J1026" i="151"/>
  <c r="W1025" i="151"/>
  <c r="N1025" i="151"/>
  <c r="L1025" i="151"/>
  <c r="J1025" i="151"/>
  <c r="W1024" i="151"/>
  <c r="N1024" i="151"/>
  <c r="L1024" i="151"/>
  <c r="J1024" i="151"/>
  <c r="W1023" i="151"/>
  <c r="N1023" i="151"/>
  <c r="L1023" i="151"/>
  <c r="U1023" i="151" s="1"/>
  <c r="J1023" i="151"/>
  <c r="W1022" i="151"/>
  <c r="U1022" i="151"/>
  <c r="T1022" i="151"/>
  <c r="N1022" i="151"/>
  <c r="L1022" i="151"/>
  <c r="S1022" i="151" s="1"/>
  <c r="J1022" i="151"/>
  <c r="W1021" i="151"/>
  <c r="N1021" i="151"/>
  <c r="L1021" i="151"/>
  <c r="S1021" i="151" s="1"/>
  <c r="J1021" i="151"/>
  <c r="W1020" i="151"/>
  <c r="U1020" i="151"/>
  <c r="T1020" i="151"/>
  <c r="S1020" i="151"/>
  <c r="N1020" i="151"/>
  <c r="L1020" i="151"/>
  <c r="J1020" i="151"/>
  <c r="W1019" i="151"/>
  <c r="N1019" i="151"/>
  <c r="L1019" i="151"/>
  <c r="J1019" i="151"/>
  <c r="W1018" i="151"/>
  <c r="U1018" i="151"/>
  <c r="T1018" i="151"/>
  <c r="S1018" i="151"/>
  <c r="N1018" i="151"/>
  <c r="L1018" i="151"/>
  <c r="J1018" i="151"/>
  <c r="W1017" i="151"/>
  <c r="N1017" i="151"/>
  <c r="L1017" i="151"/>
  <c r="J1017" i="151"/>
  <c r="W1016" i="151"/>
  <c r="N1016" i="151"/>
  <c r="L1016" i="151"/>
  <c r="J1016" i="151"/>
  <c r="W1015" i="151"/>
  <c r="N1015" i="151"/>
  <c r="L1015" i="151"/>
  <c r="J1015" i="151"/>
  <c r="W1014" i="151"/>
  <c r="N1014" i="151"/>
  <c r="L1014" i="151"/>
  <c r="J1014" i="151"/>
  <c r="W1013" i="151"/>
  <c r="N1013" i="151"/>
  <c r="L1013" i="151"/>
  <c r="T1013" i="151" s="1"/>
  <c r="J1013" i="151"/>
  <c r="W1012" i="151"/>
  <c r="U1012" i="151"/>
  <c r="N1012" i="151"/>
  <c r="L1012" i="151"/>
  <c r="T1012" i="151" s="1"/>
  <c r="J1012" i="151"/>
  <c r="W1011" i="151"/>
  <c r="S1011" i="151"/>
  <c r="N1011" i="151"/>
  <c r="L1011" i="151"/>
  <c r="U1011" i="151" s="1"/>
  <c r="J1011" i="151"/>
  <c r="W1010" i="151"/>
  <c r="U1010" i="151"/>
  <c r="T1010" i="151"/>
  <c r="S1010" i="151"/>
  <c r="N1010" i="151"/>
  <c r="L1010" i="151"/>
  <c r="J1010" i="151"/>
  <c r="W1009" i="151"/>
  <c r="T1009" i="151"/>
  <c r="S1009" i="151"/>
  <c r="N1009" i="151"/>
  <c r="L1009" i="151"/>
  <c r="U1009" i="151" s="1"/>
  <c r="J1009" i="151"/>
  <c r="W1008" i="151"/>
  <c r="U1008" i="151"/>
  <c r="T1008" i="151"/>
  <c r="S1008" i="151"/>
  <c r="N1008" i="151"/>
  <c r="L1008" i="151"/>
  <c r="J1008" i="151"/>
  <c r="W1007" i="151"/>
  <c r="N1007" i="151"/>
  <c r="L1007" i="151"/>
  <c r="S1007" i="151" s="1"/>
  <c r="J1007" i="151"/>
  <c r="W1006" i="151"/>
  <c r="U1006" i="151"/>
  <c r="N1006" i="151"/>
  <c r="L1006" i="151"/>
  <c r="T1006" i="151" s="1"/>
  <c r="J1006" i="151"/>
  <c r="W1005" i="151"/>
  <c r="X1005" i="151" s="1"/>
  <c r="N1005" i="151"/>
  <c r="L1005" i="151"/>
  <c r="J1005" i="151"/>
  <c r="W1004" i="151"/>
  <c r="X1004" i="151" s="1"/>
  <c r="U1004" i="151"/>
  <c r="T1004" i="151"/>
  <c r="N1004" i="151"/>
  <c r="L1004" i="151"/>
  <c r="S1004" i="151" s="1"/>
  <c r="J1004" i="151"/>
  <c r="X1003" i="151"/>
  <c r="W1003" i="151"/>
  <c r="U1003" i="151"/>
  <c r="N1003" i="151"/>
  <c r="L1003" i="151"/>
  <c r="T1003" i="151" s="1"/>
  <c r="J1003" i="151"/>
  <c r="W1002" i="151"/>
  <c r="X1002" i="151" s="1"/>
  <c r="N1002" i="151"/>
  <c r="L1002" i="151"/>
  <c r="J1002" i="151"/>
  <c r="W1001" i="151"/>
  <c r="X1001" i="151" s="1"/>
  <c r="U1001" i="151"/>
  <c r="T1001" i="151"/>
  <c r="S1001" i="151"/>
  <c r="N1001" i="151"/>
  <c r="L1001" i="151"/>
  <c r="J1001" i="151"/>
  <c r="W1000" i="151"/>
  <c r="X1000" i="151" s="1"/>
  <c r="N1000" i="151"/>
  <c r="L1000" i="151"/>
  <c r="S1000" i="151" s="1"/>
  <c r="J1000" i="151"/>
  <c r="W999" i="151"/>
  <c r="X999" i="151" s="1"/>
  <c r="U999" i="151"/>
  <c r="T999" i="151"/>
  <c r="S999" i="151"/>
  <c r="N999" i="151"/>
  <c r="L999" i="151"/>
  <c r="J999" i="151"/>
  <c r="W998" i="151"/>
  <c r="X998" i="151" s="1"/>
  <c r="N998" i="151"/>
  <c r="L998" i="151"/>
  <c r="J998" i="151"/>
  <c r="W997" i="151"/>
  <c r="X997" i="151" s="1"/>
  <c r="N997" i="151"/>
  <c r="L997" i="151"/>
  <c r="U997" i="151" s="1"/>
  <c r="J997" i="151"/>
  <c r="W996" i="151"/>
  <c r="X996" i="151" s="1"/>
  <c r="S996" i="151"/>
  <c r="N996" i="151"/>
  <c r="L996" i="151"/>
  <c r="J996" i="151"/>
  <c r="W995" i="151"/>
  <c r="X995" i="151" s="1"/>
  <c r="T995" i="151"/>
  <c r="N995" i="151"/>
  <c r="L995" i="151"/>
  <c r="J995" i="151"/>
  <c r="W994" i="151"/>
  <c r="X994" i="151" s="1"/>
  <c r="N994" i="151"/>
  <c r="L994" i="151"/>
  <c r="S994" i="151" s="1"/>
  <c r="J994" i="151"/>
  <c r="W993" i="151"/>
  <c r="X993" i="151" s="1"/>
  <c r="N993" i="151"/>
  <c r="L993" i="151"/>
  <c r="J993" i="151"/>
  <c r="W992" i="151"/>
  <c r="X992" i="151" s="1"/>
  <c r="U992" i="151"/>
  <c r="N992" i="151"/>
  <c r="L992" i="151"/>
  <c r="T992" i="151" s="1"/>
  <c r="J992" i="151"/>
  <c r="W991" i="151"/>
  <c r="X991" i="151" s="1"/>
  <c r="U991" i="151"/>
  <c r="N991" i="151"/>
  <c r="L991" i="151"/>
  <c r="T991" i="151" s="1"/>
  <c r="J991" i="151"/>
  <c r="W990" i="151"/>
  <c r="X990" i="151" s="1"/>
  <c r="U990" i="151"/>
  <c r="T990" i="151"/>
  <c r="S990" i="151"/>
  <c r="N990" i="151"/>
  <c r="L990" i="151"/>
  <c r="J990" i="151"/>
  <c r="W989" i="151"/>
  <c r="X989" i="151" s="1"/>
  <c r="N989" i="151"/>
  <c r="L989" i="151"/>
  <c r="J989" i="151"/>
  <c r="W988" i="151"/>
  <c r="X988" i="151" s="1"/>
  <c r="N988" i="151"/>
  <c r="L988" i="151"/>
  <c r="J988" i="151"/>
  <c r="X987" i="151"/>
  <c r="W987" i="151"/>
  <c r="N987" i="151"/>
  <c r="L987" i="151"/>
  <c r="J987" i="151"/>
  <c r="W986" i="151"/>
  <c r="X986" i="151" s="1"/>
  <c r="N986" i="151"/>
  <c r="L986" i="151"/>
  <c r="S986" i="151" s="1"/>
  <c r="J986" i="151"/>
  <c r="X985" i="151"/>
  <c r="W985" i="151"/>
  <c r="U985" i="151"/>
  <c r="T985" i="151"/>
  <c r="S985" i="151"/>
  <c r="N985" i="151"/>
  <c r="L985" i="151"/>
  <c r="J985" i="151"/>
  <c r="W984" i="151"/>
  <c r="X984" i="151" s="1"/>
  <c r="T984" i="151"/>
  <c r="N984" i="151"/>
  <c r="L984" i="151"/>
  <c r="J984" i="151"/>
  <c r="W983" i="151"/>
  <c r="X983" i="151" s="1"/>
  <c r="T983" i="151"/>
  <c r="S983" i="151"/>
  <c r="N983" i="151"/>
  <c r="L983" i="151"/>
  <c r="U983" i="151" s="1"/>
  <c r="J983" i="151"/>
  <c r="W982" i="151"/>
  <c r="X982" i="151" s="1"/>
  <c r="S982" i="151"/>
  <c r="N982" i="151"/>
  <c r="L982" i="151"/>
  <c r="J982" i="151"/>
  <c r="W981" i="151"/>
  <c r="X981" i="151" s="1"/>
  <c r="N981" i="151"/>
  <c r="L981" i="151"/>
  <c r="J981" i="151"/>
  <c r="W980" i="151"/>
  <c r="X980" i="151" s="1"/>
  <c r="N980" i="151"/>
  <c r="L980" i="151"/>
  <c r="J980" i="151"/>
  <c r="W979" i="151"/>
  <c r="X979" i="151" s="1"/>
  <c r="N979" i="151"/>
  <c r="L979" i="151"/>
  <c r="T979" i="151" s="1"/>
  <c r="J979" i="151"/>
  <c r="X978" i="151"/>
  <c r="W978" i="151"/>
  <c r="N978" i="151"/>
  <c r="L978" i="151"/>
  <c r="J978" i="151"/>
  <c r="W977" i="151"/>
  <c r="X977" i="151" s="1"/>
  <c r="U977" i="151"/>
  <c r="N977" i="151"/>
  <c r="L977" i="151"/>
  <c r="T977" i="151" s="1"/>
  <c r="J977" i="151"/>
  <c r="X976" i="151"/>
  <c r="W976" i="151"/>
  <c r="N976" i="151"/>
  <c r="L976" i="151"/>
  <c r="J976" i="151"/>
  <c r="W975" i="151"/>
  <c r="X975" i="151" s="1"/>
  <c r="N975" i="151"/>
  <c r="L975" i="151"/>
  <c r="J975" i="151"/>
  <c r="W974" i="151"/>
  <c r="X974" i="151" s="1"/>
  <c r="N974" i="151"/>
  <c r="L974" i="151"/>
  <c r="J974" i="151"/>
  <c r="W973" i="151"/>
  <c r="X973" i="151" s="1"/>
  <c r="T973" i="151"/>
  <c r="S973" i="151"/>
  <c r="N973" i="151"/>
  <c r="L973" i="151"/>
  <c r="U973" i="151" s="1"/>
  <c r="J973" i="151"/>
  <c r="W972" i="151"/>
  <c r="X972" i="151" s="1"/>
  <c r="N972" i="151"/>
  <c r="L972" i="151"/>
  <c r="T972" i="151" s="1"/>
  <c r="J972" i="151"/>
  <c r="X971" i="151"/>
  <c r="W971" i="151"/>
  <c r="U971" i="151"/>
  <c r="T971" i="151"/>
  <c r="S971" i="151"/>
  <c r="N971" i="151"/>
  <c r="L971" i="151"/>
  <c r="J971" i="151"/>
  <c r="W970" i="151"/>
  <c r="X970" i="151" s="1"/>
  <c r="N970" i="151"/>
  <c r="L970" i="151"/>
  <c r="J970" i="151"/>
  <c r="W969" i="151"/>
  <c r="X969" i="151" s="1"/>
  <c r="U969" i="151"/>
  <c r="T969" i="151"/>
  <c r="N969" i="151"/>
  <c r="L969" i="151"/>
  <c r="S969" i="151" s="1"/>
  <c r="J969" i="151"/>
  <c r="W968" i="151"/>
  <c r="X968" i="151" s="1"/>
  <c r="N968" i="151"/>
  <c r="L968" i="151"/>
  <c r="J968" i="151"/>
  <c r="W967" i="151"/>
  <c r="X967" i="151" s="1"/>
  <c r="N967" i="151"/>
  <c r="L967" i="151"/>
  <c r="J967" i="151"/>
  <c r="W966" i="151"/>
  <c r="X966" i="151" s="1"/>
  <c r="U966" i="151"/>
  <c r="T966" i="151"/>
  <c r="N966" i="151"/>
  <c r="L966" i="151"/>
  <c r="S966" i="151" s="1"/>
  <c r="J966" i="151"/>
  <c r="W965" i="151"/>
  <c r="X965" i="151" s="1"/>
  <c r="N965" i="151"/>
  <c r="L965" i="151"/>
  <c r="U965" i="151" s="1"/>
  <c r="J965" i="151"/>
  <c r="W964" i="151"/>
  <c r="X964" i="151" s="1"/>
  <c r="U964" i="151"/>
  <c r="T964" i="151"/>
  <c r="S964" i="151"/>
  <c r="N964" i="151"/>
  <c r="L964" i="151"/>
  <c r="J964" i="151"/>
  <c r="W963" i="151"/>
  <c r="X963" i="151" s="1"/>
  <c r="N963" i="151"/>
  <c r="L963" i="151"/>
  <c r="J963" i="151"/>
  <c r="W962" i="151"/>
  <c r="X962" i="151" s="1"/>
  <c r="N962" i="151"/>
  <c r="L962" i="151"/>
  <c r="J962" i="151"/>
  <c r="W961" i="151"/>
  <c r="X961" i="151" s="1"/>
  <c r="N961" i="151"/>
  <c r="L961" i="151"/>
  <c r="J961" i="151"/>
  <c r="W960" i="151"/>
  <c r="X960" i="151" s="1"/>
  <c r="N960" i="151"/>
  <c r="L960" i="151"/>
  <c r="T960" i="151" s="1"/>
  <c r="J960" i="151"/>
  <c r="W959" i="151"/>
  <c r="X959" i="151" s="1"/>
  <c r="U959" i="151"/>
  <c r="N959" i="151"/>
  <c r="L959" i="151"/>
  <c r="J959" i="151"/>
  <c r="W958" i="151"/>
  <c r="X958" i="151" s="1"/>
  <c r="N958" i="151"/>
  <c r="L958" i="151"/>
  <c r="J958" i="151"/>
  <c r="W957" i="151"/>
  <c r="X957" i="151" s="1"/>
  <c r="U957" i="151"/>
  <c r="T957" i="151"/>
  <c r="S957" i="151"/>
  <c r="N957" i="151"/>
  <c r="L957" i="151"/>
  <c r="J957" i="151"/>
  <c r="W956" i="151"/>
  <c r="X956" i="151" s="1"/>
  <c r="N956" i="151"/>
  <c r="L956" i="151"/>
  <c r="J956" i="151"/>
  <c r="X955" i="151"/>
  <c r="W955" i="151"/>
  <c r="N955" i="151"/>
  <c r="L955" i="151"/>
  <c r="S955" i="151" s="1"/>
  <c r="J955" i="151"/>
  <c r="W954" i="151"/>
  <c r="X954" i="151" s="1"/>
  <c r="N954" i="151"/>
  <c r="L954" i="151"/>
  <c r="T954" i="151" s="1"/>
  <c r="J954" i="151"/>
  <c r="W953" i="151"/>
  <c r="X953" i="151" s="1"/>
  <c r="N953" i="151"/>
  <c r="L953" i="151"/>
  <c r="J953" i="151"/>
  <c r="X952" i="151"/>
  <c r="W952" i="151"/>
  <c r="N952" i="151"/>
  <c r="L952" i="151"/>
  <c r="S952" i="151" s="1"/>
  <c r="J952" i="151"/>
  <c r="W951" i="151"/>
  <c r="X951" i="151" s="1"/>
  <c r="N951" i="151"/>
  <c r="L951" i="151"/>
  <c r="J951" i="151"/>
  <c r="W950" i="151"/>
  <c r="X950" i="151" s="1"/>
  <c r="U950" i="151"/>
  <c r="T950" i="151"/>
  <c r="S950" i="151"/>
  <c r="N950" i="151"/>
  <c r="L950" i="151"/>
  <c r="J950" i="151"/>
  <c r="W949" i="151"/>
  <c r="X949" i="151" s="1"/>
  <c r="N949" i="151"/>
  <c r="L949" i="151"/>
  <c r="S949" i="151" s="1"/>
  <c r="J949" i="151"/>
  <c r="W948" i="151"/>
  <c r="X948" i="151" s="1"/>
  <c r="S948" i="151"/>
  <c r="N948" i="151"/>
  <c r="L948" i="151"/>
  <c r="J948" i="151"/>
  <c r="X947" i="151"/>
  <c r="W947" i="151"/>
  <c r="N947" i="151"/>
  <c r="L947" i="151"/>
  <c r="U947" i="151" s="1"/>
  <c r="J947" i="151"/>
  <c r="W946" i="151"/>
  <c r="X946" i="151" s="1"/>
  <c r="N946" i="151"/>
  <c r="L946" i="151"/>
  <c r="J946" i="151"/>
  <c r="W945" i="151"/>
  <c r="X945" i="151" s="1"/>
  <c r="U945" i="151"/>
  <c r="T945" i="151"/>
  <c r="S945" i="151"/>
  <c r="N945" i="151"/>
  <c r="L945" i="151"/>
  <c r="J945" i="151"/>
  <c r="W944" i="151"/>
  <c r="X944" i="151" s="1"/>
  <c r="N944" i="151"/>
  <c r="L944" i="151"/>
  <c r="J944" i="151"/>
  <c r="W943" i="151"/>
  <c r="X943" i="151" s="1"/>
  <c r="S943" i="151"/>
  <c r="N943" i="151"/>
  <c r="L943" i="151"/>
  <c r="J943" i="151"/>
  <c r="W942" i="151"/>
  <c r="X942" i="151" s="1"/>
  <c r="N942" i="151"/>
  <c r="L942" i="151"/>
  <c r="J942" i="151"/>
  <c r="X941" i="151"/>
  <c r="W941" i="151"/>
  <c r="N941" i="151"/>
  <c r="L941" i="151"/>
  <c r="J941" i="151"/>
  <c r="W940" i="151"/>
  <c r="X940" i="151" s="1"/>
  <c r="N940" i="151"/>
  <c r="L940" i="151"/>
  <c r="S940" i="151" s="1"/>
  <c r="J940" i="151"/>
  <c r="W939" i="151"/>
  <c r="X939" i="151" s="1"/>
  <c r="N939" i="151"/>
  <c r="L939" i="151"/>
  <c r="J939" i="151"/>
  <c r="W938" i="151"/>
  <c r="X938" i="151" s="1"/>
  <c r="N938" i="151"/>
  <c r="L938" i="151"/>
  <c r="J938" i="151"/>
  <c r="W937" i="151"/>
  <c r="X937" i="151" s="1"/>
  <c r="T937" i="151"/>
  <c r="N937" i="151"/>
  <c r="L937" i="151"/>
  <c r="U937" i="151" s="1"/>
  <c r="J937" i="151"/>
  <c r="W936" i="151"/>
  <c r="X936" i="151" s="1"/>
  <c r="U936" i="151"/>
  <c r="T936" i="151"/>
  <c r="S936" i="151"/>
  <c r="N936" i="151"/>
  <c r="L936" i="151"/>
  <c r="J936" i="151"/>
  <c r="W935" i="151"/>
  <c r="X935" i="151" s="1"/>
  <c r="U935" i="151"/>
  <c r="T935" i="151"/>
  <c r="N935" i="151"/>
  <c r="L935" i="151"/>
  <c r="S935" i="151" s="1"/>
  <c r="J935" i="151"/>
  <c r="W934" i="151"/>
  <c r="X934" i="151" s="1"/>
  <c r="U934" i="151"/>
  <c r="T934" i="151"/>
  <c r="S934" i="151"/>
  <c r="N934" i="151"/>
  <c r="L934" i="151"/>
  <c r="J934" i="151"/>
  <c r="W933" i="151"/>
  <c r="X933" i="151" s="1"/>
  <c r="T933" i="151"/>
  <c r="N933" i="151"/>
  <c r="L933" i="151"/>
  <c r="S933" i="151" s="1"/>
  <c r="J933" i="151"/>
  <c r="W932" i="151"/>
  <c r="X932" i="151" s="1"/>
  <c r="N932" i="151"/>
  <c r="L932" i="151"/>
  <c r="J932" i="151"/>
  <c r="W931" i="151"/>
  <c r="X931" i="151" s="1"/>
  <c r="U931" i="151"/>
  <c r="N931" i="151"/>
  <c r="L931" i="151"/>
  <c r="S931" i="151" s="1"/>
  <c r="J931" i="151"/>
  <c r="W930" i="151"/>
  <c r="X930" i="151" s="1"/>
  <c r="T930" i="151"/>
  <c r="N930" i="151"/>
  <c r="L930" i="151"/>
  <c r="U930" i="151" s="1"/>
  <c r="J930" i="151"/>
  <c r="W929" i="151"/>
  <c r="X929" i="151" s="1"/>
  <c r="T929" i="151"/>
  <c r="S929" i="151"/>
  <c r="N929" i="151"/>
  <c r="L929" i="151"/>
  <c r="U929" i="151" s="1"/>
  <c r="J929" i="151"/>
  <c r="W928" i="151"/>
  <c r="X928" i="151" s="1"/>
  <c r="N928" i="151"/>
  <c r="L928" i="151"/>
  <c r="T928" i="151" s="1"/>
  <c r="J928" i="151"/>
  <c r="W927" i="151"/>
  <c r="X927" i="151" s="1"/>
  <c r="N927" i="151"/>
  <c r="L927" i="151"/>
  <c r="J927" i="151"/>
  <c r="W926" i="151"/>
  <c r="X926" i="151" s="1"/>
  <c r="T926" i="151"/>
  <c r="N926" i="151"/>
  <c r="L926" i="151"/>
  <c r="U926" i="151" s="1"/>
  <c r="J926" i="151"/>
  <c r="W925" i="151"/>
  <c r="X925" i="151" s="1"/>
  <c r="N925" i="151"/>
  <c r="L925" i="151"/>
  <c r="J925" i="151"/>
  <c r="W924" i="151"/>
  <c r="X924" i="151" s="1"/>
  <c r="N924" i="151"/>
  <c r="L924" i="151"/>
  <c r="U924" i="151" s="1"/>
  <c r="J924" i="151"/>
  <c r="W923" i="151"/>
  <c r="X923" i="151" s="1"/>
  <c r="T923" i="151"/>
  <c r="N923" i="151"/>
  <c r="L923" i="151"/>
  <c r="J923" i="151"/>
  <c r="W922" i="151"/>
  <c r="X922" i="151" s="1"/>
  <c r="N922" i="151"/>
  <c r="L922" i="151"/>
  <c r="J922" i="151"/>
  <c r="W921" i="151"/>
  <c r="X921" i="151" s="1"/>
  <c r="N921" i="151"/>
  <c r="L921" i="151"/>
  <c r="T921" i="151" s="1"/>
  <c r="J921" i="151"/>
  <c r="W920" i="151"/>
  <c r="X920" i="151" s="1"/>
  <c r="U920" i="151"/>
  <c r="N920" i="151"/>
  <c r="L920" i="151"/>
  <c r="S920" i="151" s="1"/>
  <c r="J920" i="151"/>
  <c r="W919" i="151"/>
  <c r="X919" i="151" s="1"/>
  <c r="S919" i="151"/>
  <c r="N919" i="151"/>
  <c r="L919" i="151"/>
  <c r="J919" i="151"/>
  <c r="W918" i="151"/>
  <c r="X918" i="151" s="1"/>
  <c r="N918" i="151"/>
  <c r="L918" i="151"/>
  <c r="T918" i="151" s="1"/>
  <c r="J918" i="151"/>
  <c r="W917" i="151"/>
  <c r="X917" i="151" s="1"/>
  <c r="N917" i="151"/>
  <c r="L917" i="151"/>
  <c r="J917" i="151"/>
  <c r="W916" i="151"/>
  <c r="X916" i="151" s="1"/>
  <c r="N916" i="151"/>
  <c r="L916" i="151"/>
  <c r="J916" i="151"/>
  <c r="W915" i="151"/>
  <c r="X915" i="151" s="1"/>
  <c r="U915" i="151"/>
  <c r="T915" i="151"/>
  <c r="N915" i="151"/>
  <c r="L915" i="151"/>
  <c r="S915" i="151" s="1"/>
  <c r="J915" i="151"/>
  <c r="W914" i="151"/>
  <c r="X914" i="151" s="1"/>
  <c r="N914" i="151"/>
  <c r="L914" i="151"/>
  <c r="J914" i="151"/>
  <c r="W913" i="151"/>
  <c r="X913" i="151" s="1"/>
  <c r="U913" i="151"/>
  <c r="N913" i="151"/>
  <c r="L913" i="151"/>
  <c r="S913" i="151" s="1"/>
  <c r="J913" i="151"/>
  <c r="X912" i="151"/>
  <c r="W912" i="151"/>
  <c r="N912" i="151"/>
  <c r="L912" i="151"/>
  <c r="J912" i="151"/>
  <c r="W911" i="151"/>
  <c r="X911" i="151" s="1"/>
  <c r="N911" i="151"/>
  <c r="L911" i="151"/>
  <c r="T911" i="151" s="1"/>
  <c r="J911" i="151"/>
  <c r="W910" i="151"/>
  <c r="X910" i="151" s="1"/>
  <c r="N910" i="151"/>
  <c r="L910" i="151"/>
  <c r="J910" i="151"/>
  <c r="W909" i="151"/>
  <c r="X909" i="151" s="1"/>
  <c r="N909" i="151"/>
  <c r="L909" i="151"/>
  <c r="S909" i="151" s="1"/>
  <c r="J909" i="151"/>
  <c r="W908" i="151"/>
  <c r="X908" i="151" s="1"/>
  <c r="N908" i="151"/>
  <c r="L908" i="151"/>
  <c r="J908" i="151"/>
  <c r="W907" i="151"/>
  <c r="X907" i="151" s="1"/>
  <c r="N907" i="151"/>
  <c r="L907" i="151"/>
  <c r="U907" i="151" s="1"/>
  <c r="J907" i="151"/>
  <c r="W906" i="151"/>
  <c r="X906" i="151" s="1"/>
  <c r="N906" i="151"/>
  <c r="L906" i="151"/>
  <c r="J906" i="151"/>
  <c r="X905" i="151"/>
  <c r="W905" i="151"/>
  <c r="N905" i="151"/>
  <c r="L905" i="151"/>
  <c r="U905" i="151" s="1"/>
  <c r="J905" i="151"/>
  <c r="W904" i="151"/>
  <c r="X904" i="151" s="1"/>
  <c r="T904" i="151"/>
  <c r="N904" i="151"/>
  <c r="L904" i="151"/>
  <c r="U904" i="151" s="1"/>
  <c r="J904" i="151"/>
  <c r="W903" i="151"/>
  <c r="X903" i="151" s="1"/>
  <c r="U903" i="151"/>
  <c r="N903" i="151"/>
  <c r="L903" i="151"/>
  <c r="T903" i="151" s="1"/>
  <c r="J903" i="151"/>
  <c r="X902" i="151"/>
  <c r="W902" i="151"/>
  <c r="N902" i="151"/>
  <c r="L902" i="151"/>
  <c r="J902" i="151"/>
  <c r="W901" i="151"/>
  <c r="X901" i="151" s="1"/>
  <c r="N901" i="151"/>
  <c r="L901" i="151"/>
  <c r="J901" i="151"/>
  <c r="W900" i="151"/>
  <c r="X900" i="151" s="1"/>
  <c r="N900" i="151"/>
  <c r="L900" i="151"/>
  <c r="J900" i="151"/>
  <c r="W899" i="151"/>
  <c r="X899" i="151" s="1"/>
  <c r="N899" i="151"/>
  <c r="L899" i="151"/>
  <c r="J899" i="151"/>
  <c r="W898" i="151"/>
  <c r="X898" i="151" s="1"/>
  <c r="S898" i="151"/>
  <c r="N898" i="151"/>
  <c r="L898" i="151"/>
  <c r="J898" i="151"/>
  <c r="W897" i="151"/>
  <c r="X897" i="151" s="1"/>
  <c r="N897" i="151"/>
  <c r="L897" i="151"/>
  <c r="J897" i="151"/>
  <c r="W896" i="151"/>
  <c r="X896" i="151" s="1"/>
  <c r="N896" i="151"/>
  <c r="L896" i="151"/>
  <c r="S896" i="151" s="1"/>
  <c r="J896" i="151"/>
  <c r="W895" i="151"/>
  <c r="X895" i="151" s="1"/>
  <c r="U895" i="151"/>
  <c r="N895" i="151"/>
  <c r="L895" i="151"/>
  <c r="J895" i="151"/>
  <c r="X894" i="151"/>
  <c r="W894" i="151"/>
  <c r="U894" i="151"/>
  <c r="S894" i="151"/>
  <c r="N894" i="151"/>
  <c r="L894" i="151"/>
  <c r="T894" i="151" s="1"/>
  <c r="J894" i="151"/>
  <c r="W893" i="151"/>
  <c r="X893" i="151" s="1"/>
  <c r="U893" i="151"/>
  <c r="N893" i="151"/>
  <c r="L893" i="151"/>
  <c r="J893" i="151"/>
  <c r="W892" i="151"/>
  <c r="X892" i="151" s="1"/>
  <c r="N892" i="151"/>
  <c r="L892" i="151"/>
  <c r="J892" i="151"/>
  <c r="W891" i="151"/>
  <c r="X891" i="151" s="1"/>
  <c r="N891" i="151"/>
  <c r="L891" i="151"/>
  <c r="J891" i="151"/>
  <c r="W890" i="151"/>
  <c r="X890" i="151" s="1"/>
  <c r="T890" i="151"/>
  <c r="N890" i="151"/>
  <c r="L890" i="151"/>
  <c r="U890" i="151" s="1"/>
  <c r="J890" i="151"/>
  <c r="W889" i="151"/>
  <c r="X889" i="151" s="1"/>
  <c r="U889" i="151"/>
  <c r="N889" i="151"/>
  <c r="L889" i="151"/>
  <c r="S889" i="151" s="1"/>
  <c r="J889" i="151"/>
  <c r="W888" i="151"/>
  <c r="X888" i="151" s="1"/>
  <c r="N888" i="151"/>
  <c r="L888" i="151"/>
  <c r="J888" i="151"/>
  <c r="W887" i="151"/>
  <c r="X887" i="151" s="1"/>
  <c r="U887" i="151"/>
  <c r="N887" i="151"/>
  <c r="L887" i="151"/>
  <c r="S887" i="151" s="1"/>
  <c r="J887" i="151"/>
  <c r="W886" i="151"/>
  <c r="X886" i="151" s="1"/>
  <c r="N886" i="151"/>
  <c r="L886" i="151"/>
  <c r="J886" i="151"/>
  <c r="W885" i="151"/>
  <c r="X885" i="151" s="1"/>
  <c r="N885" i="151"/>
  <c r="L885" i="151"/>
  <c r="J885" i="151"/>
  <c r="X884" i="151"/>
  <c r="W884" i="151"/>
  <c r="N884" i="151"/>
  <c r="L884" i="151"/>
  <c r="J884" i="151"/>
  <c r="W883" i="151"/>
  <c r="X883" i="151" s="1"/>
  <c r="N883" i="151"/>
  <c r="L883" i="151"/>
  <c r="J883" i="151"/>
  <c r="W882" i="151"/>
  <c r="X882" i="151" s="1"/>
  <c r="U882" i="151"/>
  <c r="T882" i="151"/>
  <c r="N882" i="151"/>
  <c r="L882" i="151"/>
  <c r="S882" i="151" s="1"/>
  <c r="J882" i="151"/>
  <c r="W881" i="151"/>
  <c r="X881" i="151" s="1"/>
  <c r="N881" i="151"/>
  <c r="L881" i="151"/>
  <c r="J881" i="151"/>
  <c r="W880" i="151"/>
  <c r="X880" i="151" s="1"/>
  <c r="T880" i="151"/>
  <c r="N880" i="151"/>
  <c r="L880" i="151"/>
  <c r="U880" i="151" s="1"/>
  <c r="J880" i="151"/>
  <c r="W879" i="151"/>
  <c r="X879" i="151" s="1"/>
  <c r="N879" i="151"/>
  <c r="L879" i="151"/>
  <c r="J879" i="151"/>
  <c r="W878" i="151"/>
  <c r="X878" i="151" s="1"/>
  <c r="N878" i="151"/>
  <c r="L878" i="151"/>
  <c r="J878" i="151"/>
  <c r="W877" i="151"/>
  <c r="X877" i="151" s="1"/>
  <c r="U877" i="151"/>
  <c r="T877" i="151"/>
  <c r="N877" i="151"/>
  <c r="L877" i="151"/>
  <c r="S877" i="151" s="1"/>
  <c r="J877" i="151"/>
  <c r="W876" i="151"/>
  <c r="X876" i="151" s="1"/>
  <c r="N876" i="151"/>
  <c r="L876" i="151"/>
  <c r="J876" i="151"/>
  <c r="W875" i="151"/>
  <c r="X875" i="151" s="1"/>
  <c r="U875" i="151"/>
  <c r="T875" i="151"/>
  <c r="S875" i="151"/>
  <c r="N875" i="151"/>
  <c r="L875" i="151"/>
  <c r="J875" i="151"/>
  <c r="W874" i="151"/>
  <c r="X874" i="151" s="1"/>
  <c r="N874" i="151"/>
  <c r="L874" i="151"/>
  <c r="J874" i="151"/>
  <c r="X873" i="151"/>
  <c r="W873" i="151"/>
  <c r="N873" i="151"/>
  <c r="L873" i="151"/>
  <c r="J873" i="151"/>
  <c r="W872" i="151"/>
  <c r="X872" i="151" s="1"/>
  <c r="N872" i="151"/>
  <c r="L872" i="151"/>
  <c r="J872" i="151"/>
  <c r="W871" i="151"/>
  <c r="X871" i="151" s="1"/>
  <c r="N871" i="151"/>
  <c r="L871" i="151"/>
  <c r="J871" i="151"/>
  <c r="W870" i="151"/>
  <c r="X870" i="151" s="1"/>
  <c r="N870" i="151"/>
  <c r="L870" i="151"/>
  <c r="T870" i="151" s="1"/>
  <c r="J870" i="151"/>
  <c r="W869" i="151"/>
  <c r="X869" i="151" s="1"/>
  <c r="T869" i="151"/>
  <c r="N869" i="151"/>
  <c r="L869" i="151"/>
  <c r="J869" i="151"/>
  <c r="W868" i="151"/>
  <c r="X868" i="151" s="1"/>
  <c r="N868" i="151"/>
  <c r="L868" i="151"/>
  <c r="T868" i="151" s="1"/>
  <c r="J868" i="151"/>
  <c r="W867" i="151"/>
  <c r="X867" i="151" s="1"/>
  <c r="N867" i="151"/>
  <c r="L867" i="151"/>
  <c r="J867" i="151"/>
  <c r="W866" i="151"/>
  <c r="X866" i="151" s="1"/>
  <c r="T866" i="151"/>
  <c r="N866" i="151"/>
  <c r="L866" i="151"/>
  <c r="U866" i="151" s="1"/>
  <c r="J866" i="151"/>
  <c r="X865" i="151"/>
  <c r="W865" i="151"/>
  <c r="T865" i="151"/>
  <c r="S865" i="151"/>
  <c r="N865" i="151"/>
  <c r="L865" i="151"/>
  <c r="U865" i="151" s="1"/>
  <c r="J865" i="151"/>
  <c r="W864" i="151"/>
  <c r="X864" i="151" s="1"/>
  <c r="N864" i="151"/>
  <c r="L864" i="151"/>
  <c r="J864" i="151"/>
  <c r="W863" i="151"/>
  <c r="X863" i="151" s="1"/>
  <c r="U863" i="151"/>
  <c r="T863" i="151"/>
  <c r="S863" i="151"/>
  <c r="N863" i="151"/>
  <c r="L863" i="151"/>
  <c r="J863" i="151"/>
  <c r="W862" i="151"/>
  <c r="X862" i="151" s="1"/>
  <c r="N862" i="151"/>
  <c r="L862" i="151"/>
  <c r="J862" i="151"/>
  <c r="X861" i="151"/>
  <c r="W861" i="151"/>
  <c r="N861" i="151"/>
  <c r="L861" i="151"/>
  <c r="U861" i="151" s="1"/>
  <c r="J861" i="151"/>
  <c r="W860" i="151"/>
  <c r="X860" i="151" s="1"/>
  <c r="N860" i="151"/>
  <c r="L860" i="151"/>
  <c r="U860" i="151" s="1"/>
  <c r="J860" i="151"/>
  <c r="W859" i="151"/>
  <c r="X859" i="151" s="1"/>
  <c r="N859" i="151"/>
  <c r="L859" i="151"/>
  <c r="T859" i="151" s="1"/>
  <c r="J859" i="151"/>
  <c r="W858" i="151"/>
  <c r="N858" i="151"/>
  <c r="L858" i="151"/>
  <c r="J858" i="151"/>
  <c r="W857" i="151"/>
  <c r="N857" i="151"/>
  <c r="L857" i="151"/>
  <c r="J857" i="151"/>
  <c r="X856" i="151"/>
  <c r="W856" i="151"/>
  <c r="N856" i="151"/>
  <c r="L856" i="151"/>
  <c r="U856" i="151" s="1"/>
  <c r="J856" i="151"/>
  <c r="W855" i="151"/>
  <c r="X855" i="151" s="1"/>
  <c r="N855" i="151"/>
  <c r="L855" i="151"/>
  <c r="J855" i="151"/>
  <c r="W854" i="151"/>
  <c r="X854" i="151" s="1"/>
  <c r="T854" i="151"/>
  <c r="N854" i="151"/>
  <c r="L854" i="151"/>
  <c r="U854" i="151" s="1"/>
  <c r="J854" i="151"/>
  <c r="W853" i="151"/>
  <c r="X853" i="151" s="1"/>
  <c r="U853" i="151"/>
  <c r="N853" i="151"/>
  <c r="L853" i="151"/>
  <c r="T853" i="151" s="1"/>
  <c r="J853" i="151"/>
  <c r="W852" i="151"/>
  <c r="X852" i="151" s="1"/>
  <c r="N852" i="151"/>
  <c r="L852" i="151"/>
  <c r="J852" i="151"/>
  <c r="W851" i="151"/>
  <c r="X851" i="151" s="1"/>
  <c r="U851" i="151"/>
  <c r="N851" i="151"/>
  <c r="L851" i="151"/>
  <c r="T851" i="151" s="1"/>
  <c r="J851" i="151"/>
  <c r="W850" i="151"/>
  <c r="X850" i="151" s="1"/>
  <c r="S850" i="151"/>
  <c r="N850" i="151"/>
  <c r="L850" i="151"/>
  <c r="T850" i="151" s="1"/>
  <c r="J850" i="151"/>
  <c r="X849" i="151"/>
  <c r="W849" i="151"/>
  <c r="T849" i="151"/>
  <c r="N849" i="151"/>
  <c r="L849" i="151"/>
  <c r="J849" i="151"/>
  <c r="W848" i="151"/>
  <c r="X848" i="151" s="1"/>
  <c r="N848" i="151"/>
  <c r="L848" i="151"/>
  <c r="J848" i="151"/>
  <c r="W847" i="151"/>
  <c r="N847" i="151"/>
  <c r="L847" i="151"/>
  <c r="J847" i="151"/>
  <c r="W846" i="151"/>
  <c r="X846" i="151" s="1"/>
  <c r="U846" i="151"/>
  <c r="T846" i="151"/>
  <c r="S846" i="151"/>
  <c r="N846" i="151"/>
  <c r="L846" i="151"/>
  <c r="J846" i="151"/>
  <c r="W845" i="151"/>
  <c r="X845" i="151" s="1"/>
  <c r="S845" i="151"/>
  <c r="N845" i="151"/>
  <c r="L845" i="151"/>
  <c r="J845" i="151"/>
  <c r="X844" i="151"/>
  <c r="W844" i="151"/>
  <c r="N844" i="151"/>
  <c r="L844" i="151"/>
  <c r="J844" i="151"/>
  <c r="W843" i="151"/>
  <c r="X843" i="151" s="1"/>
  <c r="N843" i="151"/>
  <c r="L843" i="151"/>
  <c r="J843" i="151"/>
  <c r="W842" i="151"/>
  <c r="X842" i="151" s="1"/>
  <c r="N842" i="151"/>
  <c r="L842" i="151"/>
  <c r="J842" i="151"/>
  <c r="W841" i="151"/>
  <c r="X841" i="151" s="1"/>
  <c r="N841" i="151"/>
  <c r="L841" i="151"/>
  <c r="J841" i="151"/>
  <c r="W840" i="151"/>
  <c r="X840" i="151" s="1"/>
  <c r="N840" i="151"/>
  <c r="L840" i="151"/>
  <c r="J840" i="151"/>
  <c r="W839" i="151"/>
  <c r="X839" i="151" s="1"/>
  <c r="U839" i="151"/>
  <c r="N839" i="151"/>
  <c r="L839" i="151"/>
  <c r="T839" i="151" s="1"/>
  <c r="J839" i="151"/>
  <c r="W838" i="151"/>
  <c r="X838" i="151" s="1"/>
  <c r="N838" i="151"/>
  <c r="L838" i="151"/>
  <c r="J838" i="151"/>
  <c r="W837" i="151"/>
  <c r="X837" i="151" s="1"/>
  <c r="N837" i="151"/>
  <c r="L837" i="151"/>
  <c r="J837" i="151"/>
  <c r="W836" i="151"/>
  <c r="X836" i="151" s="1"/>
  <c r="N836" i="151"/>
  <c r="L836" i="151"/>
  <c r="U836" i="151" s="1"/>
  <c r="J836" i="151"/>
  <c r="W835" i="151"/>
  <c r="X835" i="151" s="1"/>
  <c r="N835" i="151"/>
  <c r="L835" i="151"/>
  <c r="T835" i="151" s="1"/>
  <c r="J835" i="151"/>
  <c r="W834" i="151"/>
  <c r="X834" i="151" s="1"/>
  <c r="S834" i="151"/>
  <c r="N834" i="151"/>
  <c r="L834" i="151"/>
  <c r="J834" i="151"/>
  <c r="W833" i="151"/>
  <c r="X833" i="151" s="1"/>
  <c r="N833" i="151"/>
  <c r="L833" i="151"/>
  <c r="J833" i="151"/>
  <c r="W832" i="151"/>
  <c r="X832" i="151" s="1"/>
  <c r="T832" i="151"/>
  <c r="S832" i="151"/>
  <c r="N832" i="151"/>
  <c r="L832" i="151"/>
  <c r="U832" i="151" s="1"/>
  <c r="J832" i="151"/>
  <c r="W831" i="151"/>
  <c r="X831" i="151" s="1"/>
  <c r="N831" i="151"/>
  <c r="L831" i="151"/>
  <c r="U831" i="151" s="1"/>
  <c r="J831" i="151"/>
  <c r="W830" i="151"/>
  <c r="X830" i="151" s="1"/>
  <c r="N830" i="151"/>
  <c r="L830" i="151"/>
  <c r="J830" i="151"/>
  <c r="W829" i="151"/>
  <c r="X829" i="151" s="1"/>
  <c r="U829" i="151"/>
  <c r="T829" i="151"/>
  <c r="N829" i="151"/>
  <c r="L829" i="151"/>
  <c r="S829" i="151" s="1"/>
  <c r="J829" i="151"/>
  <c r="W828" i="151"/>
  <c r="X828" i="151" s="1"/>
  <c r="N828" i="151"/>
  <c r="L828" i="151"/>
  <c r="J828" i="151"/>
  <c r="W827" i="151"/>
  <c r="X827" i="151" s="1"/>
  <c r="N827" i="151"/>
  <c r="L827" i="151"/>
  <c r="J827" i="151"/>
  <c r="W826" i="151"/>
  <c r="X826" i="151" s="1"/>
  <c r="N826" i="151"/>
  <c r="L826" i="151"/>
  <c r="J826" i="151"/>
  <c r="W825" i="151"/>
  <c r="X825" i="151" s="1"/>
  <c r="U825" i="151"/>
  <c r="N825" i="151"/>
  <c r="L825" i="151"/>
  <c r="T825" i="151" s="1"/>
  <c r="J825" i="151"/>
  <c r="W824" i="151"/>
  <c r="X824" i="151" s="1"/>
  <c r="T824" i="151"/>
  <c r="N824" i="151"/>
  <c r="L824" i="151"/>
  <c r="U824" i="151" s="1"/>
  <c r="J824" i="151"/>
  <c r="W823" i="151"/>
  <c r="X823" i="151" s="1"/>
  <c r="N823" i="151"/>
  <c r="L823" i="151"/>
  <c r="J823" i="151"/>
  <c r="W822" i="151"/>
  <c r="X822" i="151" s="1"/>
  <c r="N822" i="151"/>
  <c r="L822" i="151"/>
  <c r="J822" i="151"/>
  <c r="X821" i="151"/>
  <c r="W821" i="151"/>
  <c r="N821" i="151"/>
  <c r="L821" i="151"/>
  <c r="J821" i="151"/>
  <c r="W820" i="151"/>
  <c r="X820" i="151" s="1"/>
  <c r="U820" i="151"/>
  <c r="T820" i="151"/>
  <c r="N820" i="151"/>
  <c r="L820" i="151"/>
  <c r="S820" i="151" s="1"/>
  <c r="J820" i="151"/>
  <c r="W819" i="151"/>
  <c r="X819" i="151" s="1"/>
  <c r="N819" i="151"/>
  <c r="L819" i="151"/>
  <c r="J819" i="151"/>
  <c r="W818" i="151"/>
  <c r="X818" i="151" s="1"/>
  <c r="N818" i="151"/>
  <c r="L818" i="151"/>
  <c r="U818" i="151" s="1"/>
  <c r="J818" i="151"/>
  <c r="W817" i="151"/>
  <c r="X817" i="151" s="1"/>
  <c r="N817" i="151"/>
  <c r="L817" i="151"/>
  <c r="J817" i="151"/>
  <c r="W816" i="151"/>
  <c r="X816" i="151" s="1"/>
  <c r="N816" i="151"/>
  <c r="L816" i="151"/>
  <c r="J816" i="151"/>
  <c r="W815" i="151"/>
  <c r="X815" i="151" s="1"/>
  <c r="U815" i="151"/>
  <c r="S815" i="151"/>
  <c r="N815" i="151"/>
  <c r="L815" i="151"/>
  <c r="T815" i="151" s="1"/>
  <c r="J815" i="151"/>
  <c r="X814" i="151"/>
  <c r="W814" i="151"/>
  <c r="N814" i="151"/>
  <c r="L814" i="151"/>
  <c r="J814" i="151"/>
  <c r="W813" i="151"/>
  <c r="X813" i="151" s="1"/>
  <c r="N813" i="151"/>
  <c r="L813" i="151"/>
  <c r="T813" i="151" s="1"/>
  <c r="J813" i="151"/>
  <c r="W812" i="151"/>
  <c r="X812" i="151" s="1"/>
  <c r="T812" i="151"/>
  <c r="N812" i="151"/>
  <c r="L812" i="151"/>
  <c r="J812" i="151"/>
  <c r="W811" i="151"/>
  <c r="X811" i="151" s="1"/>
  <c r="U811" i="151"/>
  <c r="T811" i="151"/>
  <c r="S811" i="151"/>
  <c r="N811" i="151"/>
  <c r="L811" i="151"/>
  <c r="J811" i="151"/>
  <c r="W810" i="151"/>
  <c r="X810" i="151" s="1"/>
  <c r="N810" i="151"/>
  <c r="L810" i="151"/>
  <c r="J810" i="151"/>
  <c r="W809" i="151"/>
  <c r="X809" i="151" s="1"/>
  <c r="N809" i="151"/>
  <c r="L809" i="151"/>
  <c r="J809" i="151"/>
  <c r="X808" i="151"/>
  <c r="W808" i="151"/>
  <c r="T808" i="151"/>
  <c r="N808" i="151"/>
  <c r="L808" i="151"/>
  <c r="J808" i="151"/>
  <c r="X807" i="151"/>
  <c r="W807" i="151"/>
  <c r="T807" i="151"/>
  <c r="N807" i="151"/>
  <c r="L807" i="151"/>
  <c r="U807" i="151" s="1"/>
  <c r="J807" i="151"/>
  <c r="W806" i="151"/>
  <c r="X806" i="151" s="1"/>
  <c r="U806" i="151"/>
  <c r="T806" i="151"/>
  <c r="S806" i="151"/>
  <c r="N806" i="151"/>
  <c r="L806" i="151"/>
  <c r="J806" i="151"/>
  <c r="W805" i="151"/>
  <c r="X805" i="151" s="1"/>
  <c r="N805" i="151"/>
  <c r="L805" i="151"/>
  <c r="T805" i="151" s="1"/>
  <c r="J805" i="151"/>
  <c r="W804" i="151"/>
  <c r="X804" i="151" s="1"/>
  <c r="N804" i="151"/>
  <c r="L804" i="151"/>
  <c r="J804" i="151"/>
  <c r="W803" i="151"/>
  <c r="X803" i="151" s="1"/>
  <c r="U803" i="151"/>
  <c r="S803" i="151"/>
  <c r="N803" i="151"/>
  <c r="L803" i="151"/>
  <c r="T803" i="151" s="1"/>
  <c r="J803" i="151"/>
  <c r="W802" i="151"/>
  <c r="X802" i="151" s="1"/>
  <c r="T802" i="151"/>
  <c r="N802" i="151"/>
  <c r="L802" i="151"/>
  <c r="J802" i="151"/>
  <c r="W801" i="151"/>
  <c r="X801" i="151" s="1"/>
  <c r="N801" i="151"/>
  <c r="L801" i="151"/>
  <c r="J801" i="151"/>
  <c r="W800" i="151"/>
  <c r="X800" i="151" s="1"/>
  <c r="N800" i="151"/>
  <c r="L800" i="151"/>
  <c r="J800" i="151"/>
  <c r="W799" i="151"/>
  <c r="X799" i="151" s="1"/>
  <c r="N799" i="151"/>
  <c r="L799" i="151"/>
  <c r="U799" i="151" s="1"/>
  <c r="J799" i="151"/>
  <c r="W798" i="151"/>
  <c r="X798" i="151" s="1"/>
  <c r="U798" i="151"/>
  <c r="T798" i="151"/>
  <c r="S798" i="151"/>
  <c r="N798" i="151"/>
  <c r="L798" i="151"/>
  <c r="J798" i="151"/>
  <c r="W797" i="151"/>
  <c r="X797" i="151" s="1"/>
  <c r="N797" i="151"/>
  <c r="L797" i="151"/>
  <c r="J797" i="151"/>
  <c r="W796" i="151"/>
  <c r="X796" i="151" s="1"/>
  <c r="N796" i="151"/>
  <c r="L796" i="151"/>
  <c r="J796" i="151"/>
  <c r="W795" i="151"/>
  <c r="X795" i="151" s="1"/>
  <c r="N795" i="151"/>
  <c r="L795" i="151"/>
  <c r="J795" i="151"/>
  <c r="W794" i="151"/>
  <c r="X794" i="151" s="1"/>
  <c r="T794" i="151"/>
  <c r="S794" i="151"/>
  <c r="N794" i="151"/>
  <c r="L794" i="151"/>
  <c r="U794" i="151" s="1"/>
  <c r="J794" i="151"/>
  <c r="W793" i="151"/>
  <c r="X793" i="151" s="1"/>
  <c r="N793" i="151"/>
  <c r="L793" i="151"/>
  <c r="J793" i="151"/>
  <c r="X792" i="151"/>
  <c r="W792" i="151"/>
  <c r="N792" i="151"/>
  <c r="L792" i="151"/>
  <c r="J792" i="151"/>
  <c r="W791" i="151"/>
  <c r="T791" i="151"/>
  <c r="N791" i="151"/>
  <c r="L791" i="151"/>
  <c r="J791" i="151"/>
  <c r="W790" i="151"/>
  <c r="T790" i="151"/>
  <c r="N790" i="151"/>
  <c r="L790" i="151"/>
  <c r="J790" i="151"/>
  <c r="W789" i="151"/>
  <c r="X789" i="151" s="1"/>
  <c r="N789" i="151"/>
  <c r="L789" i="151"/>
  <c r="U789" i="151" s="1"/>
  <c r="J789" i="151"/>
  <c r="W788" i="151"/>
  <c r="X788" i="151" s="1"/>
  <c r="U788" i="151"/>
  <c r="N788" i="151"/>
  <c r="L788" i="151"/>
  <c r="J788" i="151"/>
  <c r="X787" i="151"/>
  <c r="W787" i="151"/>
  <c r="N787" i="151"/>
  <c r="L787" i="151"/>
  <c r="T787" i="151" s="1"/>
  <c r="J787" i="151"/>
  <c r="W786" i="151"/>
  <c r="X786" i="151" s="1"/>
  <c r="U786" i="151"/>
  <c r="N786" i="151"/>
  <c r="L786" i="151"/>
  <c r="J786" i="151"/>
  <c r="W785" i="151"/>
  <c r="X785" i="151" s="1"/>
  <c r="U785" i="151"/>
  <c r="N785" i="151"/>
  <c r="L785" i="151"/>
  <c r="J785" i="151"/>
  <c r="W784" i="151"/>
  <c r="X784" i="151" s="1"/>
  <c r="N784" i="151"/>
  <c r="L784" i="151"/>
  <c r="S784" i="151" s="1"/>
  <c r="J784" i="151"/>
  <c r="W783" i="151"/>
  <c r="X783" i="151" s="1"/>
  <c r="S783" i="151"/>
  <c r="N783" i="151"/>
  <c r="L783" i="151"/>
  <c r="J783" i="151"/>
  <c r="X782" i="151"/>
  <c r="W782" i="151"/>
  <c r="N782" i="151"/>
  <c r="L782" i="151"/>
  <c r="J782" i="151"/>
  <c r="W781" i="151"/>
  <c r="X781" i="151" s="1"/>
  <c r="N781" i="151"/>
  <c r="L781" i="151"/>
  <c r="J781" i="151"/>
  <c r="W780" i="151"/>
  <c r="X780" i="151" s="1"/>
  <c r="N780" i="151"/>
  <c r="L780" i="151"/>
  <c r="J780" i="151"/>
  <c r="W779" i="151"/>
  <c r="X779" i="151" s="1"/>
  <c r="N779" i="151"/>
  <c r="L779" i="151"/>
  <c r="J779" i="151"/>
  <c r="W778" i="151"/>
  <c r="X778" i="151" s="1"/>
  <c r="N778" i="151"/>
  <c r="L778" i="151"/>
  <c r="J778" i="151"/>
  <c r="W777" i="151"/>
  <c r="X777" i="151" s="1"/>
  <c r="N777" i="151"/>
  <c r="L777" i="151"/>
  <c r="J777" i="151"/>
  <c r="W776" i="151"/>
  <c r="X776" i="151" s="1"/>
  <c r="N776" i="151"/>
  <c r="L776" i="151"/>
  <c r="J776" i="151"/>
  <c r="W775" i="151"/>
  <c r="X775" i="151" s="1"/>
  <c r="N775" i="151"/>
  <c r="L775" i="151"/>
  <c r="J775" i="151"/>
  <c r="X774" i="151"/>
  <c r="W774" i="151"/>
  <c r="U774" i="151"/>
  <c r="N774" i="151"/>
  <c r="L774" i="151"/>
  <c r="S774" i="151" s="1"/>
  <c r="J774" i="151"/>
  <c r="X773" i="151"/>
  <c r="W773" i="151"/>
  <c r="N773" i="151"/>
  <c r="L773" i="151"/>
  <c r="T773" i="151" s="1"/>
  <c r="J773" i="151"/>
  <c r="W772" i="151"/>
  <c r="X772" i="151" s="1"/>
  <c r="T772" i="151"/>
  <c r="N772" i="151"/>
  <c r="L772" i="151"/>
  <c r="J772" i="151"/>
  <c r="W771" i="151"/>
  <c r="X771" i="151" s="1"/>
  <c r="U771" i="151"/>
  <c r="N771" i="151"/>
  <c r="L771" i="151"/>
  <c r="T771" i="151" s="1"/>
  <c r="J771" i="151"/>
  <c r="W770" i="151"/>
  <c r="X770" i="151" s="1"/>
  <c r="N770" i="151"/>
  <c r="L770" i="151"/>
  <c r="S770" i="151" s="1"/>
  <c r="J770" i="151"/>
  <c r="W769" i="151"/>
  <c r="X769" i="151" s="1"/>
  <c r="N769" i="151"/>
  <c r="L769" i="151"/>
  <c r="J769" i="151"/>
  <c r="W768" i="151"/>
  <c r="X768" i="151" s="1"/>
  <c r="U768" i="151"/>
  <c r="N768" i="151"/>
  <c r="L768" i="151"/>
  <c r="S768" i="151" s="1"/>
  <c r="J768" i="151"/>
  <c r="W767" i="151"/>
  <c r="X767" i="151" s="1"/>
  <c r="N767" i="151"/>
  <c r="L767" i="151"/>
  <c r="J767" i="151"/>
  <c r="W766" i="151"/>
  <c r="X766" i="151" s="1"/>
  <c r="N766" i="151"/>
  <c r="L766" i="151"/>
  <c r="U766" i="151" s="1"/>
  <c r="J766" i="151"/>
  <c r="W765" i="151"/>
  <c r="X765" i="151" s="1"/>
  <c r="T765" i="151"/>
  <c r="N765" i="151"/>
  <c r="L765" i="151"/>
  <c r="J765" i="151"/>
  <c r="W764" i="151"/>
  <c r="X764" i="151" s="1"/>
  <c r="S764" i="151"/>
  <c r="N764" i="151"/>
  <c r="L764" i="151"/>
  <c r="J764" i="151"/>
  <c r="W763" i="151"/>
  <c r="X763" i="151" s="1"/>
  <c r="N763" i="151"/>
  <c r="L763" i="151"/>
  <c r="J763" i="151"/>
  <c r="W762" i="151"/>
  <c r="X762" i="151" s="1"/>
  <c r="N762" i="151"/>
  <c r="L762" i="151"/>
  <c r="J762" i="151"/>
  <c r="W761" i="151"/>
  <c r="X761" i="151" s="1"/>
  <c r="N761" i="151"/>
  <c r="L761" i="151"/>
  <c r="U761" i="151" s="1"/>
  <c r="J761" i="151"/>
  <c r="W760" i="151"/>
  <c r="X760" i="151" s="1"/>
  <c r="U760" i="151"/>
  <c r="T760" i="151"/>
  <c r="N760" i="151"/>
  <c r="L760" i="151"/>
  <c r="S760" i="151" s="1"/>
  <c r="J760" i="151"/>
  <c r="W759" i="151"/>
  <c r="X759" i="151" s="1"/>
  <c r="N759" i="151"/>
  <c r="L759" i="151"/>
  <c r="U759" i="151" s="1"/>
  <c r="J759" i="151"/>
  <c r="X758" i="151"/>
  <c r="W758" i="151"/>
  <c r="N758" i="151"/>
  <c r="L758" i="151"/>
  <c r="J758" i="151"/>
  <c r="W757" i="151"/>
  <c r="X757" i="151" s="1"/>
  <c r="T757" i="151"/>
  <c r="S757" i="151"/>
  <c r="N757" i="151"/>
  <c r="L757" i="151"/>
  <c r="U757" i="151" s="1"/>
  <c r="J757" i="151"/>
  <c r="W756" i="151"/>
  <c r="X756" i="151" s="1"/>
  <c r="U756" i="151"/>
  <c r="N756" i="151"/>
  <c r="L756" i="151"/>
  <c r="T756" i="151" s="1"/>
  <c r="J756" i="151"/>
  <c r="W755" i="151"/>
  <c r="X755" i="151" s="1"/>
  <c r="N755" i="151"/>
  <c r="L755" i="151"/>
  <c r="J755" i="151"/>
  <c r="X754" i="151"/>
  <c r="W754" i="151"/>
  <c r="N754" i="151"/>
  <c r="L754" i="151"/>
  <c r="J754" i="151"/>
  <c r="W753" i="151"/>
  <c r="X753" i="151" s="1"/>
  <c r="N753" i="151"/>
  <c r="L753" i="151"/>
  <c r="J753" i="151"/>
  <c r="W752" i="151"/>
  <c r="X752" i="151" s="1"/>
  <c r="N752" i="151"/>
  <c r="L752" i="151"/>
  <c r="J752" i="151"/>
  <c r="X751" i="151"/>
  <c r="W751" i="151"/>
  <c r="T751" i="151"/>
  <c r="S751" i="151"/>
  <c r="N751" i="151"/>
  <c r="L751" i="151"/>
  <c r="U751" i="151" s="1"/>
  <c r="J751" i="151"/>
  <c r="W750" i="151"/>
  <c r="X750" i="151" s="1"/>
  <c r="N750" i="151"/>
  <c r="L750" i="151"/>
  <c r="U750" i="151" s="1"/>
  <c r="J750" i="151"/>
  <c r="W749" i="151"/>
  <c r="X749" i="151" s="1"/>
  <c r="N749" i="151"/>
  <c r="L749" i="151"/>
  <c r="J749" i="151"/>
  <c r="W748" i="151"/>
  <c r="X748" i="151" s="1"/>
  <c r="U748" i="151"/>
  <c r="T748" i="151"/>
  <c r="S748" i="151"/>
  <c r="N748" i="151"/>
  <c r="L748" i="151"/>
  <c r="J748" i="151"/>
  <c r="W747" i="151"/>
  <c r="X747" i="151" s="1"/>
  <c r="N747" i="151"/>
  <c r="L747" i="151"/>
  <c r="J747" i="151"/>
  <c r="W746" i="151"/>
  <c r="X746" i="151" s="1"/>
  <c r="U746" i="151"/>
  <c r="T746" i="151"/>
  <c r="N746" i="151"/>
  <c r="L746" i="151"/>
  <c r="S746" i="151" s="1"/>
  <c r="J746" i="151"/>
  <c r="W745" i="151"/>
  <c r="X745" i="151" s="1"/>
  <c r="N745" i="151"/>
  <c r="L745" i="151"/>
  <c r="T745" i="151" s="1"/>
  <c r="J745" i="151"/>
  <c r="X744" i="151"/>
  <c r="W744" i="151"/>
  <c r="N744" i="151"/>
  <c r="L744" i="151"/>
  <c r="J744" i="151"/>
  <c r="W743" i="151"/>
  <c r="X743" i="151" s="1"/>
  <c r="N743" i="151"/>
  <c r="L743" i="151"/>
  <c r="J743" i="151"/>
  <c r="W742" i="151"/>
  <c r="X742" i="151" s="1"/>
  <c r="N742" i="151"/>
  <c r="L742" i="151"/>
  <c r="S742" i="151" s="1"/>
  <c r="J742" i="151"/>
  <c r="W741" i="151"/>
  <c r="X741" i="151" s="1"/>
  <c r="U741" i="151"/>
  <c r="T741" i="151"/>
  <c r="S741" i="151"/>
  <c r="N741" i="151"/>
  <c r="L741" i="151"/>
  <c r="J741" i="151"/>
  <c r="W740" i="151"/>
  <c r="X740" i="151" s="1"/>
  <c r="N740" i="151"/>
  <c r="L740" i="151"/>
  <c r="J740" i="151"/>
  <c r="W739" i="151"/>
  <c r="X739" i="151" s="1"/>
  <c r="N739" i="151"/>
  <c r="L739" i="151"/>
  <c r="J739" i="151"/>
  <c r="W738" i="151"/>
  <c r="X738" i="151" s="1"/>
  <c r="N738" i="151"/>
  <c r="L738" i="151"/>
  <c r="S738" i="151" s="1"/>
  <c r="J738" i="151"/>
  <c r="W737" i="151"/>
  <c r="X737" i="151" s="1"/>
  <c r="N737" i="151"/>
  <c r="L737" i="151"/>
  <c r="J737" i="151"/>
  <c r="W736" i="151"/>
  <c r="X736" i="151" s="1"/>
  <c r="U736" i="151"/>
  <c r="T736" i="151"/>
  <c r="N736" i="151"/>
  <c r="L736" i="151"/>
  <c r="S736" i="151" s="1"/>
  <c r="J736" i="151"/>
  <c r="W735" i="151"/>
  <c r="X735" i="151" s="1"/>
  <c r="N735" i="151"/>
  <c r="L735" i="151"/>
  <c r="J735" i="151"/>
  <c r="W734" i="151"/>
  <c r="X734" i="151" s="1"/>
  <c r="N734" i="151"/>
  <c r="L734" i="151"/>
  <c r="J734" i="151"/>
  <c r="W733" i="151"/>
  <c r="X733" i="151" s="1"/>
  <c r="N733" i="151"/>
  <c r="L733" i="151"/>
  <c r="J733" i="151"/>
  <c r="W732" i="151"/>
  <c r="X732" i="151" s="1"/>
  <c r="N732" i="151"/>
  <c r="L732" i="151"/>
  <c r="J732" i="151"/>
  <c r="W731" i="151"/>
  <c r="X731" i="151" s="1"/>
  <c r="N731" i="151"/>
  <c r="L731" i="151"/>
  <c r="J731" i="151"/>
  <c r="W730" i="151"/>
  <c r="X730" i="151" s="1"/>
  <c r="T730" i="151"/>
  <c r="N730" i="151"/>
  <c r="L730" i="151"/>
  <c r="U730" i="151" s="1"/>
  <c r="J730" i="151"/>
  <c r="W729" i="151"/>
  <c r="X729" i="151" s="1"/>
  <c r="N729" i="151"/>
  <c r="L729" i="151"/>
  <c r="J729" i="151"/>
  <c r="W728" i="151"/>
  <c r="X728" i="151" s="1"/>
  <c r="U728" i="151"/>
  <c r="N728" i="151"/>
  <c r="L728" i="151"/>
  <c r="T728" i="151" s="1"/>
  <c r="J728" i="151"/>
  <c r="W727" i="151"/>
  <c r="X727" i="151" s="1"/>
  <c r="U727" i="151"/>
  <c r="T727" i="151"/>
  <c r="N727" i="151"/>
  <c r="L727" i="151"/>
  <c r="S727" i="151" s="1"/>
  <c r="J727" i="151"/>
  <c r="X726" i="151"/>
  <c r="W726" i="151"/>
  <c r="T726" i="151"/>
  <c r="N726" i="151"/>
  <c r="L726" i="151"/>
  <c r="U726" i="151" s="1"/>
  <c r="J726" i="151"/>
  <c r="W725" i="151"/>
  <c r="X725" i="151" s="1"/>
  <c r="U725" i="151"/>
  <c r="T725" i="151"/>
  <c r="N725" i="151"/>
  <c r="L725" i="151"/>
  <c r="S725" i="151" s="1"/>
  <c r="J725" i="151"/>
  <c r="W724" i="151"/>
  <c r="X724" i="151" s="1"/>
  <c r="N724" i="151"/>
  <c r="L724" i="151"/>
  <c r="J724" i="151"/>
  <c r="W723" i="151"/>
  <c r="X723" i="151" s="1"/>
  <c r="N723" i="151"/>
  <c r="L723" i="151"/>
  <c r="J723" i="151"/>
  <c r="W722" i="151"/>
  <c r="X722" i="151" s="1"/>
  <c r="N722" i="151"/>
  <c r="L722" i="151"/>
  <c r="J722" i="151"/>
  <c r="W721" i="151"/>
  <c r="X721" i="151" s="1"/>
  <c r="N721" i="151"/>
  <c r="L721" i="151"/>
  <c r="J721" i="151"/>
  <c r="W720" i="151"/>
  <c r="X720" i="151" s="1"/>
  <c r="N720" i="151"/>
  <c r="L720" i="151"/>
  <c r="U720" i="151" s="1"/>
  <c r="J720" i="151"/>
  <c r="X719" i="151"/>
  <c r="W719" i="151"/>
  <c r="U719" i="151"/>
  <c r="T719" i="151"/>
  <c r="S719" i="151"/>
  <c r="N719" i="151"/>
  <c r="L719" i="151"/>
  <c r="J719" i="151"/>
  <c r="W718" i="151"/>
  <c r="X718" i="151" s="1"/>
  <c r="N718" i="151"/>
  <c r="L718" i="151"/>
  <c r="J718" i="151"/>
  <c r="W717" i="151"/>
  <c r="X717" i="151" s="1"/>
  <c r="U717" i="151"/>
  <c r="N717" i="151"/>
  <c r="L717" i="151"/>
  <c r="J717" i="151"/>
  <c r="W716" i="151"/>
  <c r="X716" i="151" s="1"/>
  <c r="N716" i="151"/>
  <c r="L716" i="151"/>
  <c r="U716" i="151" s="1"/>
  <c r="J716" i="151"/>
  <c r="W715" i="151"/>
  <c r="X715" i="151" s="1"/>
  <c r="U715" i="151"/>
  <c r="N715" i="151"/>
  <c r="L715" i="151"/>
  <c r="S715" i="151" s="1"/>
  <c r="J715" i="151"/>
  <c r="W714" i="151"/>
  <c r="X714" i="151" s="1"/>
  <c r="N714" i="151"/>
  <c r="L714" i="151"/>
  <c r="T714" i="151" s="1"/>
  <c r="J714" i="151"/>
  <c r="X713" i="151"/>
  <c r="W713" i="151"/>
  <c r="S713" i="151"/>
  <c r="N713" i="151"/>
  <c r="L713" i="151"/>
  <c r="J713" i="151"/>
  <c r="W712" i="151"/>
  <c r="X712" i="151" s="1"/>
  <c r="N712" i="151"/>
  <c r="L712" i="151"/>
  <c r="J712" i="151"/>
  <c r="W711" i="151"/>
  <c r="X711" i="151" s="1"/>
  <c r="T711" i="151"/>
  <c r="N711" i="151"/>
  <c r="L711" i="151"/>
  <c r="J711" i="151"/>
  <c r="W710" i="151"/>
  <c r="X710" i="151" s="1"/>
  <c r="U710" i="151"/>
  <c r="N710" i="151"/>
  <c r="L710" i="151"/>
  <c r="T710" i="151" s="1"/>
  <c r="J710" i="151"/>
  <c r="W709" i="151"/>
  <c r="X709" i="151" s="1"/>
  <c r="N709" i="151"/>
  <c r="L709" i="151"/>
  <c r="U709" i="151" s="1"/>
  <c r="J709" i="151"/>
  <c r="W708" i="151"/>
  <c r="X708" i="151" s="1"/>
  <c r="T708" i="151"/>
  <c r="S708" i="151"/>
  <c r="N708" i="151"/>
  <c r="L708" i="151"/>
  <c r="U708" i="151" s="1"/>
  <c r="J708" i="151"/>
  <c r="W707" i="151"/>
  <c r="X707" i="151" s="1"/>
  <c r="N707" i="151"/>
  <c r="L707" i="151"/>
  <c r="T707" i="151" s="1"/>
  <c r="J707" i="151"/>
  <c r="W706" i="151"/>
  <c r="X706" i="151" s="1"/>
  <c r="N706" i="151"/>
  <c r="L706" i="151"/>
  <c r="J706" i="151"/>
  <c r="W705" i="151"/>
  <c r="X705" i="151" s="1"/>
  <c r="N705" i="151"/>
  <c r="L705" i="151"/>
  <c r="J705" i="151"/>
  <c r="W704" i="151"/>
  <c r="X704" i="151" s="1"/>
  <c r="U704" i="151"/>
  <c r="T704" i="151"/>
  <c r="N704" i="151"/>
  <c r="L704" i="151"/>
  <c r="S704" i="151" s="1"/>
  <c r="J704" i="151"/>
  <c r="W703" i="151"/>
  <c r="X703" i="151" s="1"/>
  <c r="N703" i="151"/>
  <c r="L703" i="151"/>
  <c r="J703" i="151"/>
  <c r="W702" i="151"/>
  <c r="X702" i="151" s="1"/>
  <c r="T702" i="151"/>
  <c r="S702" i="151"/>
  <c r="N702" i="151"/>
  <c r="L702" i="151"/>
  <c r="U702" i="151" s="1"/>
  <c r="J702" i="151"/>
  <c r="W701" i="151"/>
  <c r="X701" i="151" s="1"/>
  <c r="N701" i="151"/>
  <c r="L701" i="151"/>
  <c r="J701" i="151"/>
  <c r="W700" i="151"/>
  <c r="X700" i="151" s="1"/>
  <c r="N700" i="151"/>
  <c r="L700" i="151"/>
  <c r="S700" i="151" s="1"/>
  <c r="J700" i="151"/>
  <c r="W699" i="151"/>
  <c r="X699" i="151" s="1"/>
  <c r="U699" i="151"/>
  <c r="T699" i="151"/>
  <c r="S699" i="151"/>
  <c r="N699" i="151"/>
  <c r="L699" i="151"/>
  <c r="J699" i="151"/>
  <c r="W698" i="151"/>
  <c r="X698" i="151" s="1"/>
  <c r="N698" i="151"/>
  <c r="L698" i="151"/>
  <c r="J698" i="151"/>
  <c r="W697" i="151"/>
  <c r="X697" i="151" s="1"/>
  <c r="N697" i="151"/>
  <c r="L697" i="151"/>
  <c r="J697" i="151"/>
  <c r="W696" i="151"/>
  <c r="X696" i="151" s="1"/>
  <c r="T696" i="151"/>
  <c r="N696" i="151"/>
  <c r="L696" i="151"/>
  <c r="U696" i="151" s="1"/>
  <c r="J696" i="151"/>
  <c r="X695" i="151"/>
  <c r="W695" i="151"/>
  <c r="N695" i="151"/>
  <c r="L695" i="151"/>
  <c r="U695" i="151" s="1"/>
  <c r="J695" i="151"/>
  <c r="W694" i="151"/>
  <c r="X694" i="151" s="1"/>
  <c r="N694" i="151"/>
  <c r="L694" i="151"/>
  <c r="J694" i="151"/>
  <c r="W693" i="151"/>
  <c r="X693" i="151" s="1"/>
  <c r="N693" i="151"/>
  <c r="L693" i="151"/>
  <c r="J693" i="151"/>
  <c r="W692" i="151"/>
  <c r="X692" i="151" s="1"/>
  <c r="N692" i="151"/>
  <c r="L692" i="151"/>
  <c r="T692" i="151" s="1"/>
  <c r="J692" i="151"/>
  <c r="X691" i="151"/>
  <c r="W691" i="151"/>
  <c r="N691" i="151"/>
  <c r="L691" i="151"/>
  <c r="J691" i="151"/>
  <c r="W690" i="151"/>
  <c r="X690" i="151" s="1"/>
  <c r="N690" i="151"/>
  <c r="L690" i="151"/>
  <c r="S690" i="151" s="1"/>
  <c r="J690" i="151"/>
  <c r="W689" i="151"/>
  <c r="X689" i="151" s="1"/>
  <c r="T689" i="151"/>
  <c r="N689" i="151"/>
  <c r="L689" i="151"/>
  <c r="U689" i="151" s="1"/>
  <c r="J689" i="151"/>
  <c r="W688" i="151"/>
  <c r="X688" i="151" s="1"/>
  <c r="N688" i="151"/>
  <c r="L688" i="151"/>
  <c r="J688" i="151"/>
  <c r="W687" i="151"/>
  <c r="X687" i="151" s="1"/>
  <c r="N687" i="151"/>
  <c r="L687" i="151"/>
  <c r="T687" i="151" s="1"/>
  <c r="J687" i="151"/>
  <c r="X686" i="151"/>
  <c r="W686" i="151"/>
  <c r="N686" i="151"/>
  <c r="L686" i="151"/>
  <c r="J686" i="151"/>
  <c r="W685" i="151"/>
  <c r="X685" i="151" s="1"/>
  <c r="T685" i="151"/>
  <c r="S685" i="151"/>
  <c r="N685" i="151"/>
  <c r="L685" i="151"/>
  <c r="U685" i="151" s="1"/>
  <c r="J685" i="151"/>
  <c r="X684" i="151"/>
  <c r="W684" i="151"/>
  <c r="N684" i="151"/>
  <c r="L684" i="151"/>
  <c r="J684" i="151"/>
  <c r="W683" i="151"/>
  <c r="X683" i="151" s="1"/>
  <c r="N683" i="151"/>
  <c r="L683" i="151"/>
  <c r="J683" i="151"/>
  <c r="X682" i="151"/>
  <c r="W682" i="151"/>
  <c r="N682" i="151"/>
  <c r="L682" i="151"/>
  <c r="U682" i="151" s="1"/>
  <c r="J682" i="151"/>
  <c r="W681" i="151"/>
  <c r="X681" i="151" s="1"/>
  <c r="N681" i="151"/>
  <c r="L681" i="151"/>
  <c r="U681" i="151" s="1"/>
  <c r="J681" i="151"/>
  <c r="W680" i="151"/>
  <c r="X680" i="151" s="1"/>
  <c r="N680" i="151"/>
  <c r="L680" i="151"/>
  <c r="J680" i="151"/>
  <c r="X679" i="151"/>
  <c r="W679" i="151"/>
  <c r="U679" i="151"/>
  <c r="T679" i="151"/>
  <c r="N679" i="151"/>
  <c r="L679" i="151"/>
  <c r="S679" i="151" s="1"/>
  <c r="J679" i="151"/>
  <c r="W678" i="151"/>
  <c r="X678" i="151" s="1"/>
  <c r="N678" i="151"/>
  <c r="L678" i="151"/>
  <c r="U678" i="151" s="1"/>
  <c r="J678" i="151"/>
  <c r="W677" i="151"/>
  <c r="X677" i="151" s="1"/>
  <c r="N677" i="151"/>
  <c r="L677" i="151"/>
  <c r="J677" i="151"/>
  <c r="W676" i="151"/>
  <c r="X676" i="151" s="1"/>
  <c r="N676" i="151"/>
  <c r="L676" i="151"/>
  <c r="J676" i="151"/>
  <c r="W675" i="151"/>
  <c r="X675" i="151" s="1"/>
  <c r="T675" i="151"/>
  <c r="N675" i="151"/>
  <c r="L675" i="151"/>
  <c r="U675" i="151" s="1"/>
  <c r="J675" i="151"/>
  <c r="W674" i="151"/>
  <c r="X674" i="151" s="1"/>
  <c r="N674" i="151"/>
  <c r="L674" i="151"/>
  <c r="J674" i="151"/>
  <c r="W673" i="151"/>
  <c r="X673" i="151" s="1"/>
  <c r="N673" i="151"/>
  <c r="L673" i="151"/>
  <c r="J673" i="151"/>
  <c r="W672" i="151"/>
  <c r="X672" i="151" s="1"/>
  <c r="U672" i="151"/>
  <c r="N672" i="151"/>
  <c r="L672" i="151"/>
  <c r="T672" i="151" s="1"/>
  <c r="J672" i="151"/>
  <c r="W671" i="151"/>
  <c r="X671" i="151" s="1"/>
  <c r="N671" i="151"/>
  <c r="L671" i="151"/>
  <c r="J671" i="151"/>
  <c r="X670" i="151"/>
  <c r="W670" i="151"/>
  <c r="U670" i="151"/>
  <c r="T670" i="151"/>
  <c r="S670" i="151"/>
  <c r="N670" i="151"/>
  <c r="L670" i="151"/>
  <c r="J670" i="151"/>
  <c r="W669" i="151"/>
  <c r="X669" i="151" s="1"/>
  <c r="N669" i="151"/>
  <c r="L669" i="151"/>
  <c r="J669" i="151"/>
  <c r="W668" i="151"/>
  <c r="X668" i="151" s="1"/>
  <c r="T668" i="151"/>
  <c r="N668" i="151"/>
  <c r="L668" i="151"/>
  <c r="U668" i="151" s="1"/>
  <c r="J668" i="151"/>
  <c r="W667" i="151"/>
  <c r="X667" i="151" s="1"/>
  <c r="S667" i="151"/>
  <c r="N667" i="151"/>
  <c r="L667" i="151"/>
  <c r="J667" i="151"/>
  <c r="W666" i="151"/>
  <c r="X666" i="151" s="1"/>
  <c r="N666" i="151"/>
  <c r="L666" i="151"/>
  <c r="J666" i="151"/>
  <c r="W665" i="151"/>
  <c r="X665" i="151" s="1"/>
  <c r="U665" i="151"/>
  <c r="T665" i="151"/>
  <c r="S665" i="151"/>
  <c r="N665" i="151"/>
  <c r="L665" i="151"/>
  <c r="J665" i="151"/>
  <c r="W664" i="151"/>
  <c r="X664" i="151" s="1"/>
  <c r="N664" i="151"/>
  <c r="L664" i="151"/>
  <c r="U664" i="151" s="1"/>
  <c r="J664" i="151"/>
  <c r="W663" i="151"/>
  <c r="X663" i="151" s="1"/>
  <c r="N663" i="151"/>
  <c r="L663" i="151"/>
  <c r="J663" i="151"/>
  <c r="W662" i="151"/>
  <c r="X662" i="151" s="1"/>
  <c r="N662" i="151"/>
  <c r="L662" i="151"/>
  <c r="J662" i="151"/>
  <c r="W661" i="151"/>
  <c r="X661" i="151" s="1"/>
  <c r="N661" i="151"/>
  <c r="L661" i="151"/>
  <c r="J661" i="151"/>
  <c r="W660" i="151"/>
  <c r="X660" i="151" s="1"/>
  <c r="N660" i="151"/>
  <c r="L660" i="151"/>
  <c r="J660" i="151"/>
  <c r="W659" i="151"/>
  <c r="X659" i="151" s="1"/>
  <c r="N659" i="151"/>
  <c r="L659" i="151"/>
  <c r="T659" i="151" s="1"/>
  <c r="J659" i="151"/>
  <c r="W658" i="151"/>
  <c r="X658" i="151" s="1"/>
  <c r="N658" i="151"/>
  <c r="L658" i="151"/>
  <c r="J658" i="151"/>
  <c r="W657" i="151"/>
  <c r="X657" i="151" s="1"/>
  <c r="N657" i="151"/>
  <c r="L657" i="151"/>
  <c r="J657" i="151"/>
  <c r="W656" i="151"/>
  <c r="X656" i="151" s="1"/>
  <c r="N656" i="151"/>
  <c r="L656" i="151"/>
  <c r="J656" i="151"/>
  <c r="W655" i="151"/>
  <c r="X655" i="151" s="1"/>
  <c r="U655" i="151"/>
  <c r="T655" i="151"/>
  <c r="N655" i="151"/>
  <c r="L655" i="151"/>
  <c r="S655" i="151" s="1"/>
  <c r="J655" i="151"/>
  <c r="W654" i="151"/>
  <c r="X654" i="151" s="1"/>
  <c r="N654" i="151"/>
  <c r="L654" i="151"/>
  <c r="S654" i="151" s="1"/>
  <c r="J654" i="151"/>
  <c r="W653" i="151"/>
  <c r="X653" i="151" s="1"/>
  <c r="N653" i="151"/>
  <c r="L653" i="151"/>
  <c r="J653" i="151"/>
  <c r="W652" i="151"/>
  <c r="X652" i="151" s="1"/>
  <c r="N652" i="151"/>
  <c r="L652" i="151"/>
  <c r="J652" i="151"/>
  <c r="X651" i="151"/>
  <c r="W651" i="151"/>
  <c r="N651" i="151"/>
  <c r="L651" i="151"/>
  <c r="J651" i="151"/>
  <c r="W650" i="151"/>
  <c r="X650" i="151" s="1"/>
  <c r="N650" i="151"/>
  <c r="L650" i="151"/>
  <c r="J650" i="151"/>
  <c r="X649" i="151"/>
  <c r="W649" i="151"/>
  <c r="N649" i="151"/>
  <c r="L649" i="151"/>
  <c r="J649" i="151"/>
  <c r="W648" i="151"/>
  <c r="X648" i="151" s="1"/>
  <c r="N648" i="151"/>
  <c r="L648" i="151"/>
  <c r="J648" i="151"/>
  <c r="W647" i="151"/>
  <c r="X647" i="151" s="1"/>
  <c r="U647" i="151"/>
  <c r="T647" i="151"/>
  <c r="N647" i="151"/>
  <c r="L647" i="151"/>
  <c r="S647" i="151" s="1"/>
  <c r="J647" i="151"/>
  <c r="W646" i="151"/>
  <c r="X646" i="151" s="1"/>
  <c r="N646" i="151"/>
  <c r="L646" i="151"/>
  <c r="J646" i="151"/>
  <c r="W645" i="151"/>
  <c r="X645" i="151" s="1"/>
  <c r="N645" i="151"/>
  <c r="L645" i="151"/>
  <c r="T645" i="151" s="1"/>
  <c r="J645" i="151"/>
  <c r="W644" i="151"/>
  <c r="X644" i="151" s="1"/>
  <c r="N644" i="151"/>
  <c r="L644" i="151"/>
  <c r="J644" i="151"/>
  <c r="W643" i="151"/>
  <c r="X643" i="151" s="1"/>
  <c r="N643" i="151"/>
  <c r="L643" i="151"/>
  <c r="U643" i="151" s="1"/>
  <c r="J643" i="151"/>
  <c r="W642" i="151"/>
  <c r="X642" i="151" s="1"/>
  <c r="N642" i="151"/>
  <c r="L642" i="151"/>
  <c r="J642" i="151"/>
  <c r="W641" i="151"/>
  <c r="X641" i="151" s="1"/>
  <c r="N641" i="151"/>
  <c r="L641" i="151"/>
  <c r="J641" i="151"/>
  <c r="W640" i="151"/>
  <c r="X640" i="151" s="1"/>
  <c r="U640" i="151"/>
  <c r="T640" i="151"/>
  <c r="N640" i="151"/>
  <c r="L640" i="151"/>
  <c r="S640" i="151" s="1"/>
  <c r="J640" i="151"/>
  <c r="W639" i="151"/>
  <c r="X639" i="151" s="1"/>
  <c r="N639" i="151"/>
  <c r="L639" i="151"/>
  <c r="U639" i="151" s="1"/>
  <c r="J639" i="151"/>
  <c r="W638" i="151"/>
  <c r="X638" i="151" s="1"/>
  <c r="N638" i="151"/>
  <c r="L638" i="151"/>
  <c r="J638" i="151"/>
  <c r="W637" i="151"/>
  <c r="X637" i="151" s="1"/>
  <c r="N637" i="151"/>
  <c r="L637" i="151"/>
  <c r="U637" i="151" s="1"/>
  <c r="J637" i="151"/>
  <c r="W636" i="151"/>
  <c r="X636" i="151" s="1"/>
  <c r="N636" i="151"/>
  <c r="L636" i="151"/>
  <c r="U636" i="151" s="1"/>
  <c r="J636" i="151"/>
  <c r="W635" i="151"/>
  <c r="X635" i="151" s="1"/>
  <c r="U635" i="151"/>
  <c r="T635" i="151"/>
  <c r="N635" i="151"/>
  <c r="L635" i="151"/>
  <c r="S635" i="151" s="1"/>
  <c r="J635" i="151"/>
  <c r="W634" i="151"/>
  <c r="X634" i="151" s="1"/>
  <c r="N634" i="151"/>
  <c r="L634" i="151"/>
  <c r="J634" i="151"/>
  <c r="W633" i="151"/>
  <c r="X633" i="151" s="1"/>
  <c r="U633" i="151"/>
  <c r="T633" i="151"/>
  <c r="N633" i="151"/>
  <c r="L633" i="151"/>
  <c r="S633" i="151" s="1"/>
  <c r="J633" i="151"/>
  <c r="W632" i="151"/>
  <c r="X632" i="151" s="1"/>
  <c r="N632" i="151"/>
  <c r="L632" i="151"/>
  <c r="U632" i="151" s="1"/>
  <c r="J632" i="151"/>
  <c r="W631" i="151"/>
  <c r="X631" i="151" s="1"/>
  <c r="N631" i="151"/>
  <c r="L631" i="151"/>
  <c r="J631" i="151"/>
  <c r="W630" i="151"/>
  <c r="X630" i="151" s="1"/>
  <c r="N630" i="151"/>
  <c r="L630" i="151"/>
  <c r="U630" i="151" s="1"/>
  <c r="J630" i="151"/>
  <c r="X629" i="151"/>
  <c r="W629" i="151"/>
  <c r="N629" i="151"/>
  <c r="L629" i="151"/>
  <c r="S629" i="151" s="1"/>
  <c r="J629" i="151"/>
  <c r="W628" i="151"/>
  <c r="X628" i="151" s="1"/>
  <c r="N628" i="151"/>
  <c r="L628" i="151"/>
  <c r="J628" i="151"/>
  <c r="W627" i="151"/>
  <c r="X627" i="151" s="1"/>
  <c r="U627" i="151"/>
  <c r="T627" i="151"/>
  <c r="S627" i="151"/>
  <c r="N627" i="151"/>
  <c r="L627" i="151"/>
  <c r="J627" i="151"/>
  <c r="W626" i="151"/>
  <c r="X626" i="151" s="1"/>
  <c r="U626" i="151"/>
  <c r="N626" i="151"/>
  <c r="L626" i="151"/>
  <c r="T626" i="151" s="1"/>
  <c r="J626" i="151"/>
  <c r="W625" i="151"/>
  <c r="X625" i="151" s="1"/>
  <c r="U625" i="151"/>
  <c r="T625" i="151"/>
  <c r="N625" i="151"/>
  <c r="L625" i="151"/>
  <c r="S625" i="151" s="1"/>
  <c r="J625" i="151"/>
  <c r="W624" i="151"/>
  <c r="X624" i="151" s="1"/>
  <c r="N624" i="151"/>
  <c r="L624" i="151"/>
  <c r="J624" i="151"/>
  <c r="W623" i="151"/>
  <c r="X623" i="151" s="1"/>
  <c r="N623" i="151"/>
  <c r="L623" i="151"/>
  <c r="J623" i="151"/>
  <c r="W622" i="151"/>
  <c r="X622" i="151" s="1"/>
  <c r="N622" i="151"/>
  <c r="L622" i="151"/>
  <c r="S622" i="151" s="1"/>
  <c r="J622" i="151"/>
  <c r="W621" i="151"/>
  <c r="X621" i="151" s="1"/>
  <c r="N621" i="151"/>
  <c r="L621" i="151"/>
  <c r="S621" i="151" s="1"/>
  <c r="J621" i="151"/>
  <c r="W620" i="151"/>
  <c r="X620" i="151" s="1"/>
  <c r="U620" i="151"/>
  <c r="T620" i="151"/>
  <c r="S620" i="151"/>
  <c r="N620" i="151"/>
  <c r="L620" i="151"/>
  <c r="J620" i="151"/>
  <c r="W619" i="151"/>
  <c r="X619" i="151" s="1"/>
  <c r="N619" i="151"/>
  <c r="L619" i="151"/>
  <c r="J619" i="151"/>
  <c r="X618" i="151"/>
  <c r="W618" i="151"/>
  <c r="U618" i="151"/>
  <c r="T618" i="151"/>
  <c r="N618" i="151"/>
  <c r="L618" i="151"/>
  <c r="S618" i="151" s="1"/>
  <c r="J618" i="151"/>
  <c r="W617" i="151"/>
  <c r="X617" i="151" s="1"/>
  <c r="N617" i="151"/>
  <c r="L617" i="151"/>
  <c r="J617" i="151"/>
  <c r="W616" i="151"/>
  <c r="X616" i="151" s="1"/>
  <c r="N616" i="151"/>
  <c r="L616" i="151"/>
  <c r="J616" i="151"/>
  <c r="X615" i="151"/>
  <c r="W615" i="151"/>
  <c r="N615" i="151"/>
  <c r="L615" i="151"/>
  <c r="J615" i="151"/>
  <c r="W614" i="151"/>
  <c r="X614" i="151" s="1"/>
  <c r="N614" i="151"/>
  <c r="L614" i="151"/>
  <c r="S614" i="151" s="1"/>
  <c r="J614" i="151"/>
  <c r="W613" i="151"/>
  <c r="X613" i="151" s="1"/>
  <c r="U613" i="151"/>
  <c r="T613" i="151"/>
  <c r="S613" i="151"/>
  <c r="N613" i="151"/>
  <c r="L613" i="151"/>
  <c r="J613" i="151"/>
  <c r="W612" i="151"/>
  <c r="X612" i="151" s="1"/>
  <c r="S612" i="151"/>
  <c r="N612" i="151"/>
  <c r="L612" i="151"/>
  <c r="J612" i="151"/>
  <c r="W611" i="151"/>
  <c r="X611" i="151" s="1"/>
  <c r="N611" i="151"/>
  <c r="L611" i="151"/>
  <c r="U611" i="151" s="1"/>
  <c r="J611" i="151"/>
  <c r="W610" i="151"/>
  <c r="X610" i="151" s="1"/>
  <c r="N610" i="151"/>
  <c r="L610" i="151"/>
  <c r="J610" i="151"/>
  <c r="X609" i="151"/>
  <c r="W609" i="151"/>
  <c r="N609" i="151"/>
  <c r="L609" i="151"/>
  <c r="J609" i="151"/>
  <c r="X608" i="151"/>
  <c r="W608" i="151"/>
  <c r="N608" i="151"/>
  <c r="L608" i="151"/>
  <c r="J608" i="151"/>
  <c r="W607" i="151"/>
  <c r="X607" i="151" s="1"/>
  <c r="N607" i="151"/>
  <c r="L607" i="151"/>
  <c r="J607" i="151"/>
  <c r="W606" i="151"/>
  <c r="X606" i="151" s="1"/>
  <c r="N606" i="151"/>
  <c r="L606" i="151"/>
  <c r="J606" i="151"/>
  <c r="W605" i="151"/>
  <c r="X605" i="151" s="1"/>
  <c r="N605" i="151"/>
  <c r="L605" i="151"/>
  <c r="J605" i="151"/>
  <c r="W604" i="151"/>
  <c r="X604" i="151" s="1"/>
  <c r="U604" i="151"/>
  <c r="T604" i="151"/>
  <c r="N604" i="151"/>
  <c r="L604" i="151"/>
  <c r="S604" i="151" s="1"/>
  <c r="J604" i="151"/>
  <c r="X603" i="151"/>
  <c r="W603" i="151"/>
  <c r="N603" i="151"/>
  <c r="L603" i="151"/>
  <c r="J603" i="151"/>
  <c r="W602" i="151"/>
  <c r="X602" i="151" s="1"/>
  <c r="N602" i="151"/>
  <c r="L602" i="151"/>
  <c r="J602" i="151"/>
  <c r="W601" i="151"/>
  <c r="X601" i="151" s="1"/>
  <c r="S601" i="151"/>
  <c r="N601" i="151"/>
  <c r="L601" i="151"/>
  <c r="J601" i="151"/>
  <c r="W600" i="151"/>
  <c r="X600" i="151" s="1"/>
  <c r="N600" i="151"/>
  <c r="L600" i="151"/>
  <c r="S600" i="151" s="1"/>
  <c r="J600" i="151"/>
  <c r="W599" i="151"/>
  <c r="X599" i="151" s="1"/>
  <c r="N599" i="151"/>
  <c r="L599" i="151"/>
  <c r="U599" i="151" s="1"/>
  <c r="J599" i="151"/>
  <c r="X598" i="151"/>
  <c r="W598" i="151"/>
  <c r="U598" i="151"/>
  <c r="N598" i="151"/>
  <c r="L598" i="151"/>
  <c r="T598" i="151" s="1"/>
  <c r="J598" i="151"/>
  <c r="W597" i="151"/>
  <c r="X597" i="151" s="1"/>
  <c r="U597" i="151"/>
  <c r="T597" i="151"/>
  <c r="N597" i="151"/>
  <c r="L597" i="151"/>
  <c r="S597" i="151" s="1"/>
  <c r="J597" i="151"/>
  <c r="X596" i="151"/>
  <c r="W596" i="151"/>
  <c r="U596" i="151"/>
  <c r="N596" i="151"/>
  <c r="L596" i="151"/>
  <c r="S596" i="151" s="1"/>
  <c r="J596" i="151"/>
  <c r="W595" i="151"/>
  <c r="X595" i="151" s="1"/>
  <c r="N595" i="151"/>
  <c r="L595" i="151"/>
  <c r="J595" i="151"/>
  <c r="W594" i="151"/>
  <c r="X594" i="151" s="1"/>
  <c r="N594" i="151"/>
  <c r="L594" i="151"/>
  <c r="J594" i="151"/>
  <c r="W593" i="151"/>
  <c r="X593" i="151" s="1"/>
  <c r="N593" i="151"/>
  <c r="L593" i="151"/>
  <c r="S593" i="151" s="1"/>
  <c r="J593" i="151"/>
  <c r="W592" i="151"/>
  <c r="X592" i="151" s="1"/>
  <c r="U592" i="151"/>
  <c r="T592" i="151"/>
  <c r="S592" i="151"/>
  <c r="N592" i="151"/>
  <c r="L592" i="151"/>
  <c r="J592" i="151"/>
  <c r="W591" i="151"/>
  <c r="X591" i="151" s="1"/>
  <c r="U591" i="151"/>
  <c r="N591" i="151"/>
  <c r="L591" i="151"/>
  <c r="T591" i="151" s="1"/>
  <c r="J591" i="151"/>
  <c r="W590" i="151"/>
  <c r="X590" i="151" s="1"/>
  <c r="N590" i="151"/>
  <c r="L590" i="151"/>
  <c r="J590" i="151"/>
  <c r="W589" i="151"/>
  <c r="X589" i="151" s="1"/>
  <c r="T589" i="151"/>
  <c r="N589" i="151"/>
  <c r="L589" i="151"/>
  <c r="S589" i="151" s="1"/>
  <c r="J589" i="151"/>
  <c r="W588" i="151"/>
  <c r="X588" i="151" s="1"/>
  <c r="N588" i="151"/>
  <c r="L588" i="151"/>
  <c r="J588" i="151"/>
  <c r="W587" i="151"/>
  <c r="X587" i="151" s="1"/>
  <c r="N587" i="151"/>
  <c r="L587" i="151"/>
  <c r="S587" i="151" s="1"/>
  <c r="J587" i="151"/>
  <c r="W586" i="151"/>
  <c r="X586" i="151" s="1"/>
  <c r="N586" i="151"/>
  <c r="L586" i="151"/>
  <c r="J586" i="151"/>
  <c r="W585" i="151"/>
  <c r="X585" i="151" s="1"/>
  <c r="N585" i="151"/>
  <c r="L585" i="151"/>
  <c r="J585" i="151"/>
  <c r="W584" i="151"/>
  <c r="X584" i="151" s="1"/>
  <c r="U584" i="151"/>
  <c r="S584" i="151"/>
  <c r="N584" i="151"/>
  <c r="L584" i="151"/>
  <c r="T584" i="151" s="1"/>
  <c r="J584" i="151"/>
  <c r="W583" i="151"/>
  <c r="X583" i="151" s="1"/>
  <c r="S583" i="151"/>
  <c r="N583" i="151"/>
  <c r="L583" i="151"/>
  <c r="J583" i="151"/>
  <c r="W582" i="151"/>
  <c r="X582" i="151" s="1"/>
  <c r="N582" i="151"/>
  <c r="L582" i="151"/>
  <c r="J582" i="151"/>
  <c r="W581" i="151"/>
  <c r="X581" i="151" s="1"/>
  <c r="N581" i="151"/>
  <c r="L581" i="151"/>
  <c r="J581" i="151"/>
  <c r="W580" i="151"/>
  <c r="X580" i="151" s="1"/>
  <c r="S580" i="151"/>
  <c r="N580" i="151"/>
  <c r="L580" i="151"/>
  <c r="J580" i="151"/>
  <c r="W579" i="151"/>
  <c r="X579" i="151" s="1"/>
  <c r="S579" i="151"/>
  <c r="N579" i="151"/>
  <c r="L579" i="151"/>
  <c r="J579" i="151"/>
  <c r="W578" i="151"/>
  <c r="X578" i="151" s="1"/>
  <c r="N578" i="151"/>
  <c r="L578" i="151"/>
  <c r="J578" i="151"/>
  <c r="W577" i="151"/>
  <c r="X577" i="151" s="1"/>
  <c r="U577" i="151"/>
  <c r="S577" i="151"/>
  <c r="N577" i="151"/>
  <c r="L577" i="151"/>
  <c r="T577" i="151" s="1"/>
  <c r="J577" i="151"/>
  <c r="W576" i="151"/>
  <c r="X576" i="151" s="1"/>
  <c r="N576" i="151"/>
  <c r="L576" i="151"/>
  <c r="J576" i="151"/>
  <c r="W575" i="151"/>
  <c r="X575" i="151" s="1"/>
  <c r="T575" i="151"/>
  <c r="N575" i="151"/>
  <c r="L575" i="151"/>
  <c r="S575" i="151" s="1"/>
  <c r="J575" i="151"/>
  <c r="W574" i="151"/>
  <c r="X574" i="151" s="1"/>
  <c r="N574" i="151"/>
  <c r="L574" i="151"/>
  <c r="J574" i="151"/>
  <c r="W573" i="151"/>
  <c r="X573" i="151" s="1"/>
  <c r="N573" i="151"/>
  <c r="L573" i="151"/>
  <c r="J573" i="151"/>
  <c r="W572" i="151"/>
  <c r="X572" i="151" s="1"/>
  <c r="N572" i="151"/>
  <c r="L572" i="151"/>
  <c r="J572" i="151"/>
  <c r="W571" i="151"/>
  <c r="X571" i="151" s="1"/>
  <c r="T571" i="151"/>
  <c r="S571" i="151"/>
  <c r="N571" i="151"/>
  <c r="L571" i="151"/>
  <c r="U571" i="151" s="1"/>
  <c r="J571" i="151"/>
  <c r="W570" i="151"/>
  <c r="X570" i="151" s="1"/>
  <c r="U570" i="151"/>
  <c r="S570" i="151"/>
  <c r="N570" i="151"/>
  <c r="L570" i="151"/>
  <c r="T570" i="151" s="1"/>
  <c r="J570" i="151"/>
  <c r="W569" i="151"/>
  <c r="X569" i="151" s="1"/>
  <c r="T569" i="151"/>
  <c r="N569" i="151"/>
  <c r="L569" i="151"/>
  <c r="J569" i="151"/>
  <c r="W568" i="151"/>
  <c r="X568" i="151" s="1"/>
  <c r="N568" i="151"/>
  <c r="L568" i="151"/>
  <c r="J568" i="151"/>
  <c r="W567" i="151"/>
  <c r="X567" i="151" s="1"/>
  <c r="N567" i="151"/>
  <c r="L567" i="151"/>
  <c r="J567" i="151"/>
  <c r="W566" i="151"/>
  <c r="X566" i="151" s="1"/>
  <c r="S566" i="151"/>
  <c r="N566" i="151"/>
  <c r="L566" i="151"/>
  <c r="J566" i="151"/>
  <c r="W565" i="151"/>
  <c r="X565" i="151" s="1"/>
  <c r="N565" i="151"/>
  <c r="L565" i="151"/>
  <c r="S565" i="151" s="1"/>
  <c r="J565" i="151"/>
  <c r="W564" i="151"/>
  <c r="X564" i="151" s="1"/>
  <c r="N564" i="151"/>
  <c r="L564" i="151"/>
  <c r="J564" i="151"/>
  <c r="W563" i="151"/>
  <c r="X563" i="151" s="1"/>
  <c r="U563" i="151"/>
  <c r="N563" i="151"/>
  <c r="L563" i="151"/>
  <c r="T563" i="151" s="1"/>
  <c r="J563" i="151"/>
  <c r="X562" i="151"/>
  <c r="W562" i="151"/>
  <c r="N562" i="151"/>
  <c r="L562" i="151"/>
  <c r="J562" i="151"/>
  <c r="X561" i="151"/>
  <c r="W561" i="151"/>
  <c r="U561" i="151"/>
  <c r="N561" i="151"/>
  <c r="L561" i="151"/>
  <c r="S561" i="151" s="1"/>
  <c r="J561" i="151"/>
  <c r="W560" i="151"/>
  <c r="X560" i="151" s="1"/>
  <c r="N560" i="151"/>
  <c r="L560" i="151"/>
  <c r="J560" i="151"/>
  <c r="W559" i="151"/>
  <c r="X559" i="151" s="1"/>
  <c r="N559" i="151"/>
  <c r="L559" i="151"/>
  <c r="S559" i="151" s="1"/>
  <c r="J559" i="151"/>
  <c r="W558" i="151"/>
  <c r="X558" i="151" s="1"/>
  <c r="N558" i="151"/>
  <c r="L558" i="151"/>
  <c r="J558" i="151"/>
  <c r="W557" i="151"/>
  <c r="X557" i="151" s="1"/>
  <c r="N557" i="151"/>
  <c r="L557" i="151"/>
  <c r="J557" i="151"/>
  <c r="W556" i="151"/>
  <c r="X556" i="151" s="1"/>
  <c r="U556" i="151"/>
  <c r="S556" i="151"/>
  <c r="N556" i="151"/>
  <c r="L556" i="151"/>
  <c r="T556" i="151" s="1"/>
  <c r="J556" i="151"/>
  <c r="X555" i="151"/>
  <c r="W555" i="151"/>
  <c r="N555" i="151"/>
  <c r="L555" i="151"/>
  <c r="J555" i="151"/>
  <c r="W554" i="151"/>
  <c r="X554" i="151" s="1"/>
  <c r="N554" i="151"/>
  <c r="L554" i="151"/>
  <c r="J554" i="151"/>
  <c r="X553" i="151"/>
  <c r="W553" i="151"/>
  <c r="N553" i="151"/>
  <c r="L553" i="151"/>
  <c r="J553" i="151"/>
  <c r="W552" i="151"/>
  <c r="X552" i="151" s="1"/>
  <c r="N552" i="151"/>
  <c r="L552" i="151"/>
  <c r="S552" i="151" s="1"/>
  <c r="J552" i="151"/>
  <c r="W551" i="151"/>
  <c r="X551" i="151" s="1"/>
  <c r="S551" i="151"/>
  <c r="N551" i="151"/>
  <c r="L551" i="151"/>
  <c r="J551" i="151"/>
  <c r="W550" i="151"/>
  <c r="X550" i="151" s="1"/>
  <c r="N550" i="151"/>
  <c r="L550" i="151"/>
  <c r="U550" i="151" s="1"/>
  <c r="J550" i="151"/>
  <c r="W549" i="151"/>
  <c r="X549" i="151" s="1"/>
  <c r="U549" i="151"/>
  <c r="S549" i="151"/>
  <c r="N549" i="151"/>
  <c r="L549" i="151"/>
  <c r="T549" i="151" s="1"/>
  <c r="J549" i="151"/>
  <c r="W548" i="151"/>
  <c r="X548" i="151" s="1"/>
  <c r="T548" i="151"/>
  <c r="N548" i="151"/>
  <c r="L548" i="151"/>
  <c r="U548" i="151" s="1"/>
  <c r="J548" i="151"/>
  <c r="W547" i="151"/>
  <c r="X547" i="151" s="1"/>
  <c r="T547" i="151"/>
  <c r="N547" i="151"/>
  <c r="L547" i="151"/>
  <c r="S547" i="151" s="1"/>
  <c r="J547" i="151"/>
  <c r="W546" i="151"/>
  <c r="X546" i="151" s="1"/>
  <c r="N546" i="151"/>
  <c r="L546" i="151"/>
  <c r="J546" i="151"/>
  <c r="W545" i="151"/>
  <c r="X545" i="151" s="1"/>
  <c r="N545" i="151"/>
  <c r="L545" i="151"/>
  <c r="J545" i="151"/>
  <c r="W544" i="151"/>
  <c r="X544" i="151" s="1"/>
  <c r="N544" i="151"/>
  <c r="L544" i="151"/>
  <c r="S544" i="151" s="1"/>
  <c r="J544" i="151"/>
  <c r="W543" i="151"/>
  <c r="X543" i="151" s="1"/>
  <c r="N543" i="151"/>
  <c r="L543" i="151"/>
  <c r="J543" i="151"/>
  <c r="W542" i="151"/>
  <c r="X542" i="151" s="1"/>
  <c r="S542" i="151"/>
  <c r="N542" i="151"/>
  <c r="L542" i="151"/>
  <c r="J542" i="151"/>
  <c r="W541" i="151"/>
  <c r="X541" i="151" s="1"/>
  <c r="T541" i="151"/>
  <c r="S541" i="151"/>
  <c r="N541" i="151"/>
  <c r="L541" i="151"/>
  <c r="U541" i="151" s="1"/>
  <c r="J541" i="151"/>
  <c r="W540" i="151"/>
  <c r="X540" i="151" s="1"/>
  <c r="U540" i="151"/>
  <c r="T540" i="151"/>
  <c r="N540" i="151"/>
  <c r="L540" i="151"/>
  <c r="S540" i="151" s="1"/>
  <c r="J540" i="151"/>
  <c r="W539" i="151"/>
  <c r="X539" i="151" s="1"/>
  <c r="N539" i="151"/>
  <c r="L539" i="151"/>
  <c r="J539" i="151"/>
  <c r="X538" i="151"/>
  <c r="W538" i="151"/>
  <c r="N538" i="151"/>
  <c r="L538" i="151"/>
  <c r="J538" i="151"/>
  <c r="W537" i="151"/>
  <c r="X537" i="151" s="1"/>
  <c r="S537" i="151"/>
  <c r="N537" i="151"/>
  <c r="L537" i="151"/>
  <c r="J537" i="151"/>
  <c r="W536" i="151"/>
  <c r="X536" i="151" s="1"/>
  <c r="U536" i="151"/>
  <c r="T536" i="151"/>
  <c r="S536" i="151"/>
  <c r="N536" i="151"/>
  <c r="L536" i="151"/>
  <c r="J536" i="151"/>
  <c r="W535" i="151"/>
  <c r="X535" i="151" s="1"/>
  <c r="U535" i="151"/>
  <c r="S535" i="151"/>
  <c r="N535" i="151"/>
  <c r="L535" i="151"/>
  <c r="T535" i="151" s="1"/>
  <c r="J535" i="151"/>
  <c r="W534" i="151"/>
  <c r="X534" i="151" s="1"/>
  <c r="N534" i="151"/>
  <c r="L534" i="151"/>
  <c r="J534" i="151"/>
  <c r="X533" i="151"/>
  <c r="W533" i="151"/>
  <c r="U533" i="151"/>
  <c r="T533" i="151"/>
  <c r="N533" i="151"/>
  <c r="L533" i="151"/>
  <c r="S533" i="151" s="1"/>
  <c r="J533" i="151"/>
  <c r="W532" i="151"/>
  <c r="X532" i="151" s="1"/>
  <c r="N532" i="151"/>
  <c r="L532" i="151"/>
  <c r="J532" i="151"/>
  <c r="W531" i="151"/>
  <c r="X531" i="151" s="1"/>
  <c r="T531" i="151"/>
  <c r="N531" i="151"/>
  <c r="L531" i="151"/>
  <c r="U531" i="151" s="1"/>
  <c r="J531" i="151"/>
  <c r="W530" i="151"/>
  <c r="X530" i="151" s="1"/>
  <c r="N530" i="151"/>
  <c r="L530" i="151"/>
  <c r="J530" i="151"/>
  <c r="W529" i="151"/>
  <c r="X529" i="151" s="1"/>
  <c r="T529" i="151"/>
  <c r="S529" i="151"/>
  <c r="N529" i="151"/>
  <c r="L529" i="151"/>
  <c r="U529" i="151" s="1"/>
  <c r="J529" i="151"/>
  <c r="W528" i="151"/>
  <c r="X528" i="151" s="1"/>
  <c r="U528" i="151"/>
  <c r="N528" i="151"/>
  <c r="L528" i="151"/>
  <c r="T528" i="151" s="1"/>
  <c r="J528" i="151"/>
  <c r="W527" i="151"/>
  <c r="X527" i="151" s="1"/>
  <c r="N527" i="151"/>
  <c r="L527" i="151"/>
  <c r="J527" i="151"/>
  <c r="X526" i="151"/>
  <c r="W526" i="151"/>
  <c r="N526" i="151"/>
  <c r="L526" i="151"/>
  <c r="T526" i="151" s="1"/>
  <c r="J526" i="151"/>
  <c r="W525" i="151"/>
  <c r="X525" i="151" s="1"/>
  <c r="N525" i="151"/>
  <c r="L525" i="151"/>
  <c r="J525" i="151"/>
  <c r="W524" i="151"/>
  <c r="X524" i="151" s="1"/>
  <c r="N524" i="151"/>
  <c r="L524" i="151"/>
  <c r="J524" i="151"/>
  <c r="W523" i="151"/>
  <c r="N523" i="151"/>
  <c r="L523" i="151"/>
  <c r="U523" i="151" s="1"/>
  <c r="J523" i="151"/>
  <c r="W522" i="151"/>
  <c r="N522" i="151"/>
  <c r="L522" i="151"/>
  <c r="U522" i="151" s="1"/>
  <c r="J522" i="151"/>
  <c r="W521" i="151"/>
  <c r="N521" i="151"/>
  <c r="L521" i="151"/>
  <c r="U521" i="151" s="1"/>
  <c r="J521" i="151"/>
  <c r="W520" i="151"/>
  <c r="S520" i="151"/>
  <c r="N520" i="151"/>
  <c r="L520" i="151"/>
  <c r="J520" i="151"/>
  <c r="W519" i="151"/>
  <c r="N519" i="151"/>
  <c r="L519" i="151"/>
  <c r="U519" i="151" s="1"/>
  <c r="J519" i="151"/>
  <c r="W518" i="151"/>
  <c r="N518" i="151"/>
  <c r="L518" i="151"/>
  <c r="S518" i="151" s="1"/>
  <c r="J518" i="151"/>
  <c r="W517" i="151"/>
  <c r="N517" i="151"/>
  <c r="L517" i="151"/>
  <c r="U517" i="151" s="1"/>
  <c r="J517" i="151"/>
  <c r="W516" i="151"/>
  <c r="X516" i="151" s="1"/>
  <c r="N516" i="151"/>
  <c r="L516" i="151"/>
  <c r="J516" i="151"/>
  <c r="W515" i="151"/>
  <c r="X515" i="151" s="1"/>
  <c r="N515" i="151"/>
  <c r="L515" i="151"/>
  <c r="T515" i="151" s="1"/>
  <c r="J515" i="151"/>
  <c r="W514" i="151"/>
  <c r="X514" i="151" s="1"/>
  <c r="U514" i="151"/>
  <c r="T514" i="151"/>
  <c r="N514" i="151"/>
  <c r="L514" i="151"/>
  <c r="S514" i="151" s="1"/>
  <c r="J514" i="151"/>
  <c r="W513" i="151"/>
  <c r="X513" i="151" s="1"/>
  <c r="N513" i="151"/>
  <c r="L513" i="151"/>
  <c r="J513" i="151"/>
  <c r="W512" i="151"/>
  <c r="X512" i="151" s="1"/>
  <c r="N512" i="151"/>
  <c r="L512" i="151"/>
  <c r="J512" i="151"/>
  <c r="W511" i="151"/>
  <c r="X511" i="151" s="1"/>
  <c r="N511" i="151"/>
  <c r="L511" i="151"/>
  <c r="U511" i="151" s="1"/>
  <c r="J511" i="151"/>
  <c r="X510" i="151"/>
  <c r="W510" i="151"/>
  <c r="N510" i="151"/>
  <c r="L510" i="151"/>
  <c r="U510" i="151" s="1"/>
  <c r="J510" i="151"/>
  <c r="W509" i="151"/>
  <c r="X509" i="151" s="1"/>
  <c r="N509" i="151"/>
  <c r="L509" i="151"/>
  <c r="T509" i="151" s="1"/>
  <c r="J509" i="151"/>
  <c r="W508" i="151"/>
  <c r="X508" i="151" s="1"/>
  <c r="T508" i="151"/>
  <c r="N508" i="151"/>
  <c r="L508" i="151"/>
  <c r="J508" i="151"/>
  <c r="W507" i="151"/>
  <c r="X507" i="151" s="1"/>
  <c r="N507" i="151"/>
  <c r="L507" i="151"/>
  <c r="J507" i="151"/>
  <c r="W506" i="151"/>
  <c r="X506" i="151" s="1"/>
  <c r="N506" i="151"/>
  <c r="L506" i="151"/>
  <c r="J506" i="151"/>
  <c r="W505" i="151"/>
  <c r="X505" i="151" s="1"/>
  <c r="N505" i="151"/>
  <c r="L505" i="151"/>
  <c r="J505" i="151"/>
  <c r="W504" i="151"/>
  <c r="X504" i="151" s="1"/>
  <c r="S504" i="151"/>
  <c r="N504" i="151"/>
  <c r="L504" i="151"/>
  <c r="J504" i="151"/>
  <c r="X503" i="151"/>
  <c r="W503" i="151"/>
  <c r="N503" i="151"/>
  <c r="L503" i="151"/>
  <c r="U503" i="151" s="1"/>
  <c r="J503" i="151"/>
  <c r="W502" i="151"/>
  <c r="X502" i="151" s="1"/>
  <c r="N502" i="151"/>
  <c r="L502" i="151"/>
  <c r="T502" i="151" s="1"/>
  <c r="J502" i="151"/>
  <c r="X501" i="151"/>
  <c r="W501" i="151"/>
  <c r="T501" i="151"/>
  <c r="N501" i="151"/>
  <c r="L501" i="151"/>
  <c r="J501" i="151"/>
  <c r="X500" i="151"/>
  <c r="W500" i="151"/>
  <c r="U500" i="151"/>
  <c r="N500" i="151"/>
  <c r="L500" i="151"/>
  <c r="T500" i="151" s="1"/>
  <c r="J500" i="151"/>
  <c r="W499" i="151"/>
  <c r="X499" i="151" s="1"/>
  <c r="T499" i="151"/>
  <c r="S499" i="151"/>
  <c r="N499" i="151"/>
  <c r="L499" i="151"/>
  <c r="U499" i="151" s="1"/>
  <c r="J499" i="151"/>
  <c r="X498" i="151"/>
  <c r="W498" i="151"/>
  <c r="U498" i="151"/>
  <c r="N498" i="151"/>
  <c r="L498" i="151"/>
  <c r="T498" i="151" s="1"/>
  <c r="J498" i="151"/>
  <c r="W497" i="151"/>
  <c r="X497" i="151" s="1"/>
  <c r="N497" i="151"/>
  <c r="L497" i="151"/>
  <c r="J497" i="151"/>
  <c r="W496" i="151"/>
  <c r="X496" i="151" s="1"/>
  <c r="N496" i="151"/>
  <c r="L496" i="151"/>
  <c r="U496" i="151" s="1"/>
  <c r="J496" i="151"/>
  <c r="X495" i="151"/>
  <c r="W495" i="151"/>
  <c r="N495" i="151"/>
  <c r="L495" i="151"/>
  <c r="J495" i="151"/>
  <c r="X494" i="151"/>
  <c r="W494" i="151"/>
  <c r="N494" i="151"/>
  <c r="L494" i="151"/>
  <c r="T494" i="151" s="1"/>
  <c r="J494" i="151"/>
  <c r="X493" i="151"/>
  <c r="W493" i="151"/>
  <c r="U493" i="151"/>
  <c r="N493" i="151"/>
  <c r="L493" i="151"/>
  <c r="T493" i="151" s="1"/>
  <c r="J493" i="151"/>
  <c r="W492" i="151"/>
  <c r="X492" i="151" s="1"/>
  <c r="T492" i="151"/>
  <c r="N492" i="151"/>
  <c r="L492" i="151"/>
  <c r="U492" i="151" s="1"/>
  <c r="J492" i="151"/>
  <c r="W491" i="151"/>
  <c r="X491" i="151" s="1"/>
  <c r="U491" i="151"/>
  <c r="T491" i="151"/>
  <c r="N491" i="151"/>
  <c r="L491" i="151"/>
  <c r="S491" i="151" s="1"/>
  <c r="J491" i="151"/>
  <c r="W490" i="151"/>
  <c r="X490" i="151" s="1"/>
  <c r="U490" i="151"/>
  <c r="N490" i="151"/>
  <c r="L490" i="151"/>
  <c r="S490" i="151" s="1"/>
  <c r="J490" i="151"/>
  <c r="X489" i="151"/>
  <c r="W489" i="151"/>
  <c r="N489" i="151"/>
  <c r="L489" i="151"/>
  <c r="U489" i="151" s="1"/>
  <c r="J489" i="151"/>
  <c r="W488" i="151"/>
  <c r="X488" i="151" s="1"/>
  <c r="U488" i="151"/>
  <c r="T488" i="151"/>
  <c r="S488" i="151"/>
  <c r="N488" i="151"/>
  <c r="L488" i="151"/>
  <c r="J488" i="151"/>
  <c r="X487" i="151"/>
  <c r="W487" i="151"/>
  <c r="N487" i="151"/>
  <c r="L487" i="151"/>
  <c r="J487" i="151"/>
  <c r="W486" i="151"/>
  <c r="X486" i="151" s="1"/>
  <c r="U486" i="151"/>
  <c r="N486" i="151"/>
  <c r="L486" i="151"/>
  <c r="T486" i="151" s="1"/>
  <c r="J486" i="151"/>
  <c r="W485" i="151"/>
  <c r="X485" i="151" s="1"/>
  <c r="N485" i="151"/>
  <c r="L485" i="151"/>
  <c r="J485" i="151"/>
  <c r="W484" i="151"/>
  <c r="X484" i="151" s="1"/>
  <c r="U484" i="151"/>
  <c r="T484" i="151"/>
  <c r="S484" i="151"/>
  <c r="N484" i="151"/>
  <c r="L484" i="151"/>
  <c r="J484" i="151"/>
  <c r="W483" i="151"/>
  <c r="X483" i="151" s="1"/>
  <c r="S483" i="151"/>
  <c r="N483" i="151"/>
  <c r="L483" i="151"/>
  <c r="J483" i="151"/>
  <c r="X482" i="151"/>
  <c r="W482" i="151"/>
  <c r="N482" i="151"/>
  <c r="L482" i="151"/>
  <c r="U482" i="151" s="1"/>
  <c r="J482" i="151"/>
  <c r="W481" i="151"/>
  <c r="X481" i="151" s="1"/>
  <c r="N481" i="151"/>
  <c r="L481" i="151"/>
  <c r="J481" i="151"/>
  <c r="W480" i="151"/>
  <c r="X480" i="151" s="1"/>
  <c r="N480" i="151"/>
  <c r="L480" i="151"/>
  <c r="J480" i="151"/>
  <c r="W479" i="151"/>
  <c r="X479" i="151" s="1"/>
  <c r="T479" i="151"/>
  <c r="S479" i="151"/>
  <c r="N479" i="151"/>
  <c r="L479" i="151"/>
  <c r="U479" i="151" s="1"/>
  <c r="J479" i="151"/>
  <c r="W478" i="151"/>
  <c r="X478" i="151" s="1"/>
  <c r="T478" i="151"/>
  <c r="N478" i="151"/>
  <c r="L478" i="151"/>
  <c r="U478" i="151" s="1"/>
  <c r="J478" i="151"/>
  <c r="X477" i="151"/>
  <c r="W477" i="151"/>
  <c r="N477" i="151"/>
  <c r="L477" i="151"/>
  <c r="J477" i="151"/>
  <c r="W476" i="151"/>
  <c r="X476" i="151" s="1"/>
  <c r="U476" i="151"/>
  <c r="T476" i="151"/>
  <c r="S476" i="151"/>
  <c r="N476" i="151"/>
  <c r="L476" i="151"/>
  <c r="J476" i="151"/>
  <c r="W475" i="151"/>
  <c r="X475" i="151" s="1"/>
  <c r="N475" i="151"/>
  <c r="L475" i="151"/>
  <c r="U475" i="151" s="1"/>
  <c r="J475" i="151"/>
  <c r="W474" i="151"/>
  <c r="X474" i="151" s="1"/>
  <c r="T474" i="151"/>
  <c r="S474" i="151"/>
  <c r="N474" i="151"/>
  <c r="L474" i="151"/>
  <c r="U474" i="151" s="1"/>
  <c r="J474" i="151"/>
  <c r="X473" i="151"/>
  <c r="W473" i="151"/>
  <c r="N473" i="151"/>
  <c r="L473" i="151"/>
  <c r="J473" i="151"/>
  <c r="W472" i="151"/>
  <c r="X472" i="151" s="1"/>
  <c r="U472" i="151"/>
  <c r="T472" i="151"/>
  <c r="S472" i="151"/>
  <c r="N472" i="151"/>
  <c r="L472" i="151"/>
  <c r="J472" i="151"/>
  <c r="W471" i="151"/>
  <c r="X471" i="151" s="1"/>
  <c r="N471" i="151"/>
  <c r="L471" i="151"/>
  <c r="U471" i="151" s="1"/>
  <c r="J471" i="151"/>
  <c r="W470" i="151"/>
  <c r="X470" i="151" s="1"/>
  <c r="N470" i="151"/>
  <c r="L470" i="151"/>
  <c r="J470" i="151"/>
  <c r="W469" i="151"/>
  <c r="X469" i="151" s="1"/>
  <c r="N469" i="151"/>
  <c r="L469" i="151"/>
  <c r="J469" i="151"/>
  <c r="W468" i="151"/>
  <c r="X468" i="151" s="1"/>
  <c r="N468" i="151"/>
  <c r="L468" i="151"/>
  <c r="U468" i="151" s="1"/>
  <c r="J468" i="151"/>
  <c r="X467" i="151"/>
  <c r="W467" i="151"/>
  <c r="N467" i="151"/>
  <c r="L467" i="151"/>
  <c r="J467" i="151"/>
  <c r="X466" i="151"/>
  <c r="W466" i="151"/>
  <c r="N466" i="151"/>
  <c r="L466" i="151"/>
  <c r="J466" i="151"/>
  <c r="X465" i="151"/>
  <c r="W465" i="151"/>
  <c r="N465" i="151"/>
  <c r="L465" i="151"/>
  <c r="U465" i="151" s="1"/>
  <c r="J465" i="151"/>
  <c r="W464" i="151"/>
  <c r="X464" i="151" s="1"/>
  <c r="N464" i="151"/>
  <c r="L464" i="151"/>
  <c r="J464" i="151"/>
  <c r="W463" i="151"/>
  <c r="X463" i="151" s="1"/>
  <c r="N463" i="151"/>
  <c r="L463" i="151"/>
  <c r="J463" i="151"/>
  <c r="W462" i="151"/>
  <c r="X462" i="151" s="1"/>
  <c r="N462" i="151"/>
  <c r="L462" i="151"/>
  <c r="T462" i="151" s="1"/>
  <c r="J462" i="151"/>
  <c r="W461" i="151"/>
  <c r="X461" i="151" s="1"/>
  <c r="N461" i="151"/>
  <c r="L461" i="151"/>
  <c r="U461" i="151" s="1"/>
  <c r="J461" i="151"/>
  <c r="W460" i="151"/>
  <c r="X460" i="151" s="1"/>
  <c r="T460" i="151"/>
  <c r="N460" i="151"/>
  <c r="L460" i="151"/>
  <c r="J460" i="151"/>
  <c r="W459" i="151"/>
  <c r="X459" i="151" s="1"/>
  <c r="N459" i="151"/>
  <c r="L459" i="151"/>
  <c r="T459" i="151" s="1"/>
  <c r="J459" i="151"/>
  <c r="W458" i="151"/>
  <c r="X458" i="151" s="1"/>
  <c r="N458" i="151"/>
  <c r="L458" i="151"/>
  <c r="J458" i="151"/>
  <c r="W457" i="151"/>
  <c r="X457" i="151" s="1"/>
  <c r="S457" i="151"/>
  <c r="N457" i="151"/>
  <c r="L457" i="151"/>
  <c r="U457" i="151" s="1"/>
  <c r="J457" i="151"/>
  <c r="W456" i="151"/>
  <c r="X456" i="151" s="1"/>
  <c r="N456" i="151"/>
  <c r="L456" i="151"/>
  <c r="J456" i="151"/>
  <c r="W455" i="151"/>
  <c r="X455" i="151" s="1"/>
  <c r="N455" i="151"/>
  <c r="L455" i="151"/>
  <c r="J455" i="151"/>
  <c r="W454" i="151"/>
  <c r="X454" i="151" s="1"/>
  <c r="N454" i="151"/>
  <c r="L454" i="151"/>
  <c r="U454" i="151" s="1"/>
  <c r="J454" i="151"/>
  <c r="W453" i="151"/>
  <c r="X453" i="151" s="1"/>
  <c r="U453" i="151"/>
  <c r="S453" i="151"/>
  <c r="N453" i="151"/>
  <c r="L453" i="151"/>
  <c r="T453" i="151" s="1"/>
  <c r="J453" i="151"/>
  <c r="W452" i="151"/>
  <c r="X452" i="151" s="1"/>
  <c r="N452" i="151"/>
  <c r="L452" i="151"/>
  <c r="T452" i="151" s="1"/>
  <c r="J452" i="151"/>
  <c r="W451" i="151"/>
  <c r="X451" i="151" s="1"/>
  <c r="S451" i="151"/>
  <c r="N451" i="151"/>
  <c r="L451" i="151"/>
  <c r="J451" i="151"/>
  <c r="W450" i="151"/>
  <c r="X450" i="151" s="1"/>
  <c r="N450" i="151"/>
  <c r="L450" i="151"/>
  <c r="J450" i="151"/>
  <c r="W449" i="151"/>
  <c r="X449" i="151" s="1"/>
  <c r="N449" i="151"/>
  <c r="L449" i="151"/>
  <c r="J449" i="151"/>
  <c r="W448" i="151"/>
  <c r="X448" i="151" s="1"/>
  <c r="N448" i="151"/>
  <c r="L448" i="151"/>
  <c r="U448" i="151" s="1"/>
  <c r="J448" i="151"/>
  <c r="W447" i="151"/>
  <c r="X447" i="151" s="1"/>
  <c r="N447" i="151"/>
  <c r="L447" i="151"/>
  <c r="U447" i="151" s="1"/>
  <c r="J447" i="151"/>
  <c r="X446" i="151"/>
  <c r="W446" i="151"/>
  <c r="T446" i="151"/>
  <c r="N446" i="151"/>
  <c r="L446" i="151"/>
  <c r="J446" i="151"/>
  <c r="X445" i="151"/>
  <c r="W445" i="151"/>
  <c r="N445" i="151"/>
  <c r="L445" i="151"/>
  <c r="T445" i="151" s="1"/>
  <c r="J445" i="151"/>
  <c r="W444" i="151"/>
  <c r="X444" i="151" s="1"/>
  <c r="N444" i="151"/>
  <c r="L444" i="151"/>
  <c r="J444" i="151"/>
  <c r="W443" i="151"/>
  <c r="X443" i="151" s="1"/>
  <c r="T443" i="151"/>
  <c r="S443" i="151"/>
  <c r="N443" i="151"/>
  <c r="L443" i="151"/>
  <c r="U443" i="151" s="1"/>
  <c r="J443" i="151"/>
  <c r="W442" i="151"/>
  <c r="X442" i="151" s="1"/>
  <c r="N442" i="151"/>
  <c r="L442" i="151"/>
  <c r="J442" i="151"/>
  <c r="W441" i="151"/>
  <c r="X441" i="151" s="1"/>
  <c r="U441" i="151"/>
  <c r="N441" i="151"/>
  <c r="L441" i="151"/>
  <c r="J441" i="151"/>
  <c r="W440" i="151"/>
  <c r="X440" i="151" s="1"/>
  <c r="N440" i="151"/>
  <c r="L440" i="151"/>
  <c r="U440" i="151" s="1"/>
  <c r="J440" i="151"/>
  <c r="W439" i="151"/>
  <c r="X439" i="151" s="1"/>
  <c r="N439" i="151"/>
  <c r="L439" i="151"/>
  <c r="J439" i="151"/>
  <c r="X438" i="151"/>
  <c r="W438" i="151"/>
  <c r="N438" i="151"/>
  <c r="L438" i="151"/>
  <c r="J438" i="151"/>
  <c r="W437" i="151"/>
  <c r="X437" i="151" s="1"/>
  <c r="N437" i="151"/>
  <c r="L437" i="151"/>
  <c r="U437" i="151" s="1"/>
  <c r="J437" i="151"/>
  <c r="W436" i="151"/>
  <c r="X436" i="151" s="1"/>
  <c r="N436" i="151"/>
  <c r="L436" i="151"/>
  <c r="J436" i="151"/>
  <c r="W435" i="151"/>
  <c r="X435" i="151" s="1"/>
  <c r="N435" i="151"/>
  <c r="L435" i="151"/>
  <c r="J435" i="151"/>
  <c r="W434" i="151"/>
  <c r="X434" i="151" s="1"/>
  <c r="N434" i="151"/>
  <c r="L434" i="151"/>
  <c r="S434" i="151" s="1"/>
  <c r="J434" i="151"/>
  <c r="W433" i="151"/>
  <c r="X433" i="151" s="1"/>
  <c r="N433" i="151"/>
  <c r="L433" i="151"/>
  <c r="U433" i="151" s="1"/>
  <c r="J433" i="151"/>
  <c r="W432" i="151"/>
  <c r="X432" i="151" s="1"/>
  <c r="N432" i="151"/>
  <c r="L432" i="151"/>
  <c r="J432" i="151"/>
  <c r="W431" i="151"/>
  <c r="X431" i="151" s="1"/>
  <c r="N431" i="151"/>
  <c r="L431" i="151"/>
  <c r="J431" i="151"/>
  <c r="X430" i="151"/>
  <c r="W430" i="151"/>
  <c r="N430" i="151"/>
  <c r="L430" i="151"/>
  <c r="J430" i="151"/>
  <c r="W429" i="151"/>
  <c r="X429" i="151" s="1"/>
  <c r="N429" i="151"/>
  <c r="L429" i="151"/>
  <c r="J429" i="151"/>
  <c r="W428" i="151"/>
  <c r="X428" i="151" s="1"/>
  <c r="U428" i="151"/>
  <c r="N428" i="151"/>
  <c r="L428" i="151"/>
  <c r="J428" i="151"/>
  <c r="W427" i="151"/>
  <c r="X427" i="151" s="1"/>
  <c r="U427" i="151"/>
  <c r="T427" i="151"/>
  <c r="S427" i="151"/>
  <c r="N427" i="151"/>
  <c r="L427" i="151"/>
  <c r="J427" i="151"/>
  <c r="W426" i="151"/>
  <c r="X426" i="151" s="1"/>
  <c r="N426" i="151"/>
  <c r="L426" i="151"/>
  <c r="U426" i="151" s="1"/>
  <c r="J426" i="151"/>
  <c r="W425" i="151"/>
  <c r="X425" i="151" s="1"/>
  <c r="N425" i="151"/>
  <c r="L425" i="151"/>
  <c r="U425" i="151" s="1"/>
  <c r="J425" i="151"/>
  <c r="W424" i="151"/>
  <c r="X424" i="151" s="1"/>
  <c r="N424" i="151"/>
  <c r="L424" i="151"/>
  <c r="J424" i="151"/>
  <c r="W423" i="151"/>
  <c r="X423" i="151" s="1"/>
  <c r="N423" i="151"/>
  <c r="L423" i="151"/>
  <c r="J423" i="151"/>
  <c r="W422" i="151"/>
  <c r="X422" i="151" s="1"/>
  <c r="N422" i="151"/>
  <c r="L422" i="151"/>
  <c r="U422" i="151" s="1"/>
  <c r="J422" i="151"/>
  <c r="W421" i="151"/>
  <c r="X421" i="151" s="1"/>
  <c r="U421" i="151"/>
  <c r="T421" i="151"/>
  <c r="S421" i="151"/>
  <c r="N421" i="151"/>
  <c r="L421" i="151"/>
  <c r="J421" i="151"/>
  <c r="W420" i="151"/>
  <c r="X420" i="151" s="1"/>
  <c r="N420" i="151"/>
  <c r="L420" i="151"/>
  <c r="J420" i="151"/>
  <c r="W419" i="151"/>
  <c r="X419" i="151" s="1"/>
  <c r="N419" i="151"/>
  <c r="L419" i="151"/>
  <c r="U419" i="151" s="1"/>
  <c r="J419" i="151"/>
  <c r="W418" i="151"/>
  <c r="X418" i="151" s="1"/>
  <c r="N418" i="151"/>
  <c r="L418" i="151"/>
  <c r="J418" i="151"/>
  <c r="W417" i="151"/>
  <c r="X417" i="151" s="1"/>
  <c r="N417" i="151"/>
  <c r="L417" i="151"/>
  <c r="J417" i="151"/>
  <c r="W416" i="151"/>
  <c r="X416" i="151" s="1"/>
  <c r="U416" i="151"/>
  <c r="T416" i="151"/>
  <c r="S416" i="151"/>
  <c r="N416" i="151"/>
  <c r="L416" i="151"/>
  <c r="J416" i="151"/>
  <c r="W415" i="151"/>
  <c r="X415" i="151" s="1"/>
  <c r="T415" i="151"/>
  <c r="N415" i="151"/>
  <c r="L415" i="151"/>
  <c r="J415" i="151"/>
  <c r="X414" i="151"/>
  <c r="W414" i="151"/>
  <c r="U414" i="151"/>
  <c r="T414" i="151"/>
  <c r="S414" i="151"/>
  <c r="N414" i="151"/>
  <c r="L414" i="151"/>
  <c r="J414" i="151"/>
  <c r="W413" i="151"/>
  <c r="X413" i="151" s="1"/>
  <c r="S413" i="151"/>
  <c r="N413" i="151"/>
  <c r="L413" i="151"/>
  <c r="J413" i="151"/>
  <c r="X412" i="151"/>
  <c r="W412" i="151"/>
  <c r="N412" i="151"/>
  <c r="L412" i="151"/>
  <c r="U412" i="151" s="1"/>
  <c r="J412" i="151"/>
  <c r="W411" i="151"/>
  <c r="X411" i="151" s="1"/>
  <c r="N411" i="151"/>
  <c r="L411" i="151"/>
  <c r="S411" i="151" s="1"/>
  <c r="J411" i="151"/>
  <c r="W410" i="151"/>
  <c r="X410" i="151" s="1"/>
  <c r="T410" i="151"/>
  <c r="N410" i="151"/>
  <c r="L410" i="151"/>
  <c r="J410" i="151"/>
  <c r="W409" i="151"/>
  <c r="X409" i="151" s="1"/>
  <c r="U409" i="151"/>
  <c r="T409" i="151"/>
  <c r="S409" i="151"/>
  <c r="N409" i="151"/>
  <c r="L409" i="151"/>
  <c r="J409" i="151"/>
  <c r="W408" i="151"/>
  <c r="X408" i="151" s="1"/>
  <c r="N408" i="151"/>
  <c r="L408" i="151"/>
  <c r="J408" i="151"/>
  <c r="W407" i="151"/>
  <c r="X407" i="151" s="1"/>
  <c r="N407" i="151"/>
  <c r="L407" i="151"/>
  <c r="U407" i="151" s="1"/>
  <c r="J407" i="151"/>
  <c r="W406" i="151"/>
  <c r="X406" i="151" s="1"/>
  <c r="N406" i="151"/>
  <c r="L406" i="151"/>
  <c r="J406" i="151"/>
  <c r="W405" i="151"/>
  <c r="X405" i="151" s="1"/>
  <c r="N405" i="151"/>
  <c r="L405" i="151"/>
  <c r="U405" i="151" s="1"/>
  <c r="J405" i="151"/>
  <c r="W404" i="151"/>
  <c r="X404" i="151" s="1"/>
  <c r="U404" i="151"/>
  <c r="S404" i="151"/>
  <c r="N404" i="151"/>
  <c r="L404" i="151"/>
  <c r="T404" i="151" s="1"/>
  <c r="J404" i="151"/>
  <c r="W403" i="151"/>
  <c r="X403" i="151" s="1"/>
  <c r="N403" i="151"/>
  <c r="L403" i="151"/>
  <c r="T403" i="151" s="1"/>
  <c r="J403" i="151"/>
  <c r="W402" i="151"/>
  <c r="X402" i="151" s="1"/>
  <c r="U402" i="151"/>
  <c r="T402" i="151"/>
  <c r="S402" i="151"/>
  <c r="N402" i="151"/>
  <c r="L402" i="151"/>
  <c r="J402" i="151"/>
  <c r="W401" i="151"/>
  <c r="X401" i="151" s="1"/>
  <c r="S401" i="151"/>
  <c r="N401" i="151"/>
  <c r="L401" i="151"/>
  <c r="J401" i="151"/>
  <c r="W400" i="151"/>
  <c r="X400" i="151" s="1"/>
  <c r="U400" i="151"/>
  <c r="T400" i="151"/>
  <c r="S400" i="151"/>
  <c r="N400" i="151"/>
  <c r="L400" i="151"/>
  <c r="J400" i="151"/>
  <c r="W399" i="151"/>
  <c r="X399" i="151" s="1"/>
  <c r="N399" i="151"/>
  <c r="L399" i="151"/>
  <c r="U399" i="151" s="1"/>
  <c r="J399" i="151"/>
  <c r="X398" i="151"/>
  <c r="W398" i="151"/>
  <c r="N398" i="151"/>
  <c r="L398" i="151"/>
  <c r="J398" i="151"/>
  <c r="X397" i="151"/>
  <c r="W397" i="151"/>
  <c r="T397" i="151"/>
  <c r="S397" i="151"/>
  <c r="N397" i="151"/>
  <c r="L397" i="151"/>
  <c r="U397" i="151" s="1"/>
  <c r="J397" i="151"/>
  <c r="W396" i="151"/>
  <c r="X396" i="151" s="1"/>
  <c r="T396" i="151"/>
  <c r="N396" i="151"/>
  <c r="L396" i="151"/>
  <c r="U396" i="151" s="1"/>
  <c r="J396" i="151"/>
  <c r="W395" i="151"/>
  <c r="X395" i="151" s="1"/>
  <c r="U395" i="151"/>
  <c r="T395" i="151"/>
  <c r="S395" i="151"/>
  <c r="N395" i="151"/>
  <c r="L395" i="151"/>
  <c r="J395" i="151"/>
  <c r="W394" i="151"/>
  <c r="X394" i="151" s="1"/>
  <c r="N394" i="151"/>
  <c r="L394" i="151"/>
  <c r="J394" i="151"/>
  <c r="W393" i="151"/>
  <c r="X393" i="151" s="1"/>
  <c r="U393" i="151"/>
  <c r="T393" i="151"/>
  <c r="S393" i="151"/>
  <c r="N393" i="151"/>
  <c r="L393" i="151"/>
  <c r="J393" i="151"/>
  <c r="W392" i="151"/>
  <c r="X392" i="151" s="1"/>
  <c r="N392" i="151"/>
  <c r="L392" i="151"/>
  <c r="J392" i="151"/>
  <c r="W391" i="151"/>
  <c r="X391" i="151" s="1"/>
  <c r="N391" i="151"/>
  <c r="L391" i="151"/>
  <c r="J391" i="151"/>
  <c r="W390" i="151"/>
  <c r="X390" i="151" s="1"/>
  <c r="N390" i="151"/>
  <c r="L390" i="151"/>
  <c r="J390" i="151"/>
  <c r="W389" i="151"/>
  <c r="X389" i="151" s="1"/>
  <c r="N389" i="151"/>
  <c r="L389" i="151"/>
  <c r="T389" i="151" s="1"/>
  <c r="J389" i="151"/>
  <c r="W388" i="151"/>
  <c r="X388" i="151" s="1"/>
  <c r="N388" i="151"/>
  <c r="L388" i="151"/>
  <c r="J388" i="151"/>
  <c r="W387" i="151"/>
  <c r="X387" i="151" s="1"/>
  <c r="N387" i="151"/>
  <c r="L387" i="151"/>
  <c r="T387" i="151" s="1"/>
  <c r="J387" i="151"/>
  <c r="W386" i="151"/>
  <c r="X386" i="151" s="1"/>
  <c r="N386" i="151"/>
  <c r="L386" i="151"/>
  <c r="J386" i="151"/>
  <c r="W385" i="151"/>
  <c r="X385" i="151" s="1"/>
  <c r="U385" i="151"/>
  <c r="T385" i="151"/>
  <c r="N385" i="151"/>
  <c r="L385" i="151"/>
  <c r="S385" i="151" s="1"/>
  <c r="J385" i="151"/>
  <c r="W384" i="151"/>
  <c r="X384" i="151" s="1"/>
  <c r="N384" i="151"/>
  <c r="L384" i="151"/>
  <c r="J384" i="151"/>
  <c r="W383" i="151"/>
  <c r="X383" i="151" s="1"/>
  <c r="S383" i="151"/>
  <c r="N383" i="151"/>
  <c r="L383" i="151"/>
  <c r="U383" i="151" s="1"/>
  <c r="J383" i="151"/>
  <c r="W382" i="151"/>
  <c r="X382" i="151" s="1"/>
  <c r="N382" i="151"/>
  <c r="L382" i="151"/>
  <c r="J382" i="151"/>
  <c r="W381" i="151"/>
  <c r="X381" i="151" s="1"/>
  <c r="N381" i="151"/>
  <c r="L381" i="151"/>
  <c r="U381" i="151" s="1"/>
  <c r="J381" i="151"/>
  <c r="W380" i="151"/>
  <c r="X380" i="151" s="1"/>
  <c r="N380" i="151"/>
  <c r="L380" i="151"/>
  <c r="J380" i="151"/>
  <c r="W379" i="151"/>
  <c r="X379" i="151" s="1"/>
  <c r="U379" i="151"/>
  <c r="T379" i="151"/>
  <c r="S379" i="151"/>
  <c r="N379" i="151"/>
  <c r="L379" i="151"/>
  <c r="J379" i="151"/>
  <c r="W378" i="151"/>
  <c r="X378" i="151" s="1"/>
  <c r="T378" i="151"/>
  <c r="S378" i="151"/>
  <c r="N378" i="151"/>
  <c r="L378" i="151"/>
  <c r="U378" i="151" s="1"/>
  <c r="J378" i="151"/>
  <c r="W377" i="151"/>
  <c r="X377" i="151" s="1"/>
  <c r="N377" i="151"/>
  <c r="L377" i="151"/>
  <c r="J377" i="151"/>
  <c r="W376" i="151"/>
  <c r="X376" i="151" s="1"/>
  <c r="N376" i="151"/>
  <c r="L376" i="151"/>
  <c r="J376" i="151"/>
  <c r="W375" i="151"/>
  <c r="X375" i="151" s="1"/>
  <c r="T375" i="151"/>
  <c r="S375" i="151"/>
  <c r="N375" i="151"/>
  <c r="L375" i="151"/>
  <c r="U375" i="151" s="1"/>
  <c r="J375" i="151"/>
  <c r="W374" i="151"/>
  <c r="X374" i="151" s="1"/>
  <c r="U374" i="151"/>
  <c r="N374" i="151"/>
  <c r="L374" i="151"/>
  <c r="J374" i="151"/>
  <c r="W373" i="151"/>
  <c r="X373" i="151" s="1"/>
  <c r="N373" i="151"/>
  <c r="L373" i="151"/>
  <c r="J373" i="151"/>
  <c r="W372" i="151"/>
  <c r="X372" i="151" s="1"/>
  <c r="N372" i="151"/>
  <c r="L372" i="151"/>
  <c r="J372" i="151"/>
  <c r="W371" i="151"/>
  <c r="X371" i="151" s="1"/>
  <c r="N371" i="151"/>
  <c r="L371" i="151"/>
  <c r="U371" i="151" s="1"/>
  <c r="J371" i="151"/>
  <c r="X370" i="151"/>
  <c r="W370" i="151"/>
  <c r="N370" i="151"/>
  <c r="L370" i="151"/>
  <c r="J370" i="151"/>
  <c r="W369" i="151"/>
  <c r="X369" i="151" s="1"/>
  <c r="U369" i="151"/>
  <c r="S369" i="151"/>
  <c r="N369" i="151"/>
  <c r="L369" i="151"/>
  <c r="T369" i="151" s="1"/>
  <c r="J369" i="151"/>
  <c r="W368" i="151"/>
  <c r="X368" i="151" s="1"/>
  <c r="S368" i="151"/>
  <c r="N368" i="151"/>
  <c r="L368" i="151"/>
  <c r="U368" i="151" s="1"/>
  <c r="J368" i="151"/>
  <c r="X367" i="151"/>
  <c r="W367" i="151"/>
  <c r="U367" i="151"/>
  <c r="T367" i="151"/>
  <c r="S367" i="151"/>
  <c r="N367" i="151"/>
  <c r="L367" i="151"/>
  <c r="J367" i="151"/>
  <c r="W366" i="151"/>
  <c r="X366" i="151" s="1"/>
  <c r="N366" i="151"/>
  <c r="L366" i="151"/>
  <c r="S366" i="151" s="1"/>
  <c r="J366" i="151"/>
  <c r="X365" i="151"/>
  <c r="W365" i="151"/>
  <c r="N365" i="151"/>
  <c r="L365" i="151"/>
  <c r="J365" i="151"/>
  <c r="W364" i="151"/>
  <c r="X364" i="151" s="1"/>
  <c r="N364" i="151"/>
  <c r="L364" i="151"/>
  <c r="U364" i="151" s="1"/>
  <c r="J364" i="151"/>
  <c r="W363" i="151"/>
  <c r="X363" i="151" s="1"/>
  <c r="N363" i="151"/>
  <c r="L363" i="151"/>
  <c r="J363" i="151"/>
  <c r="W362" i="151"/>
  <c r="X362" i="151" s="1"/>
  <c r="N362" i="151"/>
  <c r="L362" i="151"/>
  <c r="T362" i="151" s="1"/>
  <c r="J362" i="151"/>
  <c r="X361" i="151"/>
  <c r="W361" i="151"/>
  <c r="N361" i="151"/>
  <c r="L361" i="151"/>
  <c r="U361" i="151" s="1"/>
  <c r="J361" i="151"/>
  <c r="W360" i="151"/>
  <c r="X360" i="151" s="1"/>
  <c r="N360" i="151"/>
  <c r="L360" i="151"/>
  <c r="J360" i="151"/>
  <c r="W359" i="151"/>
  <c r="X359" i="151" s="1"/>
  <c r="N359" i="151"/>
  <c r="L359" i="151"/>
  <c r="J359" i="151"/>
  <c r="X358" i="151"/>
  <c r="W358" i="151"/>
  <c r="U358" i="151"/>
  <c r="T358" i="151"/>
  <c r="S358" i="151"/>
  <c r="N358" i="151"/>
  <c r="L358" i="151"/>
  <c r="J358" i="151"/>
  <c r="W357" i="151"/>
  <c r="X357" i="151" s="1"/>
  <c r="N357" i="151"/>
  <c r="L357" i="151"/>
  <c r="J357" i="151"/>
  <c r="X356" i="151"/>
  <c r="W356" i="151"/>
  <c r="N356" i="151"/>
  <c r="L356" i="151"/>
  <c r="J356" i="151"/>
  <c r="W355" i="151"/>
  <c r="X355" i="151" s="1"/>
  <c r="N355" i="151"/>
  <c r="L355" i="151"/>
  <c r="J355" i="151"/>
  <c r="W354" i="151"/>
  <c r="X354" i="151" s="1"/>
  <c r="N354" i="151"/>
  <c r="L354" i="151"/>
  <c r="J354" i="151"/>
  <c r="W353" i="151"/>
  <c r="X353" i="151" s="1"/>
  <c r="U353" i="151"/>
  <c r="T353" i="151"/>
  <c r="S353" i="151"/>
  <c r="N353" i="151"/>
  <c r="L353" i="151"/>
  <c r="J353" i="151"/>
  <c r="W352" i="151"/>
  <c r="X352" i="151" s="1"/>
  <c r="T352" i="151"/>
  <c r="S352" i="151"/>
  <c r="N352" i="151"/>
  <c r="L352" i="151"/>
  <c r="U352" i="151" s="1"/>
  <c r="J352" i="151"/>
  <c r="X351" i="151"/>
  <c r="W351" i="151"/>
  <c r="U351" i="151"/>
  <c r="T351" i="151"/>
  <c r="S351" i="151"/>
  <c r="N351" i="151"/>
  <c r="L351" i="151"/>
  <c r="J351" i="151"/>
  <c r="W350" i="151"/>
  <c r="X350" i="151" s="1"/>
  <c r="U350" i="151"/>
  <c r="S350" i="151"/>
  <c r="N350" i="151"/>
  <c r="L350" i="151"/>
  <c r="T350" i="151" s="1"/>
  <c r="J350" i="151"/>
  <c r="X349" i="151"/>
  <c r="W349" i="151"/>
  <c r="N349" i="151"/>
  <c r="L349" i="151"/>
  <c r="J349" i="151"/>
  <c r="W348" i="151"/>
  <c r="X348" i="151" s="1"/>
  <c r="N348" i="151"/>
  <c r="L348" i="151"/>
  <c r="J348" i="151"/>
  <c r="W347" i="151"/>
  <c r="X347" i="151" s="1"/>
  <c r="N347" i="151"/>
  <c r="L347" i="151"/>
  <c r="J347" i="151"/>
  <c r="X346" i="151"/>
  <c r="W346" i="151"/>
  <c r="N346" i="151"/>
  <c r="L346" i="151"/>
  <c r="J346" i="151"/>
  <c r="W345" i="151"/>
  <c r="X345" i="151" s="1"/>
  <c r="U345" i="151"/>
  <c r="N345" i="151"/>
  <c r="L345" i="151"/>
  <c r="T345" i="151" s="1"/>
  <c r="J345" i="151"/>
  <c r="W344" i="151"/>
  <c r="X344" i="151" s="1"/>
  <c r="N344" i="151"/>
  <c r="L344" i="151"/>
  <c r="J344" i="151"/>
  <c r="X343" i="151"/>
  <c r="W343" i="151"/>
  <c r="N343" i="151"/>
  <c r="L343" i="151"/>
  <c r="T343" i="151" s="1"/>
  <c r="J343" i="151"/>
  <c r="W342" i="151"/>
  <c r="X342" i="151" s="1"/>
  <c r="N342" i="151"/>
  <c r="L342" i="151"/>
  <c r="J342" i="151"/>
  <c r="W341" i="151"/>
  <c r="X341" i="151" s="1"/>
  <c r="T341" i="151"/>
  <c r="N341" i="151"/>
  <c r="L341" i="151"/>
  <c r="J341" i="151"/>
  <c r="W340" i="151"/>
  <c r="X340" i="151" s="1"/>
  <c r="N340" i="151"/>
  <c r="L340" i="151"/>
  <c r="J340" i="151"/>
  <c r="W339" i="151"/>
  <c r="X339" i="151" s="1"/>
  <c r="N339" i="151"/>
  <c r="L339" i="151"/>
  <c r="J339" i="151"/>
  <c r="W338" i="151"/>
  <c r="X338" i="151" s="1"/>
  <c r="U338" i="151"/>
  <c r="N338" i="151"/>
  <c r="L338" i="151"/>
  <c r="T338" i="151" s="1"/>
  <c r="J338" i="151"/>
  <c r="W337" i="151"/>
  <c r="X337" i="151" s="1"/>
  <c r="N337" i="151"/>
  <c r="L337" i="151"/>
  <c r="J337" i="151"/>
  <c r="W336" i="151"/>
  <c r="X336" i="151" s="1"/>
  <c r="N336" i="151"/>
  <c r="L336" i="151"/>
  <c r="J336" i="151"/>
  <c r="W335" i="151"/>
  <c r="X335" i="151" s="1"/>
  <c r="N335" i="151"/>
  <c r="L335" i="151"/>
  <c r="U335" i="151" s="1"/>
  <c r="J335" i="151"/>
  <c r="W334" i="151"/>
  <c r="X334" i="151" s="1"/>
  <c r="N334" i="151"/>
  <c r="L334" i="151"/>
  <c r="J334" i="151"/>
  <c r="X333" i="151"/>
  <c r="W333" i="151"/>
  <c r="N333" i="151"/>
  <c r="L333" i="151"/>
  <c r="J333" i="151"/>
  <c r="W332" i="151"/>
  <c r="X332" i="151" s="1"/>
  <c r="N332" i="151"/>
  <c r="L332" i="151"/>
  <c r="S332" i="151" s="1"/>
  <c r="J332" i="151"/>
  <c r="W331" i="151"/>
  <c r="X331" i="151" s="1"/>
  <c r="N331" i="151"/>
  <c r="L331" i="151"/>
  <c r="J331" i="151"/>
  <c r="W330" i="151"/>
  <c r="X330" i="151" s="1"/>
  <c r="U330" i="151"/>
  <c r="T330" i="151"/>
  <c r="S330" i="151"/>
  <c r="N330" i="151"/>
  <c r="L330" i="151"/>
  <c r="J330" i="151"/>
  <c r="W329" i="151"/>
  <c r="X329" i="151" s="1"/>
  <c r="N329" i="151"/>
  <c r="L329" i="151"/>
  <c r="J329" i="151"/>
  <c r="W328" i="151"/>
  <c r="X328" i="151" s="1"/>
  <c r="U328" i="151"/>
  <c r="N328" i="151"/>
  <c r="L328" i="151"/>
  <c r="J328" i="151"/>
  <c r="W327" i="151"/>
  <c r="X327" i="151" s="1"/>
  <c r="N327" i="151"/>
  <c r="L327" i="151"/>
  <c r="J327" i="151"/>
  <c r="W326" i="151"/>
  <c r="X326" i="151" s="1"/>
  <c r="N326" i="151"/>
  <c r="L326" i="151"/>
  <c r="J326" i="151"/>
  <c r="W325" i="151"/>
  <c r="X325" i="151" s="1"/>
  <c r="T325" i="151"/>
  <c r="S325" i="151"/>
  <c r="N325" i="151"/>
  <c r="L325" i="151"/>
  <c r="U325" i="151" s="1"/>
  <c r="J325" i="151"/>
  <c r="W324" i="151"/>
  <c r="X324" i="151" s="1"/>
  <c r="N324" i="151"/>
  <c r="L324" i="151"/>
  <c r="S324" i="151" s="1"/>
  <c r="J324" i="151"/>
  <c r="W323" i="151"/>
  <c r="X323" i="151" s="1"/>
  <c r="U323" i="151"/>
  <c r="N323" i="151"/>
  <c r="L323" i="151"/>
  <c r="J323" i="151"/>
  <c r="W322" i="151"/>
  <c r="X322" i="151" s="1"/>
  <c r="N322" i="151"/>
  <c r="L322" i="151"/>
  <c r="J322" i="151"/>
  <c r="W321" i="151"/>
  <c r="X321" i="151" s="1"/>
  <c r="N321" i="151"/>
  <c r="L321" i="151"/>
  <c r="J321" i="151"/>
  <c r="W320" i="151"/>
  <c r="X320" i="151" s="1"/>
  <c r="N320" i="151"/>
  <c r="L320" i="151"/>
  <c r="U320" i="151" s="1"/>
  <c r="J320" i="151"/>
  <c r="W319" i="151"/>
  <c r="X319" i="151" s="1"/>
  <c r="N319" i="151"/>
  <c r="L319" i="151"/>
  <c r="J319" i="151"/>
  <c r="W318" i="151"/>
  <c r="X318" i="151" s="1"/>
  <c r="T318" i="151"/>
  <c r="S318" i="151"/>
  <c r="N318" i="151"/>
  <c r="L318" i="151"/>
  <c r="U318" i="151" s="1"/>
  <c r="J318" i="151"/>
  <c r="W317" i="151"/>
  <c r="X317" i="151" s="1"/>
  <c r="N317" i="151"/>
  <c r="L317" i="151"/>
  <c r="J317" i="151"/>
  <c r="W316" i="151"/>
  <c r="X316" i="151" s="1"/>
  <c r="N316" i="151"/>
  <c r="L316" i="151"/>
  <c r="U316" i="151" s="1"/>
  <c r="J316" i="151"/>
  <c r="X315" i="151"/>
  <c r="W315" i="151"/>
  <c r="T315" i="151"/>
  <c r="N315" i="151"/>
  <c r="L315" i="151"/>
  <c r="U315" i="151" s="1"/>
  <c r="J315" i="151"/>
  <c r="W314" i="151"/>
  <c r="X314" i="151" s="1"/>
  <c r="N314" i="151"/>
  <c r="L314" i="151"/>
  <c r="J314" i="151"/>
  <c r="W313" i="151"/>
  <c r="X313" i="151" s="1"/>
  <c r="T313" i="151"/>
  <c r="S313" i="151"/>
  <c r="N313" i="151"/>
  <c r="L313" i="151"/>
  <c r="U313" i="151" s="1"/>
  <c r="J313" i="151"/>
  <c r="W312" i="151"/>
  <c r="X312" i="151" s="1"/>
  <c r="N312" i="151"/>
  <c r="L312" i="151"/>
  <c r="J312" i="151"/>
  <c r="W311" i="151"/>
  <c r="X311" i="151" s="1"/>
  <c r="N311" i="151"/>
  <c r="L311" i="151"/>
  <c r="U311" i="151" s="1"/>
  <c r="J311" i="151"/>
  <c r="W310" i="151"/>
  <c r="X310" i="151" s="1"/>
  <c r="U310" i="151"/>
  <c r="S310" i="151"/>
  <c r="N310" i="151"/>
  <c r="L310" i="151"/>
  <c r="T310" i="151" s="1"/>
  <c r="J310" i="151"/>
  <c r="W309" i="151"/>
  <c r="X309" i="151" s="1"/>
  <c r="U309" i="151"/>
  <c r="T309" i="151"/>
  <c r="S309" i="151"/>
  <c r="N309" i="151"/>
  <c r="L309" i="151"/>
  <c r="J309" i="151"/>
  <c r="W308" i="151"/>
  <c r="X308" i="151" s="1"/>
  <c r="U308" i="151"/>
  <c r="N308" i="151"/>
  <c r="L308" i="151"/>
  <c r="T308" i="151" s="1"/>
  <c r="J308" i="151"/>
  <c r="W307" i="151"/>
  <c r="X307" i="151" s="1"/>
  <c r="N307" i="151"/>
  <c r="L307" i="151"/>
  <c r="J307" i="151"/>
  <c r="W306" i="151"/>
  <c r="X306" i="151" s="1"/>
  <c r="N306" i="151"/>
  <c r="L306" i="151"/>
  <c r="T306" i="151" s="1"/>
  <c r="J306" i="151"/>
  <c r="X305" i="151"/>
  <c r="W305" i="151"/>
  <c r="N305" i="151"/>
  <c r="L305" i="151"/>
  <c r="J305" i="151"/>
  <c r="W304" i="151"/>
  <c r="X304" i="151" s="1"/>
  <c r="N304" i="151"/>
  <c r="L304" i="151"/>
  <c r="J304" i="151"/>
  <c r="W303" i="151"/>
  <c r="X303" i="151" s="1"/>
  <c r="N303" i="151"/>
  <c r="L303" i="151"/>
  <c r="U303" i="151" s="1"/>
  <c r="J303" i="151"/>
  <c r="W302" i="151"/>
  <c r="X302" i="151" s="1"/>
  <c r="N302" i="151"/>
  <c r="L302" i="151"/>
  <c r="J302" i="151"/>
  <c r="W301" i="151"/>
  <c r="X301" i="151" s="1"/>
  <c r="U301" i="151"/>
  <c r="T301" i="151"/>
  <c r="S301" i="151"/>
  <c r="N301" i="151"/>
  <c r="L301" i="151"/>
  <c r="J301" i="151"/>
  <c r="W300" i="151"/>
  <c r="X300" i="151" s="1"/>
  <c r="N300" i="151"/>
  <c r="L300" i="151"/>
  <c r="U300" i="151" s="1"/>
  <c r="J300" i="151"/>
  <c r="W299" i="151"/>
  <c r="X299" i="151" s="1"/>
  <c r="U299" i="151"/>
  <c r="S299" i="151"/>
  <c r="N299" i="151"/>
  <c r="L299" i="151"/>
  <c r="T299" i="151" s="1"/>
  <c r="J299" i="151"/>
  <c r="W298" i="151"/>
  <c r="X298" i="151" s="1"/>
  <c r="N298" i="151"/>
  <c r="L298" i="151"/>
  <c r="S298" i="151" s="1"/>
  <c r="J298" i="151"/>
  <c r="W297" i="151"/>
  <c r="X297" i="151" s="1"/>
  <c r="U297" i="151"/>
  <c r="N297" i="151"/>
  <c r="L297" i="151"/>
  <c r="T297" i="151" s="1"/>
  <c r="J297" i="151"/>
  <c r="W296" i="151"/>
  <c r="X296" i="151" s="1"/>
  <c r="N296" i="151"/>
  <c r="L296" i="151"/>
  <c r="U296" i="151" s="1"/>
  <c r="J296" i="151"/>
  <c r="X295" i="151"/>
  <c r="W295" i="151"/>
  <c r="N295" i="151"/>
  <c r="L295" i="151"/>
  <c r="J295" i="151"/>
  <c r="W294" i="151"/>
  <c r="X294" i="151" s="1"/>
  <c r="N294" i="151"/>
  <c r="L294" i="151"/>
  <c r="J294" i="151"/>
  <c r="X293" i="151"/>
  <c r="W293" i="151"/>
  <c r="T293" i="151"/>
  <c r="S293" i="151"/>
  <c r="N293" i="151"/>
  <c r="L293" i="151"/>
  <c r="U293" i="151" s="1"/>
  <c r="J293" i="151"/>
  <c r="W292" i="151"/>
  <c r="X292" i="151" s="1"/>
  <c r="U292" i="151"/>
  <c r="S292" i="151"/>
  <c r="N292" i="151"/>
  <c r="L292" i="151"/>
  <c r="T292" i="151" s="1"/>
  <c r="J292" i="151"/>
  <c r="W291" i="151"/>
  <c r="X291" i="151" s="1"/>
  <c r="N291" i="151"/>
  <c r="L291" i="151"/>
  <c r="S291" i="151" s="1"/>
  <c r="J291" i="151"/>
  <c r="X290" i="151"/>
  <c r="W290" i="151"/>
  <c r="N290" i="151"/>
  <c r="L290" i="151"/>
  <c r="T290" i="151" s="1"/>
  <c r="J290" i="151"/>
  <c r="W289" i="151"/>
  <c r="X289" i="151" s="1"/>
  <c r="N289" i="151"/>
  <c r="L289" i="151"/>
  <c r="U289" i="151" s="1"/>
  <c r="J289" i="151"/>
  <c r="X288" i="151"/>
  <c r="W288" i="151"/>
  <c r="N288" i="151"/>
  <c r="L288" i="151"/>
  <c r="J288" i="151"/>
  <c r="W287" i="151"/>
  <c r="X287" i="151" s="1"/>
  <c r="N287" i="151"/>
  <c r="L287" i="151"/>
  <c r="U287" i="151" s="1"/>
  <c r="J287" i="151"/>
  <c r="W286" i="151"/>
  <c r="X286" i="151" s="1"/>
  <c r="N286" i="151"/>
  <c r="L286" i="151"/>
  <c r="J286" i="151"/>
  <c r="W285" i="151"/>
  <c r="X285" i="151" s="1"/>
  <c r="U285" i="151"/>
  <c r="S285" i="151"/>
  <c r="N285" i="151"/>
  <c r="L285" i="151"/>
  <c r="T285" i="151" s="1"/>
  <c r="J285" i="151"/>
  <c r="W284" i="151"/>
  <c r="X284" i="151" s="1"/>
  <c r="N284" i="151"/>
  <c r="L284" i="151"/>
  <c r="S284" i="151" s="1"/>
  <c r="J284" i="151"/>
  <c r="W283" i="151"/>
  <c r="X283" i="151" s="1"/>
  <c r="N283" i="151"/>
  <c r="L283" i="151"/>
  <c r="T283" i="151" s="1"/>
  <c r="J283" i="151"/>
  <c r="W282" i="151"/>
  <c r="X282" i="151" s="1"/>
  <c r="N282" i="151"/>
  <c r="L282" i="151"/>
  <c r="U282" i="151" s="1"/>
  <c r="J282" i="151"/>
  <c r="W281" i="151"/>
  <c r="X281" i="151" s="1"/>
  <c r="N281" i="151"/>
  <c r="L281" i="151"/>
  <c r="J281" i="151"/>
  <c r="W280" i="151"/>
  <c r="X280" i="151" s="1"/>
  <c r="N280" i="151"/>
  <c r="L280" i="151"/>
  <c r="U280" i="151" s="1"/>
  <c r="J280" i="151"/>
  <c r="X279" i="151"/>
  <c r="W279" i="151"/>
  <c r="N279" i="151"/>
  <c r="L279" i="151"/>
  <c r="U279" i="151" s="1"/>
  <c r="J279" i="151"/>
  <c r="W278" i="151"/>
  <c r="X278" i="151" s="1"/>
  <c r="N278" i="151"/>
  <c r="L278" i="151"/>
  <c r="J278" i="151"/>
  <c r="W277" i="151"/>
  <c r="X277" i="151" s="1"/>
  <c r="U277" i="151"/>
  <c r="T277" i="151"/>
  <c r="N277" i="151"/>
  <c r="L277" i="151"/>
  <c r="S277" i="151" s="1"/>
  <c r="J277" i="151"/>
  <c r="W276" i="151"/>
  <c r="X276" i="151" s="1"/>
  <c r="N276" i="151"/>
  <c r="L276" i="151"/>
  <c r="T276" i="151" s="1"/>
  <c r="J276" i="151"/>
  <c r="W275" i="151"/>
  <c r="X275" i="151" s="1"/>
  <c r="T275" i="151"/>
  <c r="S275" i="151"/>
  <c r="N275" i="151"/>
  <c r="L275" i="151"/>
  <c r="U275" i="151" s="1"/>
  <c r="J275" i="151"/>
  <c r="W274" i="151"/>
  <c r="X274" i="151" s="1"/>
  <c r="N274" i="151"/>
  <c r="L274" i="151"/>
  <c r="J274" i="151"/>
  <c r="W273" i="151"/>
  <c r="X273" i="151" s="1"/>
  <c r="N273" i="151"/>
  <c r="L273" i="151"/>
  <c r="U273" i="151" s="1"/>
  <c r="J273" i="151"/>
  <c r="X272" i="151"/>
  <c r="W272" i="151"/>
  <c r="T272" i="151"/>
  <c r="N272" i="151"/>
  <c r="L272" i="151"/>
  <c r="U272" i="151" s="1"/>
  <c r="J272" i="151"/>
  <c r="W271" i="151"/>
  <c r="X271" i="151" s="1"/>
  <c r="U271" i="151"/>
  <c r="N271" i="151"/>
  <c r="L271" i="151"/>
  <c r="T271" i="151" s="1"/>
  <c r="J271" i="151"/>
  <c r="W270" i="151"/>
  <c r="X270" i="151" s="1"/>
  <c r="N270" i="151"/>
  <c r="L270" i="151"/>
  <c r="S270" i="151" s="1"/>
  <c r="J270" i="151"/>
  <c r="X269" i="151"/>
  <c r="W269" i="151"/>
  <c r="N269" i="151"/>
  <c r="L269" i="151"/>
  <c r="J269" i="151"/>
  <c r="W268" i="151"/>
  <c r="X268" i="151" s="1"/>
  <c r="N268" i="151"/>
  <c r="L268" i="151"/>
  <c r="U268" i="151" s="1"/>
  <c r="J268" i="151"/>
  <c r="W267" i="151"/>
  <c r="X267" i="151" s="1"/>
  <c r="N267" i="151"/>
  <c r="L267" i="151"/>
  <c r="J267" i="151"/>
  <c r="W266" i="151"/>
  <c r="X266" i="151" s="1"/>
  <c r="T266" i="151"/>
  <c r="S266" i="151"/>
  <c r="N266" i="151"/>
  <c r="L266" i="151"/>
  <c r="U266" i="151" s="1"/>
  <c r="J266" i="151"/>
  <c r="W265" i="151"/>
  <c r="X265" i="151" s="1"/>
  <c r="T265" i="151"/>
  <c r="S265" i="151"/>
  <c r="N265" i="151"/>
  <c r="L265" i="151"/>
  <c r="U265" i="151" s="1"/>
  <c r="J265" i="151"/>
  <c r="W264" i="151"/>
  <c r="X264" i="151" s="1"/>
  <c r="S264" i="151"/>
  <c r="N264" i="151"/>
  <c r="L264" i="151"/>
  <c r="J264" i="151"/>
  <c r="W263" i="151"/>
  <c r="X263" i="151" s="1"/>
  <c r="N263" i="151"/>
  <c r="L263" i="151"/>
  <c r="S263" i="151" s="1"/>
  <c r="J263" i="151"/>
  <c r="X262" i="151"/>
  <c r="W262" i="151"/>
  <c r="N262" i="151"/>
  <c r="L262" i="151"/>
  <c r="T262" i="151" s="1"/>
  <c r="J262" i="151"/>
  <c r="W261" i="151"/>
  <c r="X261" i="151" s="1"/>
  <c r="N261" i="151"/>
  <c r="L261" i="151"/>
  <c r="U261" i="151" s="1"/>
  <c r="J261" i="151"/>
  <c r="X260" i="151"/>
  <c r="W260" i="151"/>
  <c r="N260" i="151"/>
  <c r="L260" i="151"/>
  <c r="J260" i="151"/>
  <c r="W259" i="151"/>
  <c r="X259" i="151" s="1"/>
  <c r="N259" i="151"/>
  <c r="L259" i="151"/>
  <c r="T259" i="151" s="1"/>
  <c r="J259" i="151"/>
  <c r="W258" i="151"/>
  <c r="X258" i="151" s="1"/>
  <c r="T258" i="151"/>
  <c r="S258" i="151"/>
  <c r="N258" i="151"/>
  <c r="L258" i="151"/>
  <c r="U258" i="151" s="1"/>
  <c r="J258" i="151"/>
  <c r="W257" i="151"/>
  <c r="X257" i="151" s="1"/>
  <c r="N257" i="151"/>
  <c r="L257" i="151"/>
  <c r="T257" i="151" s="1"/>
  <c r="J257" i="151"/>
  <c r="W256" i="151"/>
  <c r="X256" i="151" s="1"/>
  <c r="N256" i="151"/>
  <c r="L256" i="151"/>
  <c r="J256" i="151"/>
  <c r="X255" i="151"/>
  <c r="W255" i="151"/>
  <c r="U255" i="151"/>
  <c r="N255" i="151"/>
  <c r="L255" i="151"/>
  <c r="T255" i="151" s="1"/>
  <c r="J255" i="151"/>
  <c r="W254" i="151"/>
  <c r="X254" i="151" s="1"/>
  <c r="N254" i="151"/>
  <c r="L254" i="151"/>
  <c r="U254" i="151" s="1"/>
  <c r="J254" i="151"/>
  <c r="W253" i="151"/>
  <c r="X253" i="151" s="1"/>
  <c r="N253" i="151"/>
  <c r="L253" i="151"/>
  <c r="J253" i="151"/>
  <c r="W252" i="151"/>
  <c r="X252" i="151" s="1"/>
  <c r="S252" i="151"/>
  <c r="N252" i="151"/>
  <c r="L252" i="151"/>
  <c r="U252" i="151" s="1"/>
  <c r="J252" i="151"/>
  <c r="W251" i="151"/>
  <c r="X251" i="151" s="1"/>
  <c r="T251" i="151"/>
  <c r="S251" i="151"/>
  <c r="N251" i="151"/>
  <c r="L251" i="151"/>
  <c r="U251" i="151" s="1"/>
  <c r="J251" i="151"/>
  <c r="W250" i="151"/>
  <c r="X250" i="151" s="1"/>
  <c r="U250" i="151"/>
  <c r="S250" i="151"/>
  <c r="N250" i="151"/>
  <c r="L250" i="151"/>
  <c r="T250" i="151" s="1"/>
  <c r="J250" i="151"/>
  <c r="W249" i="151"/>
  <c r="X249" i="151" s="1"/>
  <c r="N249" i="151"/>
  <c r="L249" i="151"/>
  <c r="J249" i="151"/>
  <c r="W248" i="151"/>
  <c r="X248" i="151" s="1"/>
  <c r="N248" i="151"/>
  <c r="L248" i="151"/>
  <c r="J248" i="151"/>
  <c r="W247" i="151"/>
  <c r="X247" i="151" s="1"/>
  <c r="N247" i="151"/>
  <c r="L247" i="151"/>
  <c r="U247" i="151" s="1"/>
  <c r="J247" i="151"/>
  <c r="W246" i="151"/>
  <c r="X246" i="151" s="1"/>
  <c r="N246" i="151"/>
  <c r="L246" i="151"/>
  <c r="J246" i="151"/>
  <c r="W245" i="151"/>
  <c r="X245" i="151" s="1"/>
  <c r="S245" i="151"/>
  <c r="N245" i="151"/>
  <c r="L245" i="151"/>
  <c r="U245" i="151" s="1"/>
  <c r="J245" i="151"/>
  <c r="W244" i="151"/>
  <c r="X244" i="151" s="1"/>
  <c r="T244" i="151"/>
  <c r="N244" i="151"/>
  <c r="L244" i="151"/>
  <c r="U244" i="151" s="1"/>
  <c r="J244" i="151"/>
  <c r="W243" i="151"/>
  <c r="X243" i="151" s="1"/>
  <c r="U243" i="151"/>
  <c r="S243" i="151"/>
  <c r="N243" i="151"/>
  <c r="L243" i="151"/>
  <c r="T243" i="151" s="1"/>
  <c r="J243" i="151"/>
  <c r="W242" i="151"/>
  <c r="X242" i="151" s="1"/>
  <c r="U242" i="151"/>
  <c r="T242" i="151"/>
  <c r="N242" i="151"/>
  <c r="L242" i="151"/>
  <c r="S242" i="151" s="1"/>
  <c r="J242" i="151"/>
  <c r="W241" i="151"/>
  <c r="X241" i="151" s="1"/>
  <c r="N241" i="151"/>
  <c r="L241" i="151"/>
  <c r="T241" i="151" s="1"/>
  <c r="J241" i="151"/>
  <c r="W240" i="151"/>
  <c r="X240" i="151" s="1"/>
  <c r="N240" i="151"/>
  <c r="L240" i="151"/>
  <c r="J240" i="151"/>
  <c r="W239" i="151"/>
  <c r="X239" i="151" s="1"/>
  <c r="N239" i="151"/>
  <c r="L239" i="151"/>
  <c r="J239" i="151"/>
  <c r="W238" i="151"/>
  <c r="X238" i="151" s="1"/>
  <c r="N238" i="151"/>
  <c r="L238" i="151"/>
  <c r="J238" i="151"/>
  <c r="X237" i="151"/>
  <c r="W237" i="151"/>
  <c r="T237" i="151"/>
  <c r="S237" i="151"/>
  <c r="N237" i="151"/>
  <c r="L237" i="151"/>
  <c r="U237" i="151" s="1"/>
  <c r="J237" i="151"/>
  <c r="W236" i="151"/>
  <c r="X236" i="151" s="1"/>
  <c r="N236" i="151"/>
  <c r="L236" i="151"/>
  <c r="T236" i="151" s="1"/>
  <c r="J236" i="151"/>
  <c r="W235" i="151"/>
  <c r="X235" i="151" s="1"/>
  <c r="N235" i="151"/>
  <c r="L235" i="151"/>
  <c r="S235" i="151" s="1"/>
  <c r="J235" i="151"/>
  <c r="W234" i="151"/>
  <c r="X234" i="151" s="1"/>
  <c r="N234" i="151"/>
  <c r="L234" i="151"/>
  <c r="J234" i="151"/>
  <c r="X233" i="151"/>
  <c r="W233" i="151"/>
  <c r="N233" i="151"/>
  <c r="L233" i="151"/>
  <c r="U233" i="151" s="1"/>
  <c r="J233" i="151"/>
  <c r="W232" i="151"/>
  <c r="X232" i="151" s="1"/>
  <c r="N232" i="151"/>
  <c r="L232" i="151"/>
  <c r="J232" i="151"/>
  <c r="W231" i="151"/>
  <c r="X231" i="151" s="1"/>
  <c r="T231" i="151"/>
  <c r="S231" i="151"/>
  <c r="N231" i="151"/>
  <c r="L231" i="151"/>
  <c r="U231" i="151" s="1"/>
  <c r="J231" i="151"/>
  <c r="W230" i="151"/>
  <c r="X230" i="151" s="1"/>
  <c r="T230" i="151"/>
  <c r="S230" i="151"/>
  <c r="N230" i="151"/>
  <c r="L230" i="151"/>
  <c r="U230" i="151" s="1"/>
  <c r="J230" i="151"/>
  <c r="W229" i="151"/>
  <c r="X229" i="151" s="1"/>
  <c r="S229" i="151"/>
  <c r="N229" i="151"/>
  <c r="L229" i="151"/>
  <c r="J229" i="151"/>
  <c r="W228" i="151"/>
  <c r="X228" i="151" s="1"/>
  <c r="N228" i="151"/>
  <c r="L228" i="151"/>
  <c r="S228" i="151" s="1"/>
  <c r="J228" i="151"/>
  <c r="W227" i="151"/>
  <c r="X227" i="151" s="1"/>
  <c r="N227" i="151"/>
  <c r="L227" i="151"/>
  <c r="T227" i="151" s="1"/>
  <c r="J227" i="151"/>
  <c r="W226" i="151"/>
  <c r="X226" i="151" s="1"/>
  <c r="S226" i="151"/>
  <c r="N226" i="151"/>
  <c r="L226" i="151"/>
  <c r="U226" i="151" s="1"/>
  <c r="J226" i="151"/>
  <c r="W225" i="151"/>
  <c r="X225" i="151" s="1"/>
  <c r="N225" i="151"/>
  <c r="L225" i="151"/>
  <c r="J225" i="151"/>
  <c r="W224" i="151"/>
  <c r="X224" i="151" s="1"/>
  <c r="N224" i="151"/>
  <c r="L224" i="151"/>
  <c r="U224" i="151" s="1"/>
  <c r="J224" i="151"/>
  <c r="W223" i="151"/>
  <c r="X223" i="151" s="1"/>
  <c r="N223" i="151"/>
  <c r="L223" i="151"/>
  <c r="J223" i="151"/>
  <c r="W222" i="151"/>
  <c r="X222" i="151" s="1"/>
  <c r="U222" i="151"/>
  <c r="S222" i="151"/>
  <c r="N222" i="151"/>
  <c r="L222" i="151"/>
  <c r="T222" i="151" s="1"/>
  <c r="J222" i="151"/>
  <c r="W221" i="151"/>
  <c r="X221" i="151" s="1"/>
  <c r="N221" i="151"/>
  <c r="L221" i="151"/>
  <c r="J221" i="151"/>
  <c r="W220" i="151"/>
  <c r="X220" i="151" s="1"/>
  <c r="U220" i="151"/>
  <c r="N220" i="151"/>
  <c r="L220" i="151"/>
  <c r="T220" i="151" s="1"/>
  <c r="J220" i="151"/>
  <c r="W219" i="151"/>
  <c r="X219" i="151" s="1"/>
  <c r="N219" i="151"/>
  <c r="L219" i="151"/>
  <c r="J219" i="151"/>
  <c r="W218" i="151"/>
  <c r="X218" i="151" s="1"/>
  <c r="N218" i="151"/>
  <c r="L218" i="151"/>
  <c r="J218" i="151"/>
  <c r="W217" i="151"/>
  <c r="X217" i="151" s="1"/>
  <c r="N217" i="151"/>
  <c r="L217" i="151"/>
  <c r="T217" i="151" s="1"/>
  <c r="J217" i="151"/>
  <c r="W216" i="151"/>
  <c r="X216" i="151" s="1"/>
  <c r="N216" i="151"/>
  <c r="L216" i="151"/>
  <c r="U216" i="151" s="1"/>
  <c r="J216" i="151"/>
  <c r="W215" i="151"/>
  <c r="X215" i="151" s="1"/>
  <c r="N215" i="151"/>
  <c r="L215" i="151"/>
  <c r="U215" i="151" s="1"/>
  <c r="J215" i="151"/>
  <c r="W214" i="151"/>
  <c r="X214" i="151" s="1"/>
  <c r="N214" i="151"/>
  <c r="L214" i="151"/>
  <c r="U214" i="151" s="1"/>
  <c r="J214" i="151"/>
  <c r="X213" i="151"/>
  <c r="W213" i="151"/>
  <c r="N213" i="151"/>
  <c r="L213" i="151"/>
  <c r="T213" i="151" s="1"/>
  <c r="J213" i="151"/>
  <c r="X212" i="151"/>
  <c r="W212" i="151"/>
  <c r="N212" i="151"/>
  <c r="L212" i="151"/>
  <c r="U212" i="151" s="1"/>
  <c r="J212" i="151"/>
  <c r="X211" i="151"/>
  <c r="W211" i="151"/>
  <c r="N211" i="151"/>
  <c r="L211" i="151"/>
  <c r="J211" i="151"/>
  <c r="W210" i="151"/>
  <c r="X210" i="151" s="1"/>
  <c r="N210" i="151"/>
  <c r="L210" i="151"/>
  <c r="J210" i="151"/>
  <c r="X209" i="151"/>
  <c r="W209" i="151"/>
  <c r="N209" i="151"/>
  <c r="L209" i="151"/>
  <c r="U209" i="151" s="1"/>
  <c r="J209" i="151"/>
  <c r="X208" i="151"/>
  <c r="W208" i="151"/>
  <c r="U208" i="151"/>
  <c r="N208" i="151"/>
  <c r="L208" i="151"/>
  <c r="T208" i="151" s="1"/>
  <c r="J208" i="151"/>
  <c r="W207" i="151"/>
  <c r="X207" i="151" s="1"/>
  <c r="N207" i="151"/>
  <c r="L207" i="151"/>
  <c r="U207" i="151" s="1"/>
  <c r="J207" i="151"/>
  <c r="W206" i="151"/>
  <c r="X206" i="151" s="1"/>
  <c r="N206" i="151"/>
  <c r="L206" i="151"/>
  <c r="T206" i="151" s="1"/>
  <c r="J206" i="151"/>
  <c r="W205" i="151"/>
  <c r="X205" i="151" s="1"/>
  <c r="N205" i="151"/>
  <c r="L205" i="151"/>
  <c r="T205" i="151" s="1"/>
  <c r="J205" i="151"/>
  <c r="W204" i="151"/>
  <c r="X204" i="151" s="1"/>
  <c r="N204" i="151"/>
  <c r="L204" i="151"/>
  <c r="J204" i="151"/>
  <c r="W203" i="151"/>
  <c r="X203" i="151" s="1"/>
  <c r="N203" i="151"/>
  <c r="L203" i="151"/>
  <c r="U203" i="151" s="1"/>
  <c r="J203" i="151"/>
  <c r="W202" i="151"/>
  <c r="X202" i="151" s="1"/>
  <c r="N202" i="151"/>
  <c r="L202" i="151"/>
  <c r="U202" i="151" s="1"/>
  <c r="J202" i="151"/>
  <c r="X201" i="151"/>
  <c r="W201" i="151"/>
  <c r="N201" i="151"/>
  <c r="L201" i="151"/>
  <c r="J201" i="151"/>
  <c r="W200" i="151"/>
  <c r="X200" i="151" s="1"/>
  <c r="U200" i="151"/>
  <c r="N200" i="151"/>
  <c r="L200" i="151"/>
  <c r="T200" i="151" s="1"/>
  <c r="J200" i="151"/>
  <c r="W199" i="151"/>
  <c r="X199" i="151" s="1"/>
  <c r="N199" i="151"/>
  <c r="L199" i="151"/>
  <c r="J199" i="151"/>
  <c r="W198" i="151"/>
  <c r="X198" i="151" s="1"/>
  <c r="T198" i="151"/>
  <c r="S198" i="151"/>
  <c r="N198" i="151"/>
  <c r="L198" i="151"/>
  <c r="U198" i="151" s="1"/>
  <c r="J198" i="151"/>
  <c r="W197" i="151"/>
  <c r="X197" i="151" s="1"/>
  <c r="N197" i="151"/>
  <c r="L197" i="151"/>
  <c r="J197" i="151"/>
  <c r="W196" i="151"/>
  <c r="X196" i="151" s="1"/>
  <c r="N196" i="151"/>
  <c r="L196" i="151"/>
  <c r="J196" i="151"/>
  <c r="X195" i="151"/>
  <c r="W195" i="151"/>
  <c r="N195" i="151"/>
  <c r="L195" i="151"/>
  <c r="U195" i="151" s="1"/>
  <c r="J195" i="151"/>
  <c r="W194" i="151"/>
  <c r="X194" i="151" s="1"/>
  <c r="U194" i="151"/>
  <c r="S194" i="151"/>
  <c r="N194" i="151"/>
  <c r="L194" i="151"/>
  <c r="T194" i="151" s="1"/>
  <c r="J194" i="151"/>
  <c r="W193" i="151"/>
  <c r="X193" i="151" s="1"/>
  <c r="N193" i="151"/>
  <c r="L193" i="151"/>
  <c r="U193" i="151" s="1"/>
  <c r="J193" i="151"/>
  <c r="W192" i="151"/>
  <c r="X192" i="151" s="1"/>
  <c r="N192" i="151"/>
  <c r="L192" i="151"/>
  <c r="T192" i="151" s="1"/>
  <c r="J192" i="151"/>
  <c r="W191" i="151"/>
  <c r="X191" i="151" s="1"/>
  <c r="N191" i="151"/>
  <c r="L191" i="151"/>
  <c r="U191" i="151" s="1"/>
  <c r="J191" i="151"/>
  <c r="W190" i="151"/>
  <c r="X190" i="151" s="1"/>
  <c r="N190" i="151"/>
  <c r="L190" i="151"/>
  <c r="J190" i="151"/>
  <c r="X189" i="151"/>
  <c r="W189" i="151"/>
  <c r="N189" i="151"/>
  <c r="L189" i="151"/>
  <c r="U189" i="151" s="1"/>
  <c r="J189" i="151"/>
  <c r="X188" i="151"/>
  <c r="W188" i="151"/>
  <c r="N188" i="151"/>
  <c r="L188" i="151"/>
  <c r="J188" i="151"/>
  <c r="W187" i="151"/>
  <c r="X187" i="151" s="1"/>
  <c r="U187" i="151"/>
  <c r="S187" i="151"/>
  <c r="N187" i="151"/>
  <c r="L187" i="151"/>
  <c r="T187" i="151" s="1"/>
  <c r="J187" i="151"/>
  <c r="W186" i="151"/>
  <c r="X186" i="151" s="1"/>
  <c r="U186" i="151"/>
  <c r="T186" i="151"/>
  <c r="N186" i="151"/>
  <c r="L186" i="151"/>
  <c r="S186" i="151" s="1"/>
  <c r="J186" i="151"/>
  <c r="W185" i="151"/>
  <c r="X185" i="151" s="1"/>
  <c r="U185" i="151"/>
  <c r="N185" i="151"/>
  <c r="L185" i="151"/>
  <c r="T185" i="151" s="1"/>
  <c r="J185" i="151"/>
  <c r="X184" i="151"/>
  <c r="W184" i="151"/>
  <c r="N184" i="151"/>
  <c r="L184" i="151"/>
  <c r="J184" i="151"/>
  <c r="W183" i="151"/>
  <c r="X183" i="151" s="1"/>
  <c r="N183" i="151"/>
  <c r="L183" i="151"/>
  <c r="J183" i="151"/>
  <c r="X182" i="151"/>
  <c r="W182" i="151"/>
  <c r="U182" i="151"/>
  <c r="T182" i="151"/>
  <c r="S182" i="151"/>
  <c r="N182" i="151"/>
  <c r="L182" i="151"/>
  <c r="J182" i="151"/>
  <c r="W181" i="151"/>
  <c r="X181" i="151" s="1"/>
  <c r="N181" i="151"/>
  <c r="L181" i="151"/>
  <c r="U181" i="151" s="1"/>
  <c r="J181" i="151"/>
  <c r="X180" i="151"/>
  <c r="W180" i="151"/>
  <c r="U180" i="151"/>
  <c r="S180" i="151"/>
  <c r="N180" i="151"/>
  <c r="L180" i="151"/>
  <c r="T180" i="151" s="1"/>
  <c r="J180" i="151"/>
  <c r="W179" i="151"/>
  <c r="X179" i="151" s="1"/>
  <c r="N179" i="151"/>
  <c r="L179" i="151"/>
  <c r="J179" i="151"/>
  <c r="X178" i="151"/>
  <c r="W178" i="151"/>
  <c r="U178" i="151"/>
  <c r="N178" i="151"/>
  <c r="L178" i="151"/>
  <c r="T178" i="151" s="1"/>
  <c r="J178" i="151"/>
  <c r="W177" i="151"/>
  <c r="X177" i="151" s="1"/>
  <c r="N177" i="151"/>
  <c r="L177" i="151"/>
  <c r="J177" i="151"/>
  <c r="W176" i="151"/>
  <c r="X176" i="151" s="1"/>
  <c r="N176" i="151"/>
  <c r="L176" i="151"/>
  <c r="J176" i="151"/>
  <c r="W175" i="151"/>
  <c r="X175" i="151" s="1"/>
  <c r="N175" i="151"/>
  <c r="L175" i="151"/>
  <c r="U175" i="151" s="1"/>
  <c r="J175" i="151"/>
  <c r="W174" i="151"/>
  <c r="X174" i="151" s="1"/>
  <c r="N174" i="151"/>
  <c r="L174" i="151"/>
  <c r="J174" i="151"/>
  <c r="W173" i="151"/>
  <c r="X173" i="151" s="1"/>
  <c r="N173" i="151"/>
  <c r="L173" i="151"/>
  <c r="J173" i="151"/>
  <c r="W172" i="151"/>
  <c r="X172" i="151" s="1"/>
  <c r="N172" i="151"/>
  <c r="L172" i="151"/>
  <c r="J172" i="151"/>
  <c r="W171" i="151"/>
  <c r="X171" i="151" s="1"/>
  <c r="N171" i="151"/>
  <c r="L171" i="151"/>
  <c r="J171" i="151"/>
  <c r="W170" i="151"/>
  <c r="X170" i="151" s="1"/>
  <c r="N170" i="151"/>
  <c r="L170" i="151"/>
  <c r="J170" i="151"/>
  <c r="W169" i="151"/>
  <c r="X169" i="151" s="1"/>
  <c r="N169" i="151"/>
  <c r="L169" i="151"/>
  <c r="J169" i="151"/>
  <c r="W168" i="151"/>
  <c r="X168" i="151" s="1"/>
  <c r="N168" i="151"/>
  <c r="L168" i="151"/>
  <c r="U168" i="151" s="1"/>
  <c r="J168" i="151"/>
  <c r="W167" i="151"/>
  <c r="X167" i="151" s="1"/>
  <c r="N167" i="151"/>
  <c r="L167" i="151"/>
  <c r="U167" i="151" s="1"/>
  <c r="J167" i="151"/>
  <c r="W166" i="151"/>
  <c r="X166" i="151" s="1"/>
  <c r="U166" i="151"/>
  <c r="S166" i="151"/>
  <c r="N166" i="151"/>
  <c r="L166" i="151"/>
  <c r="T166" i="151" s="1"/>
  <c r="J166" i="151"/>
  <c r="W165" i="151"/>
  <c r="X165" i="151" s="1"/>
  <c r="N165" i="151"/>
  <c r="L165" i="151"/>
  <c r="U165" i="151" s="1"/>
  <c r="J165" i="151"/>
  <c r="W164" i="151"/>
  <c r="X164" i="151" s="1"/>
  <c r="U164" i="151"/>
  <c r="N164" i="151"/>
  <c r="L164" i="151"/>
  <c r="T164" i="151" s="1"/>
  <c r="J164" i="151"/>
  <c r="X163" i="151"/>
  <c r="W163" i="151"/>
  <c r="N163" i="151"/>
  <c r="L163" i="151"/>
  <c r="U163" i="151" s="1"/>
  <c r="J163" i="151"/>
  <c r="W162" i="151"/>
  <c r="X162" i="151" s="1"/>
  <c r="N162" i="151"/>
  <c r="L162" i="151"/>
  <c r="J162" i="151"/>
  <c r="W161" i="151"/>
  <c r="X161" i="151" s="1"/>
  <c r="U161" i="151"/>
  <c r="N161" i="151"/>
  <c r="L161" i="151"/>
  <c r="T161" i="151" s="1"/>
  <c r="J161" i="151"/>
  <c r="W160" i="151"/>
  <c r="X160" i="151" s="1"/>
  <c r="N160" i="151"/>
  <c r="L160" i="151"/>
  <c r="U160" i="151" s="1"/>
  <c r="J160" i="151"/>
  <c r="W159" i="151"/>
  <c r="X159" i="151" s="1"/>
  <c r="N159" i="151"/>
  <c r="L159" i="151"/>
  <c r="J159" i="151"/>
  <c r="W158" i="151"/>
  <c r="X158" i="151" s="1"/>
  <c r="N158" i="151"/>
  <c r="L158" i="151"/>
  <c r="T158" i="151" s="1"/>
  <c r="J158" i="151"/>
  <c r="W157" i="151"/>
  <c r="X157" i="151" s="1"/>
  <c r="N157" i="151"/>
  <c r="L157" i="151"/>
  <c r="J157" i="151"/>
  <c r="W156" i="151"/>
  <c r="X156" i="151" s="1"/>
  <c r="N156" i="151"/>
  <c r="L156" i="151"/>
  <c r="U156" i="151" s="1"/>
  <c r="J156" i="151"/>
  <c r="X155" i="151"/>
  <c r="W155" i="151"/>
  <c r="N155" i="151"/>
  <c r="L155" i="151"/>
  <c r="J155" i="151"/>
  <c r="W154" i="151"/>
  <c r="X154" i="151" s="1"/>
  <c r="S154" i="151"/>
  <c r="N154" i="151"/>
  <c r="L154" i="151"/>
  <c r="U154" i="151" s="1"/>
  <c r="J154" i="151"/>
  <c r="W153" i="151"/>
  <c r="X153" i="151" s="1"/>
  <c r="T153" i="151"/>
  <c r="S153" i="151"/>
  <c r="N153" i="151"/>
  <c r="L153" i="151"/>
  <c r="U153" i="151" s="1"/>
  <c r="J153" i="151"/>
  <c r="W152" i="151"/>
  <c r="X152" i="151" s="1"/>
  <c r="U152" i="151"/>
  <c r="S152" i="151"/>
  <c r="N152" i="151"/>
  <c r="L152" i="151"/>
  <c r="T152" i="151" s="1"/>
  <c r="J152" i="151"/>
  <c r="W151" i="151"/>
  <c r="X151" i="151" s="1"/>
  <c r="U151" i="151"/>
  <c r="T151" i="151"/>
  <c r="S151" i="151"/>
  <c r="N151" i="151"/>
  <c r="L151" i="151"/>
  <c r="J151" i="151"/>
  <c r="W150" i="151"/>
  <c r="X150" i="151" s="1"/>
  <c r="N150" i="151"/>
  <c r="L150" i="151"/>
  <c r="J150" i="151"/>
  <c r="W149" i="151"/>
  <c r="X149" i="151" s="1"/>
  <c r="U149" i="151"/>
  <c r="T149" i="151"/>
  <c r="S149" i="151"/>
  <c r="N149" i="151"/>
  <c r="L149" i="151"/>
  <c r="J149" i="151"/>
  <c r="W148" i="151"/>
  <c r="X148" i="151" s="1"/>
  <c r="N148" i="151"/>
  <c r="L148" i="151"/>
  <c r="J148" i="151"/>
  <c r="W147" i="151"/>
  <c r="X147" i="151" s="1"/>
  <c r="U147" i="151"/>
  <c r="N147" i="151"/>
  <c r="L147" i="151"/>
  <c r="J147" i="151"/>
  <c r="X146" i="151"/>
  <c r="W146" i="151"/>
  <c r="N146" i="151"/>
  <c r="L146" i="151"/>
  <c r="U146" i="151" s="1"/>
  <c r="J146" i="151"/>
  <c r="W145" i="151"/>
  <c r="X145" i="151" s="1"/>
  <c r="U145" i="151"/>
  <c r="S145" i="151"/>
  <c r="N145" i="151"/>
  <c r="L145" i="151"/>
  <c r="T145" i="151" s="1"/>
  <c r="J145" i="151"/>
  <c r="W144" i="151"/>
  <c r="X144" i="151" s="1"/>
  <c r="N144" i="151"/>
  <c r="L144" i="151"/>
  <c r="U144" i="151" s="1"/>
  <c r="J144" i="151"/>
  <c r="W143" i="151"/>
  <c r="X143" i="151" s="1"/>
  <c r="N143" i="151"/>
  <c r="L143" i="151"/>
  <c r="T143" i="151" s="1"/>
  <c r="J143" i="151"/>
  <c r="W142" i="151"/>
  <c r="X142" i="151" s="1"/>
  <c r="N142" i="151"/>
  <c r="L142" i="151"/>
  <c r="U142" i="151" s="1"/>
  <c r="J142" i="151"/>
  <c r="W141" i="151"/>
  <c r="X141" i="151" s="1"/>
  <c r="N141" i="151"/>
  <c r="L141" i="151"/>
  <c r="J141" i="151"/>
  <c r="W140" i="151"/>
  <c r="X140" i="151" s="1"/>
  <c r="N140" i="151"/>
  <c r="L140" i="151"/>
  <c r="U140" i="151" s="1"/>
  <c r="J140" i="151"/>
  <c r="W139" i="151"/>
  <c r="X139" i="151" s="1"/>
  <c r="T139" i="151"/>
  <c r="S139" i="151"/>
  <c r="N139" i="151"/>
  <c r="L139" i="151"/>
  <c r="U139" i="151" s="1"/>
  <c r="J139" i="151"/>
  <c r="W138" i="151"/>
  <c r="X138" i="151" s="1"/>
  <c r="N138" i="151"/>
  <c r="L138" i="151"/>
  <c r="J138" i="151"/>
  <c r="W137" i="151"/>
  <c r="X137" i="151" s="1"/>
  <c r="N137" i="151"/>
  <c r="L137" i="151"/>
  <c r="J137" i="151"/>
  <c r="W136" i="151"/>
  <c r="X136" i="151" s="1"/>
  <c r="N136" i="151"/>
  <c r="L136" i="151"/>
  <c r="J136" i="151"/>
  <c r="W135" i="151"/>
  <c r="X135" i="151" s="1"/>
  <c r="N135" i="151"/>
  <c r="L135" i="151"/>
  <c r="U135" i="151" s="1"/>
  <c r="J135" i="151"/>
  <c r="X134" i="151"/>
  <c r="W134" i="151"/>
  <c r="N134" i="151"/>
  <c r="L134" i="151"/>
  <c r="J134" i="151"/>
  <c r="X133" i="151"/>
  <c r="W133" i="151"/>
  <c r="U133" i="151"/>
  <c r="N133" i="151"/>
  <c r="L133" i="151"/>
  <c r="T133" i="151" s="1"/>
  <c r="J133" i="151"/>
  <c r="W132" i="151"/>
  <c r="X132" i="151" s="1"/>
  <c r="S132" i="151"/>
  <c r="N132" i="151"/>
  <c r="L132" i="151"/>
  <c r="U132" i="151" s="1"/>
  <c r="J132" i="151"/>
  <c r="X131" i="151"/>
  <c r="W131" i="151"/>
  <c r="U131" i="151"/>
  <c r="N131" i="151"/>
  <c r="L131" i="151"/>
  <c r="T131" i="151" s="1"/>
  <c r="J131" i="151"/>
  <c r="W130" i="151"/>
  <c r="X130" i="151" s="1"/>
  <c r="S130" i="151"/>
  <c r="N130" i="151"/>
  <c r="L130" i="151"/>
  <c r="U130" i="151" s="1"/>
  <c r="J130" i="151"/>
  <c r="W129" i="151"/>
  <c r="X129" i="151" s="1"/>
  <c r="U129" i="151"/>
  <c r="N129" i="151"/>
  <c r="L129" i="151"/>
  <c r="T129" i="151" s="1"/>
  <c r="J129" i="151"/>
  <c r="W128" i="151"/>
  <c r="X128" i="151" s="1"/>
  <c r="N128" i="151"/>
  <c r="L128" i="151"/>
  <c r="U128" i="151" s="1"/>
  <c r="J128" i="151"/>
  <c r="W127" i="151"/>
  <c r="X127" i="151" s="1"/>
  <c r="N127" i="151"/>
  <c r="L127" i="151"/>
  <c r="J127" i="151"/>
  <c r="W126" i="151"/>
  <c r="X126" i="151" s="1"/>
  <c r="N126" i="151"/>
  <c r="L126" i="151"/>
  <c r="U126" i="151" s="1"/>
  <c r="J126" i="151"/>
  <c r="W125" i="151"/>
  <c r="X125" i="151" s="1"/>
  <c r="N125" i="151"/>
  <c r="L125" i="151"/>
  <c r="J125" i="151"/>
  <c r="W124" i="151"/>
  <c r="X124" i="151" s="1"/>
  <c r="N124" i="151"/>
  <c r="L124" i="151"/>
  <c r="J124" i="151"/>
  <c r="W123" i="151"/>
  <c r="X123" i="151" s="1"/>
  <c r="N123" i="151"/>
  <c r="L123" i="151"/>
  <c r="J123" i="151"/>
  <c r="W122" i="151"/>
  <c r="X122" i="151" s="1"/>
  <c r="N122" i="151"/>
  <c r="L122" i="151"/>
  <c r="T122" i="151" s="1"/>
  <c r="J122" i="151"/>
  <c r="W121" i="151"/>
  <c r="X121" i="151" s="1"/>
  <c r="N121" i="151"/>
  <c r="L121" i="151"/>
  <c r="J121" i="151"/>
  <c r="W120" i="151"/>
  <c r="X120" i="151" s="1"/>
  <c r="N120" i="151"/>
  <c r="L120" i="151"/>
  <c r="J120" i="151"/>
  <c r="W119" i="151"/>
  <c r="X119" i="151" s="1"/>
  <c r="N119" i="151"/>
  <c r="L119" i="151"/>
  <c r="U119" i="151" s="1"/>
  <c r="J119" i="151"/>
  <c r="W118" i="151"/>
  <c r="X118" i="151" s="1"/>
  <c r="N118" i="151"/>
  <c r="L118" i="151"/>
  <c r="U118" i="151" s="1"/>
  <c r="J118" i="151"/>
  <c r="W117" i="151"/>
  <c r="X117" i="151" s="1"/>
  <c r="U117" i="151"/>
  <c r="S117" i="151"/>
  <c r="N117" i="151"/>
  <c r="L117" i="151"/>
  <c r="T117" i="151" s="1"/>
  <c r="J117" i="151"/>
  <c r="W116" i="151"/>
  <c r="X116" i="151" s="1"/>
  <c r="N116" i="151"/>
  <c r="L116" i="151"/>
  <c r="U116" i="151" s="1"/>
  <c r="J116" i="151"/>
  <c r="W115" i="151"/>
  <c r="X115" i="151" s="1"/>
  <c r="U115" i="151"/>
  <c r="N115" i="151"/>
  <c r="L115" i="151"/>
  <c r="T115" i="151" s="1"/>
  <c r="J115" i="151"/>
  <c r="W114" i="151"/>
  <c r="X114" i="151" s="1"/>
  <c r="N114" i="151"/>
  <c r="L114" i="151"/>
  <c r="U114" i="151" s="1"/>
  <c r="J114" i="151"/>
  <c r="W113" i="151"/>
  <c r="X113" i="151" s="1"/>
  <c r="N113" i="151"/>
  <c r="L113" i="151"/>
  <c r="J113" i="151"/>
  <c r="W112" i="151"/>
  <c r="X112" i="151" s="1"/>
  <c r="N112" i="151"/>
  <c r="L112" i="151"/>
  <c r="J112" i="151"/>
  <c r="X111" i="151"/>
  <c r="W111" i="151"/>
  <c r="N111" i="151"/>
  <c r="L111" i="151"/>
  <c r="U111" i="151" s="1"/>
  <c r="J111" i="151"/>
  <c r="X110" i="151"/>
  <c r="W110" i="151"/>
  <c r="N110" i="151"/>
  <c r="L110" i="151"/>
  <c r="J110" i="151"/>
  <c r="W109" i="151"/>
  <c r="X109" i="151" s="1"/>
  <c r="N109" i="151"/>
  <c r="L109" i="151"/>
  <c r="T109" i="151" s="1"/>
  <c r="J109" i="151"/>
  <c r="W108" i="151"/>
  <c r="X108" i="151" s="1"/>
  <c r="U108" i="151"/>
  <c r="N108" i="151"/>
  <c r="L108" i="151"/>
  <c r="T108" i="151" s="1"/>
  <c r="J108" i="151"/>
  <c r="W107" i="151"/>
  <c r="X107" i="151" s="1"/>
  <c r="N107" i="151"/>
  <c r="L107" i="151"/>
  <c r="T107" i="151" s="1"/>
  <c r="J107" i="151"/>
  <c r="W106" i="151"/>
  <c r="X106" i="151" s="1"/>
  <c r="N106" i="151"/>
  <c r="L106" i="151"/>
  <c r="J106" i="151"/>
  <c r="W105" i="151"/>
  <c r="X105" i="151" s="1"/>
  <c r="S105" i="151"/>
  <c r="N105" i="151"/>
  <c r="L105" i="151"/>
  <c r="U105" i="151" s="1"/>
  <c r="J105" i="151"/>
  <c r="W104" i="151"/>
  <c r="X104" i="151" s="1"/>
  <c r="N104" i="151"/>
  <c r="L104" i="151"/>
  <c r="J104" i="151"/>
  <c r="W103" i="151"/>
  <c r="X103" i="151" s="1"/>
  <c r="U103" i="151"/>
  <c r="S103" i="151"/>
  <c r="N103" i="151"/>
  <c r="L103" i="151"/>
  <c r="T103" i="151" s="1"/>
  <c r="J103" i="151"/>
  <c r="W102" i="151"/>
  <c r="X102" i="151" s="1"/>
  <c r="U102" i="151"/>
  <c r="N102" i="151"/>
  <c r="L102" i="151"/>
  <c r="J102" i="151"/>
  <c r="W101" i="151"/>
  <c r="X101" i="151" s="1"/>
  <c r="U101" i="151"/>
  <c r="N101" i="151"/>
  <c r="L101" i="151"/>
  <c r="T101" i="151" s="1"/>
  <c r="J101" i="151"/>
  <c r="W100" i="151"/>
  <c r="X100" i="151" s="1"/>
  <c r="N100" i="151"/>
  <c r="L100" i="151"/>
  <c r="S100" i="151" s="1"/>
  <c r="J100" i="151"/>
  <c r="X99" i="151"/>
  <c r="W99" i="151"/>
  <c r="N99" i="151"/>
  <c r="L99" i="151"/>
  <c r="J99" i="151"/>
  <c r="W98" i="151"/>
  <c r="X98" i="151" s="1"/>
  <c r="N98" i="151"/>
  <c r="L98" i="151"/>
  <c r="J98" i="151"/>
  <c r="W97" i="151"/>
  <c r="X97" i="151" s="1"/>
  <c r="N97" i="151"/>
  <c r="L97" i="151"/>
  <c r="U97" i="151" s="1"/>
  <c r="J97" i="151"/>
  <c r="W96" i="151"/>
  <c r="X96" i="151" s="1"/>
  <c r="N96" i="151"/>
  <c r="L96" i="151"/>
  <c r="J96" i="151"/>
  <c r="W95" i="151"/>
  <c r="X95" i="151" s="1"/>
  <c r="N95" i="151"/>
  <c r="L95" i="151"/>
  <c r="U95" i="151" s="1"/>
  <c r="J95" i="151"/>
  <c r="W94" i="151"/>
  <c r="X94" i="151" s="1"/>
  <c r="U94" i="151"/>
  <c r="N94" i="151"/>
  <c r="L94" i="151"/>
  <c r="T94" i="151" s="1"/>
  <c r="J94" i="151"/>
  <c r="W93" i="151"/>
  <c r="X93" i="151" s="1"/>
  <c r="N93" i="151"/>
  <c r="L93" i="151"/>
  <c r="U93" i="151" s="1"/>
  <c r="J93" i="151"/>
  <c r="W92" i="151"/>
  <c r="X92" i="151" s="1"/>
  <c r="N92" i="151"/>
  <c r="L92" i="151"/>
  <c r="J92" i="151"/>
  <c r="W91" i="151"/>
  <c r="X91" i="151" s="1"/>
  <c r="N91" i="151"/>
  <c r="L91" i="151"/>
  <c r="T91" i="151" s="1"/>
  <c r="J91" i="151"/>
  <c r="W90" i="151"/>
  <c r="X90" i="151" s="1"/>
  <c r="N90" i="151"/>
  <c r="L90" i="151"/>
  <c r="U90" i="151" s="1"/>
  <c r="J90" i="151"/>
  <c r="W89" i="151"/>
  <c r="X89" i="151" s="1"/>
  <c r="N89" i="151"/>
  <c r="L89" i="151"/>
  <c r="J89" i="151"/>
  <c r="W88" i="151"/>
  <c r="X88" i="151" s="1"/>
  <c r="S88" i="151"/>
  <c r="N88" i="151"/>
  <c r="L88" i="151"/>
  <c r="J88" i="151"/>
  <c r="W87" i="151"/>
  <c r="X87" i="151" s="1"/>
  <c r="U87" i="151"/>
  <c r="N87" i="151"/>
  <c r="L87" i="151"/>
  <c r="T87" i="151" s="1"/>
  <c r="J87" i="151"/>
  <c r="W86" i="151"/>
  <c r="X86" i="151" s="1"/>
  <c r="S86" i="151"/>
  <c r="N86" i="151"/>
  <c r="L86" i="151"/>
  <c r="J86" i="151"/>
  <c r="X85" i="151"/>
  <c r="W85" i="151"/>
  <c r="N85" i="151"/>
  <c r="L85" i="151"/>
  <c r="J85" i="151"/>
  <c r="X84" i="151"/>
  <c r="W84" i="151"/>
  <c r="N84" i="151"/>
  <c r="L84" i="151"/>
  <c r="J84" i="151"/>
  <c r="W83" i="151"/>
  <c r="X83" i="151" s="1"/>
  <c r="N83" i="151"/>
  <c r="L83" i="151"/>
  <c r="U83" i="151" s="1"/>
  <c r="J83" i="151"/>
  <c r="W82" i="151"/>
  <c r="X82" i="151" s="1"/>
  <c r="N82" i="151"/>
  <c r="L82" i="151"/>
  <c r="U82" i="151" s="1"/>
  <c r="J82" i="151"/>
  <c r="W81" i="151"/>
  <c r="X81" i="151" s="1"/>
  <c r="S81" i="151"/>
  <c r="N81" i="151"/>
  <c r="L81" i="151"/>
  <c r="U81" i="151" s="1"/>
  <c r="J81" i="151"/>
  <c r="W80" i="151"/>
  <c r="X80" i="151" s="1"/>
  <c r="N80" i="151"/>
  <c r="L80" i="151"/>
  <c r="J80" i="151"/>
  <c r="W79" i="151"/>
  <c r="X79" i="151" s="1"/>
  <c r="N79" i="151"/>
  <c r="L79" i="151"/>
  <c r="U79" i="151" s="1"/>
  <c r="J79" i="151"/>
  <c r="W78" i="151"/>
  <c r="X78" i="151" s="1"/>
  <c r="N78" i="151"/>
  <c r="L78" i="151"/>
  <c r="J78" i="151"/>
  <c r="W77" i="151"/>
  <c r="X77" i="151" s="1"/>
  <c r="N77" i="151"/>
  <c r="L77" i="151"/>
  <c r="U77" i="151" s="1"/>
  <c r="J77" i="151"/>
  <c r="W76" i="151"/>
  <c r="X76" i="151" s="1"/>
  <c r="N76" i="151"/>
  <c r="L76" i="151"/>
  <c r="J76" i="151"/>
  <c r="W75" i="151"/>
  <c r="X75" i="151" s="1"/>
  <c r="N75" i="151"/>
  <c r="L75" i="151"/>
  <c r="T75" i="151" s="1"/>
  <c r="J75" i="151"/>
  <c r="W74" i="151"/>
  <c r="X74" i="151" s="1"/>
  <c r="N74" i="151"/>
  <c r="L74" i="151"/>
  <c r="J74" i="151"/>
  <c r="W73" i="151"/>
  <c r="X73" i="151" s="1"/>
  <c r="U73" i="151"/>
  <c r="N73" i="151"/>
  <c r="L73" i="151"/>
  <c r="T73" i="151" s="1"/>
  <c r="J73" i="151"/>
  <c r="W72" i="151"/>
  <c r="X72" i="151" s="1"/>
  <c r="N72" i="151"/>
  <c r="L72" i="151"/>
  <c r="J72" i="151"/>
  <c r="X71" i="151"/>
  <c r="W71" i="151"/>
  <c r="N71" i="151"/>
  <c r="L71" i="151"/>
  <c r="J71" i="151"/>
  <c r="W70" i="151"/>
  <c r="X70" i="151" s="1"/>
  <c r="N70" i="151"/>
  <c r="L70" i="151"/>
  <c r="J70" i="151"/>
  <c r="W69" i="151"/>
  <c r="X69" i="151" s="1"/>
  <c r="N69" i="151"/>
  <c r="L69" i="151"/>
  <c r="U69" i="151" s="1"/>
  <c r="J69" i="151"/>
  <c r="W68" i="151"/>
  <c r="X68" i="151" s="1"/>
  <c r="N68" i="151"/>
  <c r="L68" i="151"/>
  <c r="J68" i="151"/>
  <c r="W67" i="151"/>
  <c r="X67" i="151" s="1"/>
  <c r="N67" i="151"/>
  <c r="L67" i="151"/>
  <c r="U67" i="151" s="1"/>
  <c r="J67" i="151"/>
  <c r="X66" i="151"/>
  <c r="W66" i="151"/>
  <c r="N66" i="151"/>
  <c r="L66" i="151"/>
  <c r="T66" i="151" s="1"/>
  <c r="J66" i="151"/>
  <c r="W65" i="151"/>
  <c r="X65" i="151" s="1"/>
  <c r="N65" i="151"/>
  <c r="L65" i="151"/>
  <c r="U65" i="151" s="1"/>
  <c r="J65" i="151"/>
  <c r="W64" i="151"/>
  <c r="X64" i="151" s="1"/>
  <c r="N64" i="151"/>
  <c r="L64" i="151"/>
  <c r="J64" i="151"/>
  <c r="W63" i="151"/>
  <c r="X63" i="151" s="1"/>
  <c r="U63" i="151"/>
  <c r="N63" i="151"/>
  <c r="L63" i="151"/>
  <c r="T63" i="151" s="1"/>
  <c r="J63" i="151"/>
  <c r="X62" i="151"/>
  <c r="W62" i="151"/>
  <c r="N62" i="151"/>
  <c r="L62" i="151"/>
  <c r="U62" i="151" s="1"/>
  <c r="J62" i="151"/>
  <c r="W61" i="151"/>
  <c r="X61" i="151" s="1"/>
  <c r="U61" i="151"/>
  <c r="S61" i="151"/>
  <c r="N61" i="151"/>
  <c r="L61" i="151"/>
  <c r="T61" i="151" s="1"/>
  <c r="J61" i="151"/>
  <c r="W60" i="151"/>
  <c r="X60" i="151" s="1"/>
  <c r="N60" i="151"/>
  <c r="L60" i="151"/>
  <c r="T60" i="151" s="1"/>
  <c r="J60" i="151"/>
  <c r="W59" i="151"/>
  <c r="X59" i="151" s="1"/>
  <c r="N59" i="151"/>
  <c r="L59" i="151"/>
  <c r="T59" i="151" s="1"/>
  <c r="J59" i="151"/>
  <c r="X58" i="151"/>
  <c r="W58" i="151"/>
  <c r="N58" i="151"/>
  <c r="L58" i="151"/>
  <c r="U58" i="151" s="1"/>
  <c r="J58" i="151"/>
  <c r="W57" i="151"/>
  <c r="X57" i="151" s="1"/>
  <c r="N57" i="151"/>
  <c r="L57" i="151"/>
  <c r="J57" i="151"/>
  <c r="W56" i="151"/>
  <c r="X56" i="151" s="1"/>
  <c r="N56" i="151"/>
  <c r="L56" i="151"/>
  <c r="U56" i="151" s="1"/>
  <c r="J56" i="151"/>
  <c r="X55" i="151"/>
  <c r="W55" i="151"/>
  <c r="N55" i="151"/>
  <c r="L55" i="151"/>
  <c r="J55" i="151"/>
  <c r="W54" i="151"/>
  <c r="X54" i="151" s="1"/>
  <c r="S54" i="151"/>
  <c r="N54" i="151"/>
  <c r="L54" i="151"/>
  <c r="J54" i="151"/>
  <c r="W53" i="151"/>
  <c r="X53" i="151" s="1"/>
  <c r="U53" i="151"/>
  <c r="N53" i="151"/>
  <c r="L53" i="151"/>
  <c r="S53" i="151" s="1"/>
  <c r="J53" i="151"/>
  <c r="W52" i="151"/>
  <c r="X52" i="151" s="1"/>
  <c r="N52" i="151"/>
  <c r="L52" i="151"/>
  <c r="T52" i="151" s="1"/>
  <c r="J52" i="151"/>
  <c r="W51" i="151"/>
  <c r="X51" i="151" s="1"/>
  <c r="U51" i="151"/>
  <c r="T51" i="151"/>
  <c r="S51" i="151"/>
  <c r="N51" i="151"/>
  <c r="L51" i="151"/>
  <c r="J51" i="151"/>
  <c r="W50" i="151"/>
  <c r="X50" i="151" s="1"/>
  <c r="N50" i="151"/>
  <c r="L50" i="151"/>
  <c r="J50" i="151"/>
  <c r="W49" i="151"/>
  <c r="X49" i="151" s="1"/>
  <c r="U49" i="151"/>
  <c r="T49" i="151"/>
  <c r="S49" i="151"/>
  <c r="N49" i="151"/>
  <c r="L49" i="151"/>
  <c r="J49" i="151"/>
  <c r="W48" i="151"/>
  <c r="X48" i="151" s="1"/>
  <c r="N48" i="151"/>
  <c r="L48" i="151"/>
  <c r="U48" i="151" s="1"/>
  <c r="J48" i="151"/>
  <c r="W47" i="151"/>
  <c r="X47" i="151" s="1"/>
  <c r="N47" i="151"/>
  <c r="L47" i="151"/>
  <c r="U47" i="151" s="1"/>
  <c r="J47" i="151"/>
  <c r="W46" i="151"/>
  <c r="X46" i="151" s="1"/>
  <c r="N46" i="151"/>
  <c r="L46" i="151"/>
  <c r="U46" i="151" s="1"/>
  <c r="J46" i="151"/>
  <c r="W45" i="151"/>
  <c r="X45" i="151" s="1"/>
  <c r="N45" i="151"/>
  <c r="L45" i="151"/>
  <c r="J45" i="151"/>
  <c r="W44" i="151"/>
  <c r="X44" i="151" s="1"/>
  <c r="N44" i="151"/>
  <c r="L44" i="151"/>
  <c r="U44" i="151" s="1"/>
  <c r="J44" i="151"/>
  <c r="X43" i="151"/>
  <c r="W43" i="151"/>
  <c r="N43" i="151"/>
  <c r="L43" i="151"/>
  <c r="J43" i="151"/>
  <c r="W42" i="151"/>
  <c r="X42" i="151" s="1"/>
  <c r="N42" i="151"/>
  <c r="L42" i="151"/>
  <c r="U42" i="151" s="1"/>
  <c r="J42" i="151"/>
  <c r="W41" i="151"/>
  <c r="X41" i="151" s="1"/>
  <c r="T41" i="151"/>
  <c r="S41" i="151"/>
  <c r="N41" i="151"/>
  <c r="L41" i="151"/>
  <c r="U41" i="151" s="1"/>
  <c r="J41" i="151"/>
  <c r="W40" i="151"/>
  <c r="X40" i="151" s="1"/>
  <c r="N40" i="151"/>
  <c r="L40" i="151"/>
  <c r="T40" i="151" s="1"/>
  <c r="J40" i="151"/>
  <c r="W39" i="151"/>
  <c r="X39" i="151" s="1"/>
  <c r="N39" i="151"/>
  <c r="L39" i="151"/>
  <c r="U39" i="151" s="1"/>
  <c r="J39" i="151"/>
  <c r="W38" i="151"/>
  <c r="X38" i="151" s="1"/>
  <c r="N38" i="151"/>
  <c r="L38" i="151"/>
  <c r="T38" i="151" s="1"/>
  <c r="J38" i="151"/>
  <c r="W37" i="151"/>
  <c r="X37" i="151" s="1"/>
  <c r="U37" i="151"/>
  <c r="S37" i="151"/>
  <c r="N37" i="151"/>
  <c r="L37" i="151"/>
  <c r="T37" i="151" s="1"/>
  <c r="J37" i="151"/>
  <c r="X36" i="151"/>
  <c r="W36" i="151"/>
  <c r="N36" i="151"/>
  <c r="L36" i="151"/>
  <c r="J36" i="151"/>
  <c r="W35" i="151"/>
  <c r="X35" i="151" s="1"/>
  <c r="N35" i="151"/>
  <c r="L35" i="151"/>
  <c r="S35" i="151" s="1"/>
  <c r="J35" i="151"/>
  <c r="X34" i="151"/>
  <c r="W34" i="151"/>
  <c r="S34" i="151"/>
  <c r="N34" i="151"/>
  <c r="L34" i="151"/>
  <c r="U34" i="151" s="1"/>
  <c r="J34" i="151"/>
  <c r="W33" i="151"/>
  <c r="X33" i="151" s="1"/>
  <c r="N33" i="151"/>
  <c r="L33" i="151"/>
  <c r="T33" i="151" s="1"/>
  <c r="J33" i="151"/>
  <c r="W32" i="151"/>
  <c r="X32" i="151" s="1"/>
  <c r="S32" i="151"/>
  <c r="N32" i="151"/>
  <c r="L32" i="151"/>
  <c r="U32" i="151" s="1"/>
  <c r="J32" i="151"/>
  <c r="W31" i="151"/>
  <c r="X31" i="151" s="1"/>
  <c r="N31" i="151"/>
  <c r="L31" i="151"/>
  <c r="J31" i="151"/>
  <c r="W30" i="151"/>
  <c r="X30" i="151" s="1"/>
  <c r="N30" i="151"/>
  <c r="L30" i="151"/>
  <c r="U30" i="151" s="1"/>
  <c r="J30" i="151"/>
  <c r="W29" i="151"/>
  <c r="X29" i="151" s="1"/>
  <c r="N29" i="151"/>
  <c r="L29" i="151"/>
  <c r="J29" i="151"/>
  <c r="W28" i="151"/>
  <c r="X28" i="151" s="1"/>
  <c r="N28" i="151"/>
  <c r="L28" i="151"/>
  <c r="U28" i="151" s="1"/>
  <c r="J28" i="151"/>
  <c r="W27" i="151"/>
  <c r="X27" i="151" s="1"/>
  <c r="N27" i="151"/>
  <c r="L27" i="151"/>
  <c r="J27" i="151"/>
  <c r="W26" i="151"/>
  <c r="X26" i="151" s="1"/>
  <c r="N26" i="151"/>
  <c r="L26" i="151"/>
  <c r="T26" i="151" s="1"/>
  <c r="J26" i="151"/>
  <c r="W25" i="151"/>
  <c r="X25" i="151" s="1"/>
  <c r="N25" i="151"/>
  <c r="L25" i="151"/>
  <c r="J25" i="151"/>
  <c r="W24" i="151"/>
  <c r="X24" i="151" s="1"/>
  <c r="U24" i="151"/>
  <c r="N24" i="151"/>
  <c r="L24" i="151"/>
  <c r="T24" i="151" s="1"/>
  <c r="J24" i="151"/>
  <c r="W23" i="151"/>
  <c r="X23" i="151" s="1"/>
  <c r="N23" i="151"/>
  <c r="L23" i="151"/>
  <c r="J23" i="151"/>
  <c r="X22" i="151"/>
  <c r="W22" i="151"/>
  <c r="N22" i="151"/>
  <c r="L22" i="151"/>
  <c r="J22" i="151"/>
  <c r="W21" i="151"/>
  <c r="X21" i="151" s="1"/>
  <c r="N21" i="151"/>
  <c r="L21" i="151"/>
  <c r="J21" i="151"/>
  <c r="W20" i="151"/>
  <c r="X20" i="151" s="1"/>
  <c r="N20" i="151"/>
  <c r="L20" i="151"/>
  <c r="U20" i="151" s="1"/>
  <c r="J20" i="151"/>
  <c r="W19" i="151"/>
  <c r="X19" i="151" s="1"/>
  <c r="N19" i="151"/>
  <c r="L19" i="151"/>
  <c r="J19" i="151"/>
  <c r="W18" i="151"/>
  <c r="X18" i="151" s="1"/>
  <c r="N18" i="151"/>
  <c r="L18" i="151"/>
  <c r="U18" i="151" s="1"/>
  <c r="J18" i="151"/>
  <c r="W17" i="151"/>
  <c r="X17" i="151" s="1"/>
  <c r="N17" i="151"/>
  <c r="L17" i="151"/>
  <c r="J17" i="151"/>
  <c r="W16" i="151"/>
  <c r="X16" i="151" s="1"/>
  <c r="N16" i="151"/>
  <c r="L16" i="151"/>
  <c r="U16" i="151" s="1"/>
  <c r="J16" i="151"/>
  <c r="W15" i="151"/>
  <c r="X15" i="151" s="1"/>
  <c r="N15" i="151"/>
  <c r="L15" i="151"/>
  <c r="J15" i="151"/>
  <c r="W14" i="151"/>
  <c r="X14" i="151" s="1"/>
  <c r="N14" i="151"/>
  <c r="L14" i="151"/>
  <c r="S14" i="151" s="1"/>
  <c r="J14" i="151"/>
  <c r="X13" i="151"/>
  <c r="W13" i="151"/>
  <c r="N13" i="151"/>
  <c r="L13" i="151"/>
  <c r="U13" i="151" s="1"/>
  <c r="J13" i="151"/>
  <c r="W12" i="151"/>
  <c r="X12" i="151" s="1"/>
  <c r="T12" i="151"/>
  <c r="S12" i="151"/>
  <c r="N12" i="151"/>
  <c r="L12" i="151"/>
  <c r="U12" i="151" s="1"/>
  <c r="J12" i="151"/>
  <c r="W11" i="151"/>
  <c r="X11" i="151" s="1"/>
  <c r="N11" i="151"/>
  <c r="L11" i="151"/>
  <c r="J11" i="151"/>
  <c r="W10" i="151"/>
  <c r="X10" i="151" s="1"/>
  <c r="N10" i="151"/>
  <c r="L10" i="151"/>
  <c r="T10" i="151" s="1"/>
  <c r="J10" i="151"/>
  <c r="W9" i="151"/>
  <c r="X9" i="151" s="1"/>
  <c r="N9" i="151"/>
  <c r="L9" i="151"/>
  <c r="J9" i="151"/>
  <c r="W8" i="151"/>
  <c r="X8" i="151" s="1"/>
  <c r="N8" i="151"/>
  <c r="L8" i="151"/>
  <c r="J8" i="151"/>
  <c r="W7" i="151"/>
  <c r="X7" i="151" s="1"/>
  <c r="N7" i="151"/>
  <c r="L7" i="151"/>
  <c r="T7" i="151" s="1"/>
  <c r="J7" i="151"/>
  <c r="W6" i="151"/>
  <c r="X6" i="151" s="1"/>
  <c r="N6" i="151"/>
  <c r="L6" i="151"/>
  <c r="J6" i="151"/>
  <c r="W5" i="151"/>
  <c r="X5" i="151" s="1"/>
  <c r="N5" i="151"/>
  <c r="L5" i="151"/>
  <c r="U5" i="151" s="1"/>
  <c r="J5" i="151"/>
  <c r="W4" i="151"/>
  <c r="X4" i="151" s="1"/>
  <c r="T4" i="151"/>
  <c r="N4" i="151"/>
  <c r="L4" i="151"/>
  <c r="U4" i="151" s="1"/>
  <c r="J4" i="151"/>
  <c r="X3" i="151"/>
  <c r="W3" i="151"/>
  <c r="N3" i="151"/>
  <c r="L3" i="151"/>
  <c r="T3" i="151" s="1"/>
  <c r="J3" i="151"/>
  <c r="W2" i="151"/>
  <c r="X2" i="151" s="1"/>
  <c r="U2" i="151"/>
  <c r="S2" i="151"/>
  <c r="N2" i="151"/>
  <c r="L2" i="151"/>
  <c r="T2" i="151" s="1"/>
  <c r="J2" i="151"/>
  <c r="U6" i="151" l="1"/>
  <c r="T6" i="151"/>
  <c r="T150" i="151"/>
  <c r="U150" i="151"/>
  <c r="U177" i="151"/>
  <c r="S177" i="151"/>
  <c r="T229" i="151"/>
  <c r="U229" i="151"/>
  <c r="T264" i="151"/>
  <c r="U264" i="151"/>
  <c r="T278" i="151"/>
  <c r="U278" i="151"/>
  <c r="S278" i="151"/>
  <c r="U430" i="151"/>
  <c r="T430" i="151"/>
  <c r="S430" i="151"/>
  <c r="U446" i="151"/>
  <c r="S446" i="151"/>
  <c r="U578" i="151"/>
  <c r="T578" i="151"/>
  <c r="S578" i="151"/>
  <c r="T619" i="151"/>
  <c r="U619" i="151"/>
  <c r="S619" i="151"/>
  <c r="U677" i="151"/>
  <c r="T677" i="151"/>
  <c r="S677" i="151"/>
  <c r="U683" i="151"/>
  <c r="T683" i="151"/>
  <c r="S683" i="151"/>
  <c r="U775" i="151"/>
  <c r="T775" i="151"/>
  <c r="T886" i="151"/>
  <c r="U886" i="151"/>
  <c r="S886" i="151"/>
  <c r="U975" i="151"/>
  <c r="T975" i="151"/>
  <c r="S975" i="151"/>
  <c r="T323" i="151"/>
  <c r="S323" i="151"/>
  <c r="T329" i="151"/>
  <c r="U329" i="151"/>
  <c r="S329" i="151"/>
  <c r="S441" i="151"/>
  <c r="T441" i="151"/>
  <c r="S477" i="151"/>
  <c r="U477" i="151"/>
  <c r="T477" i="151"/>
  <c r="U576" i="151"/>
  <c r="T576" i="151"/>
  <c r="S576" i="151"/>
  <c r="U650" i="151"/>
  <c r="T650" i="151"/>
  <c r="U744" i="151"/>
  <c r="S744" i="151"/>
  <c r="T744" i="151"/>
  <c r="S1112" i="151"/>
  <c r="U1112" i="151"/>
  <c r="T1112" i="151"/>
  <c r="U1118" i="151"/>
  <c r="T1118" i="151"/>
  <c r="S1118" i="151"/>
  <c r="T1196" i="151"/>
  <c r="S1196" i="151"/>
  <c r="U1196" i="151"/>
  <c r="U656" i="151"/>
  <c r="T656" i="151"/>
  <c r="S656" i="151"/>
  <c r="T1083" i="151"/>
  <c r="U1083" i="151"/>
  <c r="S1083" i="151"/>
  <c r="U1145" i="151"/>
  <c r="T1145" i="151"/>
  <c r="S1145" i="151"/>
  <c r="T14" i="151"/>
  <c r="U35" i="151"/>
  <c r="U52" i="151"/>
  <c r="U100" i="151"/>
  <c r="T159" i="151"/>
  <c r="U159" i="151"/>
  <c r="S159" i="151"/>
  <c r="U14" i="151"/>
  <c r="S30" i="151"/>
  <c r="S33" i="151"/>
  <c r="S79" i="151"/>
  <c r="T112" i="151"/>
  <c r="U112" i="151"/>
  <c r="T136" i="151"/>
  <c r="U136" i="151"/>
  <c r="U188" i="151"/>
  <c r="T188" i="151"/>
  <c r="S188" i="151"/>
  <c r="S372" i="151"/>
  <c r="U372" i="151"/>
  <c r="T372" i="151"/>
  <c r="U444" i="151"/>
  <c r="T444" i="151"/>
  <c r="S444" i="151"/>
  <c r="U564" i="151"/>
  <c r="T564" i="151"/>
  <c r="S564" i="151"/>
  <c r="U644" i="151"/>
  <c r="T644" i="151"/>
  <c r="S644" i="151"/>
  <c r="U1187" i="151"/>
  <c r="T1187" i="151"/>
  <c r="S1187" i="151"/>
  <c r="U104" i="151"/>
  <c r="T104" i="151"/>
  <c r="S104" i="151"/>
  <c r="T110" i="151"/>
  <c r="U110" i="151"/>
  <c r="S110" i="151"/>
  <c r="S137" i="151"/>
  <c r="U137" i="151"/>
  <c r="T137" i="151"/>
  <c r="S181" i="151"/>
  <c r="S203" i="151"/>
  <c r="U283" i="151"/>
  <c r="U333" i="151"/>
  <c r="T333" i="151"/>
  <c r="S373" i="151"/>
  <c r="U373" i="151"/>
  <c r="T373" i="151"/>
  <c r="U423" i="151"/>
  <c r="T423" i="151"/>
  <c r="U470" i="151"/>
  <c r="T470" i="151"/>
  <c r="S470" i="151"/>
  <c r="S691" i="151"/>
  <c r="U691" i="151"/>
  <c r="T691" i="151"/>
  <c r="S840" i="151"/>
  <c r="U840" i="151"/>
  <c r="T840" i="151"/>
  <c r="U354" i="151"/>
  <c r="S354" i="151"/>
  <c r="U734" i="151"/>
  <c r="T734" i="151"/>
  <c r="S734" i="151"/>
  <c r="U408" i="151"/>
  <c r="S408" i="151"/>
  <c r="S611" i="151"/>
  <c r="T611" i="151"/>
  <c r="T199" i="151"/>
  <c r="U199" i="151"/>
  <c r="U344" i="151"/>
  <c r="T344" i="151"/>
  <c r="S344" i="151"/>
  <c r="T599" i="151"/>
  <c r="S599" i="151"/>
  <c r="T749" i="151"/>
  <c r="U749" i="151"/>
  <c r="S749" i="151"/>
  <c r="U1248" i="151"/>
  <c r="T1248" i="151"/>
  <c r="S1248" i="151"/>
  <c r="T47" i="151"/>
  <c r="S47" i="151"/>
  <c r="T82" i="151"/>
  <c r="S82" i="151"/>
  <c r="T171" i="151"/>
  <c r="U171" i="151"/>
  <c r="T354" i="151"/>
  <c r="S294" i="151"/>
  <c r="T294" i="151"/>
  <c r="U843" i="151"/>
  <c r="T843" i="151"/>
  <c r="S843" i="151"/>
  <c r="T248" i="151"/>
  <c r="U248" i="151"/>
  <c r="T339" i="151"/>
  <c r="U339" i="151"/>
  <c r="S339" i="151"/>
  <c r="U1166" i="151"/>
  <c r="T1166" i="151"/>
  <c r="S1166" i="151"/>
  <c r="S39" i="151"/>
  <c r="T89" i="151"/>
  <c r="U89" i="151"/>
  <c r="S89" i="151"/>
  <c r="T157" i="151"/>
  <c r="U157" i="151"/>
  <c r="S388" i="151"/>
  <c r="T388" i="151"/>
  <c r="S439" i="151"/>
  <c r="U439" i="151"/>
  <c r="T439" i="151"/>
  <c r="T467" i="151"/>
  <c r="U467" i="151"/>
  <c r="T39" i="151"/>
  <c r="S56" i="151"/>
  <c r="U59" i="151"/>
  <c r="T173" i="151"/>
  <c r="U173" i="151"/>
  <c r="U240" i="151"/>
  <c r="T240" i="151"/>
  <c r="S240" i="151"/>
  <c r="T269" i="151"/>
  <c r="U269" i="151"/>
  <c r="S333" i="151"/>
  <c r="T394" i="151"/>
  <c r="U394" i="151"/>
  <c r="S394" i="151"/>
  <c r="S423" i="151"/>
  <c r="S512" i="151"/>
  <c r="U512" i="151"/>
  <c r="T512" i="151"/>
  <c r="U642" i="151"/>
  <c r="T642" i="151"/>
  <c r="S642" i="151"/>
  <c r="T196" i="151"/>
  <c r="S196" i="151"/>
  <c r="T17" i="151"/>
  <c r="U17" i="151"/>
  <c r="U657" i="151"/>
  <c r="T657" i="151"/>
  <c r="S657" i="151"/>
  <c r="T80" i="151"/>
  <c r="U80" i="151"/>
  <c r="U206" i="151"/>
  <c r="U286" i="151"/>
  <c r="S286" i="151"/>
  <c r="S6" i="151"/>
  <c r="T19" i="151"/>
  <c r="S19" i="151"/>
  <c r="U179" i="151"/>
  <c r="S179" i="151"/>
  <c r="T286" i="151"/>
  <c r="U365" i="151"/>
  <c r="T365" i="151"/>
  <c r="S365" i="151"/>
  <c r="U19" i="151"/>
  <c r="T54" i="151"/>
  <c r="U54" i="151"/>
  <c r="T84" i="151"/>
  <c r="S84" i="151"/>
  <c r="U84" i="151"/>
  <c r="T102" i="151"/>
  <c r="S102" i="151"/>
  <c r="T147" i="151"/>
  <c r="S147" i="151"/>
  <c r="T201" i="151"/>
  <c r="U201" i="151"/>
  <c r="S201" i="151"/>
  <c r="T234" i="151"/>
  <c r="U234" i="151"/>
  <c r="U340" i="151"/>
  <c r="S340" i="151"/>
  <c r="T340" i="151"/>
  <c r="U388" i="151"/>
  <c r="T413" i="151"/>
  <c r="U413" i="151"/>
  <c r="U590" i="151"/>
  <c r="T590" i="151"/>
  <c r="S590" i="151"/>
  <c r="T796" i="151"/>
  <c r="S796" i="151"/>
  <c r="U796" i="151"/>
  <c r="U331" i="151"/>
  <c r="S331" i="151"/>
  <c r="U347" i="151"/>
  <c r="T347" i="151"/>
  <c r="S347" i="151"/>
  <c r="S386" i="151"/>
  <c r="U386" i="151"/>
  <c r="T386" i="151"/>
  <c r="T35" i="151"/>
  <c r="T100" i="151"/>
  <c r="U196" i="151"/>
  <c r="U33" i="151"/>
  <c r="U98" i="151"/>
  <c r="T98" i="151"/>
  <c r="S98" i="151"/>
  <c r="S256" i="151"/>
  <c r="T256" i="151"/>
  <c r="T215" i="151"/>
  <c r="S215" i="151"/>
  <c r="T31" i="151"/>
  <c r="U31" i="151"/>
  <c r="U294" i="151"/>
  <c r="U804" i="151"/>
  <c r="T804" i="151"/>
  <c r="S804" i="151"/>
  <c r="T1175" i="151"/>
  <c r="U1175" i="151"/>
  <c r="S1175" i="151"/>
  <c r="T45" i="151"/>
  <c r="U45" i="151"/>
  <c r="S184" i="151"/>
  <c r="U184" i="151"/>
  <c r="T184" i="151"/>
  <c r="U312" i="151"/>
  <c r="T312" i="151"/>
  <c r="U688" i="151"/>
  <c r="T688" i="151"/>
  <c r="S688" i="151"/>
  <c r="S837" i="151"/>
  <c r="T837" i="151"/>
  <c r="U1025" i="151"/>
  <c r="S1025" i="151"/>
  <c r="S4" i="151"/>
  <c r="S173" i="151"/>
  <c r="U337" i="151"/>
  <c r="T337" i="151"/>
  <c r="S337" i="151"/>
  <c r="U506" i="151"/>
  <c r="S506" i="151"/>
  <c r="U534" i="151"/>
  <c r="T534" i="151"/>
  <c r="S534" i="151"/>
  <c r="U713" i="151"/>
  <c r="T713" i="151"/>
  <c r="U86" i="151"/>
  <c r="T86" i="151"/>
  <c r="T138" i="151"/>
  <c r="U138" i="151"/>
  <c r="S138" i="151"/>
  <c r="S341" i="151"/>
  <c r="U341" i="151"/>
  <c r="S460" i="151"/>
  <c r="U460" i="151"/>
  <c r="U463" i="151"/>
  <c r="T463" i="151"/>
  <c r="S463" i="151"/>
  <c r="S684" i="151"/>
  <c r="U684" i="151"/>
  <c r="T684" i="151"/>
  <c r="U814" i="151"/>
  <c r="S814" i="151"/>
  <c r="S826" i="151"/>
  <c r="U826" i="151"/>
  <c r="T826" i="151"/>
  <c r="U900" i="151"/>
  <c r="T900" i="151"/>
  <c r="U449" i="151"/>
  <c r="T449" i="151"/>
  <c r="S449" i="151"/>
  <c r="U943" i="151"/>
  <c r="T943" i="151"/>
  <c r="T124" i="151"/>
  <c r="U124" i="151"/>
  <c r="S124" i="151"/>
  <c r="T68" i="151"/>
  <c r="U68" i="151"/>
  <c r="S68" i="151"/>
  <c r="U401" i="151"/>
  <c r="T401" i="151"/>
  <c r="U406" i="151"/>
  <c r="T406" i="151"/>
  <c r="S406" i="151"/>
  <c r="U455" i="151"/>
  <c r="T455" i="151"/>
  <c r="S455" i="151"/>
  <c r="T542" i="151"/>
  <c r="U542" i="151"/>
  <c r="T605" i="151"/>
  <c r="U605" i="151"/>
  <c r="S605" i="151"/>
  <c r="U663" i="151"/>
  <c r="T663" i="151"/>
  <c r="S663" i="151"/>
  <c r="U857" i="151"/>
  <c r="T857" i="151"/>
  <c r="S857" i="151"/>
  <c r="U1036" i="151"/>
  <c r="T1036" i="151"/>
  <c r="S1036" i="151"/>
  <c r="U1042" i="151"/>
  <c r="T1042" i="151"/>
  <c r="S1042" i="151"/>
  <c r="S1054" i="151"/>
  <c r="T1054" i="151"/>
  <c r="U442" i="151"/>
  <c r="T442" i="151"/>
  <c r="U606" i="151"/>
  <c r="T606" i="151"/>
  <c r="S606" i="151"/>
  <c r="S747" i="151"/>
  <c r="U747" i="151"/>
  <c r="S767" i="151"/>
  <c r="U767" i="151"/>
  <c r="T767" i="151"/>
  <c r="U782" i="151"/>
  <c r="T782" i="151"/>
  <c r="S782" i="151"/>
  <c r="T864" i="151"/>
  <c r="U864" i="151"/>
  <c r="S864" i="151"/>
  <c r="U1037" i="151"/>
  <c r="T1037" i="151"/>
  <c r="S1037" i="151"/>
  <c r="T1140" i="151"/>
  <c r="U1140" i="151"/>
  <c r="T1028" i="151"/>
  <c r="U1028" i="151"/>
  <c r="S1028" i="151"/>
  <c r="U1060" i="151"/>
  <c r="T1060" i="151"/>
  <c r="S1060" i="151"/>
  <c r="T1069" i="151"/>
  <c r="U1069" i="151"/>
  <c r="S1069" i="151"/>
  <c r="T210" i="151"/>
  <c r="U210" i="151"/>
  <c r="U450" i="151"/>
  <c r="T450" i="151"/>
  <c r="S450" i="151"/>
  <c r="U527" i="151"/>
  <c r="T527" i="151"/>
  <c r="U562" i="151"/>
  <c r="T562" i="151"/>
  <c r="U651" i="151"/>
  <c r="T651" i="151"/>
  <c r="S651" i="151"/>
  <c r="U755" i="151"/>
  <c r="T755" i="151"/>
  <c r="S755" i="151"/>
  <c r="U55" i="151"/>
  <c r="S55" i="151"/>
  <c r="U456" i="151"/>
  <c r="T456" i="151"/>
  <c r="S456" i="151"/>
  <c r="S40" i="151"/>
  <c r="S90" i="151"/>
  <c r="T96" i="151"/>
  <c r="S96" i="151"/>
  <c r="U122" i="151"/>
  <c r="S135" i="151"/>
  <c r="U192" i="151"/>
  <c r="U241" i="151"/>
  <c r="S316" i="151"/>
  <c r="U346" i="151"/>
  <c r="T346" i="151"/>
  <c r="T366" i="151"/>
  <c r="T392" i="151"/>
  <c r="U392" i="151"/>
  <c r="S465" i="151"/>
  <c r="S527" i="151"/>
  <c r="U543" i="151"/>
  <c r="T543" i="151"/>
  <c r="S562" i="151"/>
  <c r="U585" i="151"/>
  <c r="T585" i="151"/>
  <c r="S822" i="151"/>
  <c r="U822" i="151"/>
  <c r="T822" i="151"/>
  <c r="T852" i="151"/>
  <c r="U852" i="151"/>
  <c r="S852" i="151"/>
  <c r="T888" i="151"/>
  <c r="U888" i="151"/>
  <c r="T381" i="151"/>
  <c r="S381" i="151"/>
  <c r="U495" i="151"/>
  <c r="T495" i="151"/>
  <c r="S495" i="151"/>
  <c r="T648" i="151"/>
  <c r="U648" i="151"/>
  <c r="U873" i="151"/>
  <c r="T873" i="151"/>
  <c r="S873" i="151"/>
  <c r="T902" i="151"/>
  <c r="U902" i="151"/>
  <c r="U908" i="151"/>
  <c r="T908" i="151"/>
  <c r="S908" i="151"/>
  <c r="U958" i="151"/>
  <c r="T958" i="151"/>
  <c r="S958" i="151"/>
  <c r="U1253" i="151"/>
  <c r="T1253" i="151"/>
  <c r="S1253" i="151"/>
  <c r="S348" i="151"/>
  <c r="U348" i="151"/>
  <c r="T348" i="151"/>
  <c r="U3" i="151"/>
  <c r="U40" i="151"/>
  <c r="U88" i="151"/>
  <c r="T88" i="151"/>
  <c r="T90" i="151"/>
  <c r="S128" i="151"/>
  <c r="S133" i="151"/>
  <c r="T135" i="151"/>
  <c r="S200" i="151"/>
  <c r="S202" i="151"/>
  <c r="S236" i="151"/>
  <c r="U276" i="151"/>
  <c r="S303" i="151"/>
  <c r="T316" i="151"/>
  <c r="T327" i="151"/>
  <c r="U327" i="151"/>
  <c r="S327" i="151"/>
  <c r="S407" i="151"/>
  <c r="S437" i="151"/>
  <c r="S442" i="151"/>
  <c r="T465" i="151"/>
  <c r="U658" i="151"/>
  <c r="T658" i="151"/>
  <c r="U661" i="151"/>
  <c r="T661" i="151"/>
  <c r="S681" i="151"/>
  <c r="U686" i="151"/>
  <c r="T686" i="151"/>
  <c r="S686" i="151"/>
  <c r="T747" i="151"/>
  <c r="T776" i="151"/>
  <c r="S776" i="151"/>
  <c r="S816" i="151"/>
  <c r="U816" i="151"/>
  <c r="S844" i="151"/>
  <c r="U844" i="151"/>
  <c r="T844" i="151"/>
  <c r="S956" i="151"/>
  <c r="U956" i="151"/>
  <c r="T956" i="151"/>
  <c r="U962" i="151"/>
  <c r="T962" i="151"/>
  <c r="U1026" i="151"/>
  <c r="T1026" i="151"/>
  <c r="U1150" i="151"/>
  <c r="T1150" i="151"/>
  <c r="S1150" i="151"/>
  <c r="S5" i="151"/>
  <c r="U10" i="151"/>
  <c r="T5" i="151"/>
  <c r="S26" i="151"/>
  <c r="T55" i="151"/>
  <c r="U66" i="151"/>
  <c r="S75" i="151"/>
  <c r="U26" i="151"/>
  <c r="U38" i="151"/>
  <c r="T53" i="151"/>
  <c r="U75" i="151"/>
  <c r="S83" i="151"/>
  <c r="U96" i="151"/>
  <c r="S131" i="151"/>
  <c r="U143" i="151"/>
  <c r="T202" i="151"/>
  <c r="U236" i="151"/>
  <c r="T263" i="151"/>
  <c r="T268" i="151"/>
  <c r="S271" i="151"/>
  <c r="T303" i="151"/>
  <c r="U306" i="151"/>
  <c r="S346" i="151"/>
  <c r="S371" i="151"/>
  <c r="T374" i="151"/>
  <c r="S374" i="151"/>
  <c r="T407" i="151"/>
  <c r="T428" i="151"/>
  <c r="S428" i="151"/>
  <c r="T437" i="151"/>
  <c r="U451" i="151"/>
  <c r="T451" i="151"/>
  <c r="U504" i="151"/>
  <c r="T504" i="151"/>
  <c r="U507" i="151"/>
  <c r="T507" i="151"/>
  <c r="S507" i="151"/>
  <c r="S543" i="151"/>
  <c r="U557" i="151"/>
  <c r="T557" i="151"/>
  <c r="S557" i="151"/>
  <c r="U583" i="151"/>
  <c r="T583" i="151"/>
  <c r="S585" i="151"/>
  <c r="T681" i="151"/>
  <c r="S695" i="151"/>
  <c r="U841" i="151"/>
  <c r="T841" i="151"/>
  <c r="S841" i="151"/>
  <c r="T371" i="151"/>
  <c r="S569" i="151"/>
  <c r="U569" i="151"/>
  <c r="S610" i="151"/>
  <c r="T610" i="151"/>
  <c r="S626" i="151"/>
  <c r="S658" i="151"/>
  <c r="T695" i="151"/>
  <c r="T721" i="151"/>
  <c r="U721" i="151"/>
  <c r="S721" i="151"/>
  <c r="U776" i="151"/>
  <c r="S962" i="151"/>
  <c r="T1023" i="151"/>
  <c r="S1026" i="151"/>
  <c r="S871" i="151"/>
  <c r="U871" i="151"/>
  <c r="T871" i="151"/>
  <c r="U919" i="151"/>
  <c r="T919" i="151"/>
  <c r="U963" i="151"/>
  <c r="T963" i="151"/>
  <c r="U1125" i="151"/>
  <c r="S1125" i="151"/>
  <c r="U1143" i="151"/>
  <c r="T1143" i="151"/>
  <c r="S1143" i="151"/>
  <c r="U1199" i="151"/>
  <c r="T1199" i="151"/>
  <c r="T1210" i="151"/>
  <c r="U1210" i="151"/>
  <c r="U1230" i="151"/>
  <c r="T1230" i="151"/>
  <c r="S1230" i="151"/>
  <c r="T788" i="151"/>
  <c r="S788" i="151"/>
  <c r="S802" i="151"/>
  <c r="U802" i="151"/>
  <c r="U948" i="151"/>
  <c r="T948" i="151"/>
  <c r="U1152" i="151"/>
  <c r="T1152" i="151"/>
  <c r="U758" i="151"/>
  <c r="T758" i="151"/>
  <c r="U783" i="151"/>
  <c r="T783" i="151"/>
  <c r="T817" i="151"/>
  <c r="U817" i="151"/>
  <c r="S817" i="151"/>
  <c r="S1217" i="151"/>
  <c r="U1217" i="151"/>
  <c r="T1217" i="151"/>
  <c r="T698" i="151"/>
  <c r="U698" i="151"/>
  <c r="U740" i="151"/>
  <c r="T740" i="151"/>
  <c r="S781" i="151"/>
  <c r="U781" i="151"/>
  <c r="U797" i="151"/>
  <c r="T797" i="151"/>
  <c r="S797" i="151"/>
  <c r="T862" i="151"/>
  <c r="U862" i="151"/>
  <c r="T878" i="151"/>
  <c r="U878" i="151"/>
  <c r="U978" i="151"/>
  <c r="T978" i="151"/>
  <c r="S978" i="151"/>
  <c r="U1049" i="151"/>
  <c r="T1049" i="151"/>
  <c r="U1164" i="151"/>
  <c r="T1164" i="151"/>
  <c r="S1164" i="151"/>
  <c r="U1229" i="151"/>
  <c r="T1229" i="151"/>
  <c r="U1250" i="151"/>
  <c r="T1250" i="151"/>
  <c r="S1250" i="151"/>
  <c r="S1270" i="151"/>
  <c r="U1270" i="151"/>
  <c r="T1310" i="151"/>
  <c r="U1310" i="151"/>
  <c r="T418" i="151"/>
  <c r="U418" i="151"/>
  <c r="U458" i="151"/>
  <c r="T458" i="151"/>
  <c r="U555" i="151"/>
  <c r="T555" i="151"/>
  <c r="U723" i="151"/>
  <c r="T723" i="151"/>
  <c r="S723" i="151"/>
  <c r="S792" i="151"/>
  <c r="U792" i="151"/>
  <c r="T792" i="151"/>
  <c r="T827" i="151"/>
  <c r="U827" i="151"/>
  <c r="U1099" i="151"/>
  <c r="T1099" i="151"/>
  <c r="U1260" i="151"/>
  <c r="T1260" i="151"/>
  <c r="S1260" i="151"/>
  <c r="U1324" i="151"/>
  <c r="T1324" i="151"/>
  <c r="S1324" i="151"/>
  <c r="T360" i="151"/>
  <c r="S360" i="151"/>
  <c r="U435" i="151"/>
  <c r="T435" i="151"/>
  <c r="U693" i="151"/>
  <c r="T693" i="151"/>
  <c r="S740" i="151"/>
  <c r="T781" i="151"/>
  <c r="S818" i="151"/>
  <c r="S830" i="151"/>
  <c r="U830" i="151"/>
  <c r="S862" i="151"/>
  <c r="S878" i="151"/>
  <c r="S927" i="151"/>
  <c r="U927" i="151"/>
  <c r="T927" i="151"/>
  <c r="U941" i="151"/>
  <c r="T941" i="151"/>
  <c r="S941" i="151"/>
  <c r="S997" i="151"/>
  <c r="S1049" i="151"/>
  <c r="S1229" i="151"/>
  <c r="U213" i="151"/>
  <c r="S257" i="151"/>
  <c r="U259" i="151"/>
  <c r="U262" i="151"/>
  <c r="S279" i="151"/>
  <c r="U290" i="151"/>
  <c r="S300" i="151"/>
  <c r="S458" i="151"/>
  <c r="S486" i="151"/>
  <c r="S493" i="151"/>
  <c r="S498" i="151"/>
  <c r="S500" i="151"/>
  <c r="S502" i="151"/>
  <c r="S550" i="151"/>
  <c r="S555" i="151"/>
  <c r="S643" i="151"/>
  <c r="T690" i="151"/>
  <c r="S720" i="151"/>
  <c r="U762" i="151"/>
  <c r="T762" i="151"/>
  <c r="S762" i="151"/>
  <c r="U773" i="151"/>
  <c r="S813" i="151"/>
  <c r="T818" i="151"/>
  <c r="S827" i="151"/>
  <c r="S921" i="151"/>
  <c r="T955" i="151"/>
  <c r="T997" i="151"/>
  <c r="U1016" i="151"/>
  <c r="T1016" i="151"/>
  <c r="S1016" i="151"/>
  <c r="U1085" i="151"/>
  <c r="S1085" i="151"/>
  <c r="S1099" i="151"/>
  <c r="U1213" i="151"/>
  <c r="T1213" i="151"/>
  <c r="S208" i="151"/>
  <c r="U227" i="151"/>
  <c r="S244" i="151"/>
  <c r="U257" i="151"/>
  <c r="S272" i="151"/>
  <c r="T279" i="151"/>
  <c r="T300" i="151"/>
  <c r="S315" i="151"/>
  <c r="U360" i="151"/>
  <c r="U390" i="151"/>
  <c r="T390" i="151"/>
  <c r="S390" i="151"/>
  <c r="S435" i="151"/>
  <c r="U502" i="151"/>
  <c r="U505" i="151"/>
  <c r="T505" i="151"/>
  <c r="S505" i="151"/>
  <c r="S528" i="151"/>
  <c r="S548" i="151"/>
  <c r="T550" i="151"/>
  <c r="S563" i="151"/>
  <c r="T612" i="151"/>
  <c r="U612" i="151"/>
  <c r="T643" i="151"/>
  <c r="U649" i="151"/>
  <c r="T649" i="151"/>
  <c r="S649" i="151"/>
  <c r="S693" i="151"/>
  <c r="U707" i="151"/>
  <c r="T715" i="151"/>
  <c r="T720" i="151"/>
  <c r="T729" i="151"/>
  <c r="U729" i="151"/>
  <c r="T768" i="151"/>
  <c r="U813" i="151"/>
  <c r="U898" i="151"/>
  <c r="T898" i="151"/>
  <c r="T913" i="151"/>
  <c r="U921" i="151"/>
  <c r="T924" i="151"/>
  <c r="U955" i="151"/>
  <c r="T965" i="151"/>
  <c r="U968" i="151"/>
  <c r="T968" i="151"/>
  <c r="S968" i="151"/>
  <c r="U976" i="151"/>
  <c r="T976" i="151"/>
  <c r="S976" i="151"/>
  <c r="S987" i="151"/>
  <c r="U987" i="151"/>
  <c r="S992" i="151"/>
  <c r="T1082" i="151"/>
  <c r="U1251" i="151"/>
  <c r="T1251" i="151"/>
  <c r="S1251" i="151"/>
  <c r="U1254" i="151"/>
  <c r="T1254" i="151"/>
  <c r="S1254" i="151"/>
  <c r="U1014" i="151"/>
  <c r="T1014" i="151"/>
  <c r="S1014" i="151"/>
  <c r="U1038" i="151"/>
  <c r="T1038" i="151"/>
  <c r="U1119" i="151"/>
  <c r="T1119" i="151"/>
  <c r="S1119" i="151"/>
  <c r="S1172" i="151"/>
  <c r="U1172" i="151"/>
  <c r="U1243" i="151"/>
  <c r="T1243" i="151"/>
  <c r="S1243" i="151"/>
  <c r="T1284" i="151"/>
  <c r="S1284" i="151"/>
  <c r="U1244" i="151"/>
  <c r="T1244" i="151"/>
  <c r="U1247" i="151"/>
  <c r="T1247" i="151"/>
  <c r="S1247" i="151"/>
  <c r="U1323" i="151"/>
  <c r="T1323" i="151"/>
  <c r="S1323" i="151"/>
  <c r="U1173" i="151"/>
  <c r="T1173" i="151"/>
  <c r="S1173" i="151"/>
  <c r="S1179" i="151"/>
  <c r="T1179" i="151"/>
  <c r="U1182" i="151"/>
  <c r="T1182" i="151"/>
  <c r="U1208" i="151"/>
  <c r="T1208" i="151"/>
  <c r="U1180" i="151"/>
  <c r="T1180" i="151"/>
  <c r="S1180" i="151"/>
  <c r="U1220" i="151"/>
  <c r="T1220" i="151"/>
  <c r="U1245" i="151"/>
  <c r="T1245" i="151"/>
  <c r="S1245" i="151"/>
  <c r="U706" i="151"/>
  <c r="T706" i="151"/>
  <c r="S706" i="151"/>
  <c r="T884" i="151"/>
  <c r="U884" i="151"/>
  <c r="S884" i="151"/>
  <c r="U922" i="151"/>
  <c r="T922" i="151"/>
  <c r="S922" i="151"/>
  <c r="U1078" i="151"/>
  <c r="T1078" i="151"/>
  <c r="S1165" i="151"/>
  <c r="U1165" i="151"/>
  <c r="U1171" i="151"/>
  <c r="T1171" i="151"/>
  <c r="S1171" i="151"/>
  <c r="U1192" i="151"/>
  <c r="T1192" i="151"/>
  <c r="U1206" i="151"/>
  <c r="T1206" i="151"/>
  <c r="S1206" i="151"/>
  <c r="S1242" i="151"/>
  <c r="U1242" i="151"/>
  <c r="U1261" i="151"/>
  <c r="T1261" i="151"/>
  <c r="S1298" i="151"/>
  <c r="T1298" i="151"/>
  <c r="U769" i="151"/>
  <c r="T769" i="151"/>
  <c r="S769" i="151"/>
  <c r="U1024" i="151"/>
  <c r="T1024" i="151"/>
  <c r="S1024" i="151"/>
  <c r="U1047" i="151"/>
  <c r="T1047" i="151"/>
  <c r="S1047" i="151"/>
  <c r="S1220" i="151"/>
  <c r="T654" i="151"/>
  <c r="S672" i="151"/>
  <c r="T682" i="151"/>
  <c r="S745" i="151"/>
  <c r="S787" i="151"/>
  <c r="S790" i="151"/>
  <c r="U790" i="151"/>
  <c r="S825" i="151"/>
  <c r="U855" i="151"/>
  <c r="T855" i="151"/>
  <c r="S855" i="151"/>
  <c r="U917" i="151"/>
  <c r="S917" i="151"/>
  <c r="S928" i="151"/>
  <c r="U951" i="151"/>
  <c r="T951" i="151"/>
  <c r="S1006" i="151"/>
  <c r="S1064" i="151"/>
  <c r="S1097" i="151"/>
  <c r="U1132" i="151"/>
  <c r="T1132" i="151"/>
  <c r="U1157" i="151"/>
  <c r="T1157" i="151"/>
  <c r="S1157" i="151"/>
  <c r="T1165" i="151"/>
  <c r="S1192" i="151"/>
  <c r="U1252" i="151"/>
  <c r="T1252" i="151"/>
  <c r="U1255" i="151"/>
  <c r="T1255" i="151"/>
  <c r="S1255" i="151"/>
  <c r="S1261" i="151"/>
  <c r="U1298" i="151"/>
  <c r="T490" i="151"/>
  <c r="S492" i="151"/>
  <c r="T522" i="151"/>
  <c r="S591" i="151"/>
  <c r="T596" i="151"/>
  <c r="S598" i="151"/>
  <c r="U654" i="151"/>
  <c r="T709" i="151"/>
  <c r="U714" i="151"/>
  <c r="U743" i="151"/>
  <c r="T743" i="151"/>
  <c r="U828" i="151"/>
  <c r="T828" i="151"/>
  <c r="T887" i="151"/>
  <c r="S903" i="151"/>
  <c r="U928" i="151"/>
  <c r="S1040" i="151"/>
  <c r="U1097" i="151"/>
  <c r="T1113" i="151"/>
  <c r="U1246" i="151"/>
  <c r="T1246" i="151"/>
  <c r="U1249" i="151"/>
  <c r="T1249" i="151"/>
  <c r="S1249" i="151"/>
  <c r="U1328" i="151"/>
  <c r="S1105" i="151"/>
  <c r="S1131" i="151"/>
  <c r="T1133" i="151"/>
  <c r="S1146" i="151"/>
  <c r="S1178" i="151"/>
  <c r="T1274" i="151"/>
  <c r="U1280" i="151"/>
  <c r="S839" i="151"/>
  <c r="S853" i="151"/>
  <c r="T896" i="151"/>
  <c r="T947" i="151"/>
  <c r="T949" i="151"/>
  <c r="S991" i="151"/>
  <c r="S1003" i="151"/>
  <c r="S1012" i="151"/>
  <c r="S1058" i="151"/>
  <c r="S1073" i="151"/>
  <c r="S1090" i="151"/>
  <c r="T1105" i="151"/>
  <c r="T1117" i="151"/>
  <c r="T1131" i="151"/>
  <c r="U1133" i="151"/>
  <c r="S1136" i="151"/>
  <c r="T1146" i="151"/>
  <c r="T1178" i="151"/>
  <c r="S1185" i="151"/>
  <c r="S1195" i="151"/>
  <c r="T1241" i="151"/>
  <c r="U1274" i="151"/>
  <c r="S1308" i="151"/>
  <c r="S1328" i="151"/>
  <c r="T774" i="151"/>
  <c r="S807" i="151"/>
  <c r="T889" i="151"/>
  <c r="U896" i="151"/>
  <c r="T920" i="151"/>
  <c r="S937" i="151"/>
  <c r="U949" i="151"/>
  <c r="S977" i="151"/>
  <c r="S1076" i="151"/>
  <c r="U1090" i="151"/>
  <c r="S1093" i="151"/>
  <c r="T1110" i="151"/>
  <c r="U1117" i="151"/>
  <c r="S1139" i="151"/>
  <c r="T1195" i="151"/>
  <c r="S1216" i="151"/>
  <c r="U1241" i="151"/>
  <c r="T1288" i="151"/>
  <c r="T1302" i="151"/>
  <c r="U1308" i="151"/>
  <c r="S26" i="44"/>
  <c r="T26" i="44"/>
  <c r="S25" i="44"/>
  <c r="T25" i="44"/>
  <c r="X1329" i="151"/>
  <c r="U326" i="151"/>
  <c r="S326" i="151"/>
  <c r="T326" i="151"/>
  <c r="U356" i="151"/>
  <c r="T356" i="151"/>
  <c r="S356" i="151"/>
  <c r="U1050" i="151"/>
  <c r="T1050" i="151"/>
  <c r="S1050" i="151"/>
  <c r="S72" i="151"/>
  <c r="U72" i="151"/>
  <c r="T72" i="151"/>
  <c r="U25" i="151"/>
  <c r="T25" i="151"/>
  <c r="S25" i="151"/>
  <c r="U431" i="151"/>
  <c r="S431" i="151"/>
  <c r="T431" i="151"/>
  <c r="U223" i="151"/>
  <c r="S223" i="151"/>
  <c r="T223" i="151"/>
  <c r="S123" i="151"/>
  <c r="U123" i="151"/>
  <c r="T123" i="151"/>
  <c r="U9" i="151"/>
  <c r="T9" i="151"/>
  <c r="S9" i="151"/>
  <c r="U125" i="151"/>
  <c r="S125" i="151"/>
  <c r="T125" i="151"/>
  <c r="S497" i="151"/>
  <c r="U497" i="151"/>
  <c r="T497" i="151"/>
  <c r="W1329" i="151"/>
  <c r="S78" i="151"/>
  <c r="U78" i="151"/>
  <c r="T78" i="151"/>
  <c r="S170" i="151"/>
  <c r="U170" i="151"/>
  <c r="T170" i="151"/>
  <c r="S238" i="151"/>
  <c r="U238" i="151"/>
  <c r="T238" i="151"/>
  <c r="U429" i="151"/>
  <c r="S429" i="151"/>
  <c r="T429" i="151"/>
  <c r="S23" i="151"/>
  <c r="U23" i="151"/>
  <c r="T23" i="151"/>
  <c r="U70" i="151"/>
  <c r="T70" i="151"/>
  <c r="S70" i="151"/>
  <c r="U380" i="151"/>
  <c r="T380" i="151"/>
  <c r="S380" i="151"/>
  <c r="U76" i="151"/>
  <c r="S76" i="151"/>
  <c r="T76" i="151"/>
  <c r="U29" i="151"/>
  <c r="S29" i="151"/>
  <c r="T29" i="151"/>
  <c r="U322" i="151"/>
  <c r="S322" i="151"/>
  <c r="T322" i="151"/>
  <c r="U420" i="151"/>
  <c r="T420" i="151"/>
  <c r="S420" i="151"/>
  <c r="U174" i="151"/>
  <c r="S174" i="151"/>
  <c r="T174" i="151"/>
  <c r="S249" i="151"/>
  <c r="T249" i="151"/>
  <c r="U249" i="151"/>
  <c r="T703" i="151"/>
  <c r="S703" i="151"/>
  <c r="U703" i="151"/>
  <c r="U11" i="151"/>
  <c r="T11" i="151"/>
  <c r="S11" i="151"/>
  <c r="U21" i="151"/>
  <c r="T21" i="151"/>
  <c r="S21" i="151"/>
  <c r="S74" i="151"/>
  <c r="U74" i="151"/>
  <c r="T74" i="151"/>
  <c r="S219" i="151"/>
  <c r="U219" i="151"/>
  <c r="T219" i="151"/>
  <c r="S172" i="151"/>
  <c r="U172" i="151"/>
  <c r="T172" i="151"/>
  <c r="U288" i="151"/>
  <c r="T288" i="151"/>
  <c r="S288" i="151"/>
  <c r="U436" i="151"/>
  <c r="T436" i="151"/>
  <c r="S436" i="151"/>
  <c r="U1096" i="151"/>
  <c r="T1096" i="151"/>
  <c r="S1096" i="151"/>
  <c r="S221" i="151"/>
  <c r="U221" i="151"/>
  <c r="T221" i="151"/>
  <c r="S121" i="151"/>
  <c r="U121" i="151"/>
  <c r="T121" i="151"/>
  <c r="U27" i="151"/>
  <c r="S27" i="151"/>
  <c r="T27" i="151"/>
  <c r="U217" i="151"/>
  <c r="U43" i="151"/>
  <c r="S43" i="151"/>
  <c r="T43" i="151"/>
  <c r="U92" i="151"/>
  <c r="S92" i="151"/>
  <c r="T92" i="151"/>
  <c r="U141" i="151"/>
  <c r="S141" i="151"/>
  <c r="T141" i="151"/>
  <c r="S190" i="151"/>
  <c r="U190" i="151"/>
  <c r="T190" i="151"/>
  <c r="U253" i="151"/>
  <c r="T253" i="151"/>
  <c r="S253" i="151"/>
  <c r="U317" i="151"/>
  <c r="T317" i="151"/>
  <c r="S317" i="151"/>
  <c r="U332" i="151"/>
  <c r="T332" i="151"/>
  <c r="U415" i="151"/>
  <c r="S415" i="151"/>
  <c r="U669" i="151"/>
  <c r="T669" i="151"/>
  <c r="S669" i="151"/>
  <c r="U674" i="151"/>
  <c r="T674" i="151"/>
  <c r="S674" i="151"/>
  <c r="U15" i="151"/>
  <c r="S15" i="151"/>
  <c r="T15" i="151"/>
  <c r="S64" i="151"/>
  <c r="U64" i="151"/>
  <c r="T64" i="151"/>
  <c r="U113" i="151"/>
  <c r="S113" i="151"/>
  <c r="T113" i="151"/>
  <c r="S119" i="151"/>
  <c r="U162" i="151"/>
  <c r="S162" i="151"/>
  <c r="T162" i="151"/>
  <c r="S168" i="151"/>
  <c r="U211" i="151"/>
  <c r="T211" i="151"/>
  <c r="S211" i="151"/>
  <c r="S217" i="151"/>
  <c r="S247" i="151"/>
  <c r="S273" i="151"/>
  <c r="T284" i="151"/>
  <c r="U295" i="151"/>
  <c r="T295" i="151"/>
  <c r="S295" i="151"/>
  <c r="U304" i="151"/>
  <c r="T304" i="151"/>
  <c r="S304" i="151"/>
  <c r="S311" i="151"/>
  <c r="T324" i="151"/>
  <c r="S425" i="151"/>
  <c r="U518" i="151"/>
  <c r="T518" i="151"/>
  <c r="U581" i="151"/>
  <c r="T581" i="151"/>
  <c r="S581" i="151"/>
  <c r="U588" i="151"/>
  <c r="T588" i="151"/>
  <c r="S588" i="151"/>
  <c r="U623" i="151"/>
  <c r="T623" i="151"/>
  <c r="S623" i="151"/>
  <c r="T799" i="151"/>
  <c r="S799" i="151"/>
  <c r="T1048" i="151"/>
  <c r="U1048" i="151"/>
  <c r="S1048" i="151"/>
  <c r="T1074" i="151"/>
  <c r="S1074" i="151"/>
  <c r="U1074" i="151"/>
  <c r="S7" i="151"/>
  <c r="S13" i="151"/>
  <c r="S58" i="151"/>
  <c r="S60" i="151"/>
  <c r="S62" i="151"/>
  <c r="S107" i="151"/>
  <c r="S109" i="151"/>
  <c r="S111" i="151"/>
  <c r="T119" i="151"/>
  <c r="S156" i="151"/>
  <c r="S158" i="151"/>
  <c r="S160" i="151"/>
  <c r="T168" i="151"/>
  <c r="S205" i="151"/>
  <c r="S207" i="151"/>
  <c r="S209" i="151"/>
  <c r="U232" i="151"/>
  <c r="T232" i="151"/>
  <c r="S232" i="151"/>
  <c r="T247" i="151"/>
  <c r="T273" i="151"/>
  <c r="S282" i="151"/>
  <c r="U284" i="151"/>
  <c r="T311" i="151"/>
  <c r="S320" i="151"/>
  <c r="U324" i="151"/>
  <c r="U359" i="151"/>
  <c r="T359" i="151"/>
  <c r="S359" i="151"/>
  <c r="U376" i="151"/>
  <c r="T376" i="151"/>
  <c r="S387" i="151"/>
  <c r="T411" i="151"/>
  <c r="T425" i="151"/>
  <c r="U513" i="151"/>
  <c r="T513" i="151"/>
  <c r="U538" i="151"/>
  <c r="T538" i="151"/>
  <c r="U701" i="151"/>
  <c r="T701" i="151"/>
  <c r="S701" i="151"/>
  <c r="S795" i="151"/>
  <c r="T795" i="151"/>
  <c r="T847" i="151"/>
  <c r="S847" i="151"/>
  <c r="U847" i="151"/>
  <c r="S176" i="151"/>
  <c r="U176" i="151"/>
  <c r="T176" i="151"/>
  <c r="U544" i="151"/>
  <c r="T544" i="151"/>
  <c r="U835" i="151"/>
  <c r="S835" i="151"/>
  <c r="U434" i="151"/>
  <c r="T434" i="151"/>
  <c r="U481" i="151"/>
  <c r="T481" i="151"/>
  <c r="S481" i="151"/>
  <c r="U524" i="151"/>
  <c r="T524" i="151"/>
  <c r="S524" i="151"/>
  <c r="U560" i="151"/>
  <c r="T560" i="151"/>
  <c r="S560" i="151"/>
  <c r="U595" i="151"/>
  <c r="T595" i="151"/>
  <c r="S595" i="151"/>
  <c r="U733" i="151"/>
  <c r="T733" i="151"/>
  <c r="S733" i="151"/>
  <c r="T58" i="151"/>
  <c r="T111" i="151"/>
  <c r="T156" i="151"/>
  <c r="T207" i="151"/>
  <c r="T307" i="151"/>
  <c r="S307" i="151"/>
  <c r="U307" i="151"/>
  <c r="U357" i="151"/>
  <c r="T357" i="151"/>
  <c r="U387" i="151"/>
  <c r="U411" i="151"/>
  <c r="U572" i="151"/>
  <c r="T572" i="151"/>
  <c r="U607" i="151"/>
  <c r="T607" i="151"/>
  <c r="S641" i="151"/>
  <c r="U641" i="151"/>
  <c r="T641" i="151"/>
  <c r="U7" i="151"/>
  <c r="S44" i="151"/>
  <c r="S46" i="151"/>
  <c r="T56" i="151"/>
  <c r="U60" i="151"/>
  <c r="S93" i="151"/>
  <c r="S95" i="151"/>
  <c r="S97" i="151"/>
  <c r="T105" i="151"/>
  <c r="U107" i="151"/>
  <c r="U109" i="151"/>
  <c r="S142" i="151"/>
  <c r="S144" i="151"/>
  <c r="S146" i="151"/>
  <c r="T154" i="151"/>
  <c r="U158" i="151"/>
  <c r="S191" i="151"/>
  <c r="S193" i="151"/>
  <c r="S195" i="151"/>
  <c r="T203" i="151"/>
  <c r="U205" i="151"/>
  <c r="T245" i="151"/>
  <c r="S254" i="151"/>
  <c r="U256" i="151"/>
  <c r="S280" i="151"/>
  <c r="T291" i="151"/>
  <c r="U302" i="151"/>
  <c r="T302" i="151"/>
  <c r="S302" i="151"/>
  <c r="S376" i="151"/>
  <c r="T383" i="151"/>
  <c r="U432" i="151"/>
  <c r="T432" i="151"/>
  <c r="S432" i="151"/>
  <c r="S448" i="151"/>
  <c r="S513" i="151"/>
  <c r="S538" i="151"/>
  <c r="U547" i="151"/>
  <c r="U579" i="151"/>
  <c r="T579" i="151"/>
  <c r="U586" i="151"/>
  <c r="T586" i="151"/>
  <c r="S586" i="151"/>
  <c r="U614" i="151"/>
  <c r="T614" i="151"/>
  <c r="U621" i="151"/>
  <c r="T621" i="151"/>
  <c r="U628" i="151"/>
  <c r="T628" i="151"/>
  <c r="S628" i="151"/>
  <c r="U694" i="151"/>
  <c r="S694" i="151"/>
  <c r="T694" i="151"/>
  <c r="U795" i="151"/>
  <c r="U1072" i="151"/>
  <c r="T1072" i="151"/>
  <c r="S1072" i="151"/>
  <c r="T320" i="151"/>
  <c r="S48" i="151"/>
  <c r="U36" i="151"/>
  <c r="S36" i="151"/>
  <c r="T36" i="151"/>
  <c r="S42" i="151"/>
  <c r="T44" i="151"/>
  <c r="T46" i="151"/>
  <c r="T48" i="151"/>
  <c r="S85" i="151"/>
  <c r="U85" i="151"/>
  <c r="T85" i="151"/>
  <c r="S91" i="151"/>
  <c r="T93" i="151"/>
  <c r="T95" i="151"/>
  <c r="T97" i="151"/>
  <c r="U134" i="151"/>
  <c r="S134" i="151"/>
  <c r="T134" i="151"/>
  <c r="S140" i="151"/>
  <c r="T142" i="151"/>
  <c r="T144" i="151"/>
  <c r="T146" i="151"/>
  <c r="U183" i="151"/>
  <c r="S183" i="151"/>
  <c r="T183" i="151"/>
  <c r="S189" i="151"/>
  <c r="T191" i="151"/>
  <c r="T193" i="151"/>
  <c r="T195" i="151"/>
  <c r="T228" i="151"/>
  <c r="U239" i="151"/>
  <c r="T239" i="151"/>
  <c r="S239" i="151"/>
  <c r="T254" i="151"/>
  <c r="T280" i="151"/>
  <c r="S289" i="151"/>
  <c r="U291" i="151"/>
  <c r="U305" i="151"/>
  <c r="T305" i="151"/>
  <c r="T314" i="151"/>
  <c r="S314" i="151"/>
  <c r="U336" i="151"/>
  <c r="T336" i="151"/>
  <c r="S336" i="151"/>
  <c r="S357" i="151"/>
  <c r="S364" i="151"/>
  <c r="T448" i="151"/>
  <c r="U487" i="151"/>
  <c r="S487" i="151"/>
  <c r="T487" i="151"/>
  <c r="S511" i="151"/>
  <c r="U525" i="151"/>
  <c r="T525" i="151"/>
  <c r="S525" i="151"/>
  <c r="U545" i="151"/>
  <c r="T545" i="151"/>
  <c r="S545" i="151"/>
  <c r="S554" i="151"/>
  <c r="U554" i="151"/>
  <c r="T554" i="151"/>
  <c r="S568" i="151"/>
  <c r="U568" i="151"/>
  <c r="S572" i="151"/>
  <c r="S582" i="151"/>
  <c r="U582" i="151"/>
  <c r="T582" i="151"/>
  <c r="S603" i="151"/>
  <c r="U603" i="151"/>
  <c r="S607" i="151"/>
  <c r="S617" i="151"/>
  <c r="U617" i="151"/>
  <c r="U779" i="151"/>
  <c r="S779" i="151"/>
  <c r="T779" i="151"/>
  <c r="U821" i="151"/>
  <c r="T821" i="151"/>
  <c r="S821" i="151"/>
  <c r="S127" i="151"/>
  <c r="U127" i="151"/>
  <c r="T127" i="151"/>
  <c r="U616" i="151"/>
  <c r="T616" i="151"/>
  <c r="S616" i="151"/>
  <c r="T62" i="151"/>
  <c r="S99" i="151"/>
  <c r="U99" i="151"/>
  <c r="T99" i="151"/>
  <c r="S197" i="151"/>
  <c r="U197" i="151"/>
  <c r="T197" i="151"/>
  <c r="T209" i="151"/>
  <c r="U267" i="151"/>
  <c r="T267" i="151"/>
  <c r="S267" i="151"/>
  <c r="T282" i="151"/>
  <c r="T42" i="151"/>
  <c r="T140" i="151"/>
  <c r="T189" i="151"/>
  <c r="U274" i="151"/>
  <c r="T274" i="151"/>
  <c r="S274" i="151"/>
  <c r="T289" i="151"/>
  <c r="T364" i="151"/>
  <c r="U516" i="151"/>
  <c r="T516" i="151"/>
  <c r="S516" i="151"/>
  <c r="S624" i="151"/>
  <c r="U624" i="151"/>
  <c r="T624" i="151"/>
  <c r="U676" i="151"/>
  <c r="T676" i="151"/>
  <c r="S676" i="151"/>
  <c r="S28" i="151"/>
  <c r="T32" i="151"/>
  <c r="U71" i="151"/>
  <c r="S71" i="151"/>
  <c r="T71" i="151"/>
  <c r="T79" i="151"/>
  <c r="T81" i="151"/>
  <c r="T83" i="151"/>
  <c r="U91" i="151"/>
  <c r="S120" i="151"/>
  <c r="U120" i="151"/>
  <c r="T120" i="151"/>
  <c r="S126" i="151"/>
  <c r="T128" i="151"/>
  <c r="T130" i="151"/>
  <c r="T132" i="151"/>
  <c r="U169" i="151"/>
  <c r="T169" i="151"/>
  <c r="S169" i="151"/>
  <c r="S175" i="151"/>
  <c r="T177" i="151"/>
  <c r="T179" i="151"/>
  <c r="T181" i="151"/>
  <c r="U218" i="151"/>
  <c r="T218" i="151"/>
  <c r="S218" i="151"/>
  <c r="S224" i="151"/>
  <c r="T226" i="151"/>
  <c r="T252" i="151"/>
  <c r="S261" i="151"/>
  <c r="U263" i="151"/>
  <c r="S287" i="151"/>
  <c r="T298" i="151"/>
  <c r="S305" i="151"/>
  <c r="U314" i="151"/>
  <c r="T331" i="151"/>
  <c r="U355" i="151"/>
  <c r="T355" i="151"/>
  <c r="S355" i="151"/>
  <c r="S362" i="151"/>
  <c r="U366" i="151"/>
  <c r="T368" i="151"/>
  <c r="U464" i="151"/>
  <c r="S464" i="151"/>
  <c r="S509" i="151"/>
  <c r="T568" i="151"/>
  <c r="U575" i="151"/>
  <c r="T603" i="151"/>
  <c r="U610" i="151"/>
  <c r="T617" i="151"/>
  <c r="U660" i="151"/>
  <c r="T660" i="151"/>
  <c r="S660" i="151"/>
  <c r="U673" i="151"/>
  <c r="S673" i="151"/>
  <c r="T673" i="151"/>
  <c r="S697" i="151"/>
  <c r="U697" i="151"/>
  <c r="T697" i="151"/>
  <c r="U800" i="151"/>
  <c r="T800" i="151"/>
  <c r="S800" i="151"/>
  <c r="U225" i="151"/>
  <c r="T225" i="151"/>
  <c r="S225" i="151"/>
  <c r="U391" i="151"/>
  <c r="T391" i="151"/>
  <c r="S391" i="151"/>
  <c r="U260" i="151"/>
  <c r="S260" i="151"/>
  <c r="T260" i="151"/>
  <c r="T335" i="151"/>
  <c r="S335" i="151"/>
  <c r="U389" i="151"/>
  <c r="S389" i="151"/>
  <c r="U515" i="151"/>
  <c r="S515" i="151"/>
  <c r="U553" i="151"/>
  <c r="T553" i="151"/>
  <c r="S553" i="151"/>
  <c r="T13" i="151"/>
  <c r="U50" i="151"/>
  <c r="S50" i="151"/>
  <c r="T50" i="151"/>
  <c r="T160" i="151"/>
  <c r="U228" i="151"/>
  <c r="U466" i="151"/>
  <c r="S466" i="151"/>
  <c r="T466" i="151"/>
  <c r="T511" i="151"/>
  <c r="L1329" i="151"/>
  <c r="U22" i="151"/>
  <c r="S22" i="151"/>
  <c r="T22" i="151"/>
  <c r="T30" i="151"/>
  <c r="T34" i="151"/>
  <c r="S77" i="151"/>
  <c r="N1329" i="151"/>
  <c r="U8" i="151"/>
  <c r="S8" i="151"/>
  <c r="T8" i="151"/>
  <c r="S16" i="151"/>
  <c r="S18" i="151"/>
  <c r="S20" i="151"/>
  <c r="T28" i="151"/>
  <c r="S65" i="151"/>
  <c r="S67" i="151"/>
  <c r="S69" i="151"/>
  <c r="T77" i="151"/>
  <c r="S114" i="151"/>
  <c r="S116" i="151"/>
  <c r="S118" i="151"/>
  <c r="T126" i="151"/>
  <c r="S163" i="151"/>
  <c r="S165" i="151"/>
  <c r="S167" i="151"/>
  <c r="T175" i="151"/>
  <c r="S212" i="151"/>
  <c r="S214" i="151"/>
  <c r="S216" i="151"/>
  <c r="T224" i="151"/>
  <c r="T235" i="151"/>
  <c r="U246" i="151"/>
  <c r="T246" i="151"/>
  <c r="S246" i="151"/>
  <c r="T261" i="151"/>
  <c r="T287" i="151"/>
  <c r="S296" i="151"/>
  <c r="U298" i="151"/>
  <c r="S343" i="151"/>
  <c r="U349" i="151"/>
  <c r="T349" i="151"/>
  <c r="S349" i="151"/>
  <c r="U362" i="151"/>
  <c r="S399" i="151"/>
  <c r="U469" i="151"/>
  <c r="T469" i="151"/>
  <c r="S469" i="151"/>
  <c r="U480" i="151"/>
  <c r="S480" i="151"/>
  <c r="U485" i="151"/>
  <c r="T485" i="151"/>
  <c r="S485" i="151"/>
  <c r="U509" i="151"/>
  <c r="U530" i="151"/>
  <c r="T530" i="151"/>
  <c r="U573" i="151"/>
  <c r="T573" i="151"/>
  <c r="S573" i="151"/>
  <c r="U594" i="151"/>
  <c r="T594" i="151"/>
  <c r="U608" i="151"/>
  <c r="T608" i="151"/>
  <c r="S608" i="151"/>
  <c r="T891" i="151"/>
  <c r="S891" i="151"/>
  <c r="U891" i="151"/>
  <c r="T16" i="151"/>
  <c r="T18" i="151"/>
  <c r="T20" i="151"/>
  <c r="S57" i="151"/>
  <c r="U57" i="151"/>
  <c r="T57" i="151"/>
  <c r="S63" i="151"/>
  <c r="T65" i="151"/>
  <c r="T67" i="151"/>
  <c r="T69" i="151"/>
  <c r="S106" i="151"/>
  <c r="U106" i="151"/>
  <c r="T106" i="151"/>
  <c r="S112" i="151"/>
  <c r="T114" i="151"/>
  <c r="T116" i="151"/>
  <c r="T118" i="151"/>
  <c r="S155" i="151"/>
  <c r="U155" i="151"/>
  <c r="T155" i="151"/>
  <c r="S161" i="151"/>
  <c r="T163" i="151"/>
  <c r="T165" i="151"/>
  <c r="T167" i="151"/>
  <c r="U204" i="151"/>
  <c r="S204" i="151"/>
  <c r="T204" i="151"/>
  <c r="S210" i="151"/>
  <c r="T212" i="151"/>
  <c r="T214" i="151"/>
  <c r="T216" i="151"/>
  <c r="S233" i="151"/>
  <c r="U235" i="151"/>
  <c r="S259" i="151"/>
  <c r="T270" i="151"/>
  <c r="U281" i="151"/>
  <c r="T281" i="151"/>
  <c r="S281" i="151"/>
  <c r="T296" i="151"/>
  <c r="U319" i="151"/>
  <c r="T319" i="151"/>
  <c r="S319" i="151"/>
  <c r="U334" i="151"/>
  <c r="T334" i="151"/>
  <c r="S334" i="151"/>
  <c r="U343" i="151"/>
  <c r="S345" i="151"/>
  <c r="T399" i="151"/>
  <c r="U438" i="151"/>
  <c r="S438" i="151"/>
  <c r="T438" i="151"/>
  <c r="S462" i="151"/>
  <c r="T464" i="151"/>
  <c r="U559" i="151"/>
  <c r="T559" i="151"/>
  <c r="U879" i="151"/>
  <c r="T879" i="151"/>
  <c r="S879" i="151"/>
  <c r="U901" i="151"/>
  <c r="S901" i="151"/>
  <c r="T901" i="151"/>
  <c r="S148" i="151"/>
  <c r="U148" i="151"/>
  <c r="T148" i="151"/>
  <c r="T233" i="151"/>
  <c r="S268" i="151"/>
  <c r="U270" i="151"/>
  <c r="U382" i="151"/>
  <c r="T382" i="151"/>
  <c r="S382" i="151"/>
  <c r="U417" i="151"/>
  <c r="S417" i="151"/>
  <c r="T417" i="151"/>
  <c r="U462" i="151"/>
  <c r="S478" i="151"/>
  <c r="T480" i="151"/>
  <c r="U483" i="151"/>
  <c r="T483" i="151"/>
  <c r="U520" i="151"/>
  <c r="T520" i="151"/>
  <c r="S526" i="151"/>
  <c r="U526" i="151"/>
  <c r="S530" i="151"/>
  <c r="S594" i="151"/>
  <c r="S732" i="151"/>
  <c r="U732" i="151"/>
  <c r="T732" i="151"/>
  <c r="U737" i="151"/>
  <c r="S737" i="151"/>
  <c r="T737" i="151"/>
  <c r="T867" i="151"/>
  <c r="U867" i="151"/>
  <c r="S867" i="151"/>
  <c r="T328" i="151"/>
  <c r="S328" i="151"/>
  <c r="U370" i="151"/>
  <c r="T370" i="151"/>
  <c r="S370" i="151"/>
  <c r="U403" i="151"/>
  <c r="S403" i="151"/>
  <c r="U452" i="151"/>
  <c r="S452" i="151"/>
  <c r="U501" i="151"/>
  <c r="S501" i="151"/>
  <c r="U532" i="151"/>
  <c r="T532" i="151"/>
  <c r="S532" i="151"/>
  <c r="U551" i="151"/>
  <c r="T551" i="151"/>
  <c r="U566" i="151"/>
  <c r="T566" i="151"/>
  <c r="U601" i="151"/>
  <c r="T601" i="151"/>
  <c r="U692" i="151"/>
  <c r="S692" i="151"/>
  <c r="T742" i="151"/>
  <c r="U742" i="151"/>
  <c r="U754" i="151"/>
  <c r="S754" i="151"/>
  <c r="T754" i="151"/>
  <c r="U765" i="151"/>
  <c r="S765" i="151"/>
  <c r="U793" i="151"/>
  <c r="S793" i="151"/>
  <c r="T793" i="151"/>
  <c r="U845" i="151"/>
  <c r="T845" i="151"/>
  <c r="S861" i="151"/>
  <c r="T861" i="151"/>
  <c r="U868" i="151"/>
  <c r="S868" i="151"/>
  <c r="U946" i="151"/>
  <c r="S946" i="151"/>
  <c r="T946" i="151"/>
  <c r="U1306" i="151"/>
  <c r="T1306" i="151"/>
  <c r="S1306" i="151"/>
  <c r="U671" i="151"/>
  <c r="T671" i="151"/>
  <c r="S671" i="151"/>
  <c r="U833" i="151"/>
  <c r="T833" i="151"/>
  <c r="S833" i="151"/>
  <c r="U906" i="151"/>
  <c r="T906" i="151"/>
  <c r="S906" i="151"/>
  <c r="U914" i="151"/>
  <c r="T914" i="151"/>
  <c r="S914" i="151"/>
  <c r="U939" i="151"/>
  <c r="S939" i="151"/>
  <c r="T939" i="151"/>
  <c r="U1035" i="151"/>
  <c r="T1035" i="151"/>
  <c r="S1035" i="151"/>
  <c r="T1091" i="151"/>
  <c r="S1091" i="151"/>
  <c r="U1091" i="151"/>
  <c r="U1303" i="151"/>
  <c r="T1303" i="151"/>
  <c r="S1303" i="151"/>
  <c r="T321" i="151"/>
  <c r="S321" i="151"/>
  <c r="U384" i="151"/>
  <c r="T384" i="151"/>
  <c r="S384" i="151"/>
  <c r="U424" i="151"/>
  <c r="S424" i="151"/>
  <c r="U473" i="151"/>
  <c r="S473" i="151"/>
  <c r="U539" i="151"/>
  <c r="T539" i="151"/>
  <c r="S539" i="151"/>
  <c r="U558" i="151"/>
  <c r="T558" i="151"/>
  <c r="U615" i="151"/>
  <c r="T615" i="151"/>
  <c r="U690" i="151"/>
  <c r="T752" i="151"/>
  <c r="U752" i="151"/>
  <c r="S752" i="151"/>
  <c r="U763" i="151"/>
  <c r="T763" i="151"/>
  <c r="S763" i="151"/>
  <c r="T780" i="151"/>
  <c r="U780" i="151"/>
  <c r="U819" i="151"/>
  <c r="S819" i="151"/>
  <c r="T848" i="151"/>
  <c r="S848" i="151"/>
  <c r="U885" i="151"/>
  <c r="S885" i="151"/>
  <c r="U1168" i="151"/>
  <c r="T1168" i="151"/>
  <c r="S1168" i="151"/>
  <c r="U363" i="151"/>
  <c r="T363" i="151"/>
  <c r="S363" i="151"/>
  <c r="U537" i="151"/>
  <c r="T537" i="151"/>
  <c r="U580" i="151"/>
  <c r="T580" i="151"/>
  <c r="U631" i="151"/>
  <c r="S631" i="151"/>
  <c r="T631" i="151"/>
  <c r="T639" i="151"/>
  <c r="S639" i="151"/>
  <c r="U667" i="151"/>
  <c r="T667" i="151"/>
  <c r="S761" i="151"/>
  <c r="T766" i="151"/>
  <c r="S766" i="151"/>
  <c r="T789" i="151"/>
  <c r="S789" i="151"/>
  <c r="U810" i="151"/>
  <c r="T810" i="151"/>
  <c r="S810" i="151"/>
  <c r="U834" i="151"/>
  <c r="T834" i="151"/>
  <c r="U940" i="151"/>
  <c r="T940" i="151"/>
  <c r="T970" i="151"/>
  <c r="S970" i="151"/>
  <c r="U970" i="151"/>
  <c r="U1092" i="151"/>
  <c r="T1092" i="151"/>
  <c r="S1092" i="151"/>
  <c r="U1257" i="151"/>
  <c r="S1257" i="151"/>
  <c r="U1268" i="151"/>
  <c r="T1268" i="151"/>
  <c r="S1268" i="151"/>
  <c r="U1301" i="151"/>
  <c r="T1301" i="151"/>
  <c r="S1301" i="151"/>
  <c r="U909" i="151"/>
  <c r="T909" i="151"/>
  <c r="U1002" i="151"/>
  <c r="S1002" i="151"/>
  <c r="T1002" i="151"/>
  <c r="S17" i="151"/>
  <c r="S24" i="151"/>
  <c r="S38" i="151"/>
  <c r="S45" i="151"/>
  <c r="S66" i="151"/>
  <c r="S73" i="151"/>
  <c r="S80" i="151"/>
  <c r="S87" i="151"/>
  <c r="S94" i="151"/>
  <c r="S101" i="151"/>
  <c r="S108" i="151"/>
  <c r="S115" i="151"/>
  <c r="S122" i="151"/>
  <c r="S129" i="151"/>
  <c r="S136" i="151"/>
  <c r="S143" i="151"/>
  <c r="S150" i="151"/>
  <c r="S157" i="151"/>
  <c r="S164" i="151"/>
  <c r="S171" i="151"/>
  <c r="S178" i="151"/>
  <c r="S185" i="151"/>
  <c r="S192" i="151"/>
  <c r="S199" i="151"/>
  <c r="S206" i="151"/>
  <c r="S213" i="151"/>
  <c r="S220" i="151"/>
  <c r="S227" i="151"/>
  <c r="S234" i="151"/>
  <c r="S241" i="151"/>
  <c r="S248" i="151"/>
  <c r="S255" i="151"/>
  <c r="S262" i="151"/>
  <c r="S269" i="151"/>
  <c r="S276" i="151"/>
  <c r="S283" i="151"/>
  <c r="S290" i="151"/>
  <c r="S297" i="151"/>
  <c r="S306" i="151"/>
  <c r="S308" i="151"/>
  <c r="U321" i="151"/>
  <c r="S338" i="151"/>
  <c r="U342" i="151"/>
  <c r="T342" i="151"/>
  <c r="S342" i="151"/>
  <c r="S361" i="151"/>
  <c r="S392" i="151"/>
  <c r="U410" i="151"/>
  <c r="S410" i="151"/>
  <c r="S418" i="151"/>
  <c r="S422" i="151"/>
  <c r="T424" i="151"/>
  <c r="U459" i="151"/>
  <c r="S459" i="151"/>
  <c r="S467" i="151"/>
  <c r="S471" i="151"/>
  <c r="T473" i="151"/>
  <c r="U508" i="151"/>
  <c r="S508" i="151"/>
  <c r="U552" i="151"/>
  <c r="T552" i="151"/>
  <c r="S558" i="151"/>
  <c r="U567" i="151"/>
  <c r="T567" i="151"/>
  <c r="S567" i="151"/>
  <c r="U593" i="151"/>
  <c r="T593" i="151"/>
  <c r="U602" i="151"/>
  <c r="T602" i="151"/>
  <c r="S602" i="151"/>
  <c r="S615" i="151"/>
  <c r="U622" i="151"/>
  <c r="T622" i="151"/>
  <c r="U731" i="151"/>
  <c r="T731" i="151"/>
  <c r="S731" i="151"/>
  <c r="S759" i="151"/>
  <c r="T761" i="151"/>
  <c r="S780" i="151"/>
  <c r="T819" i="151"/>
  <c r="U848" i="151"/>
  <c r="T885" i="151"/>
  <c r="U899" i="151"/>
  <c r="T899" i="151"/>
  <c r="S899" i="151"/>
  <c r="S954" i="151"/>
  <c r="U961" i="151"/>
  <c r="T961" i="151"/>
  <c r="S961" i="151"/>
  <c r="U1031" i="151"/>
  <c r="T1031" i="151"/>
  <c r="S1031" i="151"/>
  <c r="T1095" i="151"/>
  <c r="S1095" i="151"/>
  <c r="U1095" i="151"/>
  <c r="U738" i="151"/>
  <c r="T738" i="151"/>
  <c r="S859" i="151"/>
  <c r="U859" i="151"/>
  <c r="S3" i="151"/>
  <c r="S10" i="151"/>
  <c r="S31" i="151"/>
  <c r="S52" i="151"/>
  <c r="S59" i="151"/>
  <c r="T361" i="151"/>
  <c r="T422" i="151"/>
  <c r="T471" i="151"/>
  <c r="T653" i="151"/>
  <c r="S653" i="151"/>
  <c r="U662" i="151"/>
  <c r="T662" i="151"/>
  <c r="S662" i="151"/>
  <c r="T724" i="151"/>
  <c r="S724" i="151"/>
  <c r="T759" i="151"/>
  <c r="U801" i="151"/>
  <c r="S801" i="151"/>
  <c r="T801" i="151"/>
  <c r="T876" i="151"/>
  <c r="S876" i="151"/>
  <c r="U876" i="151"/>
  <c r="U883" i="151"/>
  <c r="T883" i="151"/>
  <c r="S883" i="151"/>
  <c r="U897" i="151"/>
  <c r="S897" i="151"/>
  <c r="U954" i="151"/>
  <c r="U1141" i="151"/>
  <c r="S1141" i="151"/>
  <c r="T1141" i="151"/>
  <c r="U1262" i="151"/>
  <c r="T1262" i="151"/>
  <c r="S1262" i="151"/>
  <c r="U398" i="151"/>
  <c r="T398" i="151"/>
  <c r="S398" i="151"/>
  <c r="U445" i="151"/>
  <c r="S445" i="151"/>
  <c r="U546" i="151"/>
  <c r="T546" i="151"/>
  <c r="S546" i="151"/>
  <c r="U565" i="151"/>
  <c r="T565" i="151"/>
  <c r="U574" i="151"/>
  <c r="T574" i="151"/>
  <c r="S574" i="151"/>
  <c r="U609" i="151"/>
  <c r="T609" i="151"/>
  <c r="S609" i="151"/>
  <c r="U629" i="151"/>
  <c r="T629" i="151"/>
  <c r="U634" i="151"/>
  <c r="T634" i="151"/>
  <c r="S634" i="151"/>
  <c r="U646" i="151"/>
  <c r="T646" i="151"/>
  <c r="S646" i="151"/>
  <c r="T700" i="151"/>
  <c r="U700" i="151"/>
  <c r="U705" i="151"/>
  <c r="S705" i="151"/>
  <c r="T705" i="151"/>
  <c r="U712" i="151"/>
  <c r="T712" i="151"/>
  <c r="S712" i="151"/>
  <c r="T764" i="151"/>
  <c r="U764" i="151"/>
  <c r="T778" i="151"/>
  <c r="U778" i="151"/>
  <c r="S778" i="151"/>
  <c r="T785" i="151"/>
  <c r="S785" i="151"/>
  <c r="U808" i="151"/>
  <c r="S808" i="151"/>
  <c r="T860" i="151"/>
  <c r="S860" i="151"/>
  <c r="T874" i="151"/>
  <c r="U874" i="151"/>
  <c r="S874" i="151"/>
  <c r="T895" i="151"/>
  <c r="S895" i="151"/>
  <c r="T1005" i="151"/>
  <c r="U1005" i="151"/>
  <c r="S1005" i="151"/>
  <c r="T1081" i="151"/>
  <c r="S1081" i="151"/>
  <c r="U1081" i="151"/>
  <c r="U494" i="151"/>
  <c r="S494" i="151"/>
  <c r="J1331" i="151"/>
  <c r="S312" i="151"/>
  <c r="U377" i="151"/>
  <c r="T377" i="151"/>
  <c r="S377" i="151"/>
  <c r="S396" i="151"/>
  <c r="T408" i="151"/>
  <c r="T457" i="151"/>
  <c r="T506" i="151"/>
  <c r="S522" i="151"/>
  <c r="S531" i="151"/>
  <c r="T561" i="151"/>
  <c r="U587" i="151"/>
  <c r="T587" i="151"/>
  <c r="U589" i="151"/>
  <c r="U600" i="151"/>
  <c r="T600" i="151"/>
  <c r="T637" i="151"/>
  <c r="S637" i="151"/>
  <c r="U653" i="151"/>
  <c r="S698" i="151"/>
  <c r="T717" i="151"/>
  <c r="S717" i="151"/>
  <c r="U724" i="151"/>
  <c r="S739" i="151"/>
  <c r="U739" i="151"/>
  <c r="T739" i="151"/>
  <c r="S753" i="151"/>
  <c r="U753" i="151"/>
  <c r="T753" i="151"/>
  <c r="U842" i="151"/>
  <c r="T842" i="151"/>
  <c r="S842" i="151"/>
  <c r="T872" i="151"/>
  <c r="U872" i="151"/>
  <c r="S872" i="151"/>
  <c r="T881" i="151"/>
  <c r="U881" i="151"/>
  <c r="S881" i="151"/>
  <c r="T893" i="151"/>
  <c r="S893" i="151"/>
  <c r="T897" i="151"/>
  <c r="U1029" i="151"/>
  <c r="S1029" i="151"/>
  <c r="T1029" i="151"/>
  <c r="U1063" i="151"/>
  <c r="T1063" i="151"/>
  <c r="T1088" i="151"/>
  <c r="S1088" i="151"/>
  <c r="U1088" i="151"/>
  <c r="S1228" i="151"/>
  <c r="U1228" i="151"/>
  <c r="T1228" i="151"/>
  <c r="U1238" i="151"/>
  <c r="S1238" i="151"/>
  <c r="T1238" i="151"/>
  <c r="U645" i="151"/>
  <c r="S645" i="151"/>
  <c r="U659" i="151"/>
  <c r="S659" i="151"/>
  <c r="S711" i="151"/>
  <c r="U711" i="151"/>
  <c r="U772" i="151"/>
  <c r="S772" i="151"/>
  <c r="U791" i="151"/>
  <c r="S791" i="151"/>
  <c r="T856" i="151"/>
  <c r="S856" i="151"/>
  <c r="U870" i="151"/>
  <c r="S870" i="151"/>
  <c r="U916" i="151"/>
  <c r="T916" i="151"/>
  <c r="S916" i="151"/>
  <c r="T952" i="151"/>
  <c r="U952" i="151"/>
  <c r="U979" i="151"/>
  <c r="S979" i="151"/>
  <c r="U984" i="151"/>
  <c r="S984" i="151"/>
  <c r="U993" i="151"/>
  <c r="T993" i="151"/>
  <c r="S993" i="151"/>
  <c r="U1007" i="151"/>
  <c r="T1007" i="151"/>
  <c r="U1033" i="151"/>
  <c r="T1033" i="151"/>
  <c r="U1061" i="151"/>
  <c r="T1061" i="151"/>
  <c r="S1061" i="151"/>
  <c r="U1079" i="151"/>
  <c r="S1079" i="151"/>
  <c r="U1098" i="151"/>
  <c r="T1098" i="151"/>
  <c r="S1098" i="151"/>
  <c r="T1103" i="151"/>
  <c r="U1103" i="151"/>
  <c r="S823" i="151"/>
  <c r="U823" i="151"/>
  <c r="T823" i="151"/>
  <c r="U938" i="151"/>
  <c r="T938" i="151"/>
  <c r="S938" i="151"/>
  <c r="T959" i="151"/>
  <c r="S959" i="151"/>
  <c r="U982" i="151"/>
  <c r="T982" i="151"/>
  <c r="S989" i="151"/>
  <c r="U989" i="151"/>
  <c r="T989" i="151"/>
  <c r="U1066" i="151"/>
  <c r="T1066" i="151"/>
  <c r="U1124" i="151"/>
  <c r="T1124" i="151"/>
  <c r="S1124" i="151"/>
  <c r="U1293" i="151"/>
  <c r="T1293" i="151"/>
  <c r="U680" i="151"/>
  <c r="S680" i="151"/>
  <c r="U722" i="151"/>
  <c r="S722" i="151"/>
  <c r="U745" i="151"/>
  <c r="U787" i="151"/>
  <c r="U837" i="151"/>
  <c r="U850" i="151"/>
  <c r="U912" i="151"/>
  <c r="T912" i="151"/>
  <c r="S912" i="151"/>
  <c r="U1017" i="151"/>
  <c r="S1017" i="151"/>
  <c r="U1057" i="151"/>
  <c r="S1057" i="151"/>
  <c r="U1176" i="151"/>
  <c r="S1176" i="151"/>
  <c r="T1176" i="151"/>
  <c r="U1265" i="151"/>
  <c r="T1265" i="151"/>
  <c r="S1265" i="151"/>
  <c r="S405" i="151"/>
  <c r="S412" i="151"/>
  <c r="S419" i="151"/>
  <c r="S426" i="151"/>
  <c r="S433" i="151"/>
  <c r="S440" i="151"/>
  <c r="S447" i="151"/>
  <c r="S454" i="151"/>
  <c r="S461" i="151"/>
  <c r="S468" i="151"/>
  <c r="S475" i="151"/>
  <c r="S482" i="151"/>
  <c r="S489" i="151"/>
  <c r="S496" i="151"/>
  <c r="S503" i="151"/>
  <c r="S510" i="151"/>
  <c r="S517" i="151"/>
  <c r="S519" i="151"/>
  <c r="S521" i="151"/>
  <c r="S523" i="151"/>
  <c r="S630" i="151"/>
  <c r="S632" i="151"/>
  <c r="U638" i="151"/>
  <c r="S638" i="151"/>
  <c r="U666" i="151"/>
  <c r="S666" i="151"/>
  <c r="S678" i="151"/>
  <c r="T680" i="151"/>
  <c r="S718" i="151"/>
  <c r="U718" i="151"/>
  <c r="T722" i="151"/>
  <c r="T735" i="151"/>
  <c r="S735" i="151"/>
  <c r="S809" i="151"/>
  <c r="T809" i="151"/>
  <c r="S831" i="151"/>
  <c r="T892" i="151"/>
  <c r="S892" i="151"/>
  <c r="S905" i="151"/>
  <c r="S907" i="151"/>
  <c r="U967" i="151"/>
  <c r="S967" i="151"/>
  <c r="T967" i="151"/>
  <c r="T1017" i="151"/>
  <c r="T1057" i="151"/>
  <c r="T1067" i="151"/>
  <c r="S1067" i="151"/>
  <c r="U1080" i="151"/>
  <c r="T1080" i="151"/>
  <c r="U1094" i="151"/>
  <c r="T1094" i="151"/>
  <c r="S1094" i="151"/>
  <c r="S1214" i="151"/>
  <c r="U1214" i="151"/>
  <c r="T405" i="151"/>
  <c r="T412" i="151"/>
  <c r="T419" i="151"/>
  <c r="T426" i="151"/>
  <c r="T433" i="151"/>
  <c r="T440" i="151"/>
  <c r="T447" i="151"/>
  <c r="T454" i="151"/>
  <c r="T461" i="151"/>
  <c r="T468" i="151"/>
  <c r="T475" i="151"/>
  <c r="T482" i="151"/>
  <c r="T489" i="151"/>
  <c r="T496" i="151"/>
  <c r="T503" i="151"/>
  <c r="T510" i="151"/>
  <c r="T517" i="151"/>
  <c r="T519" i="151"/>
  <c r="T521" i="151"/>
  <c r="T523" i="151"/>
  <c r="T630" i="151"/>
  <c r="T632" i="151"/>
  <c r="U652" i="151"/>
  <c r="S652" i="151"/>
  <c r="T678" i="151"/>
  <c r="T831" i="151"/>
  <c r="T905" i="151"/>
  <c r="T907" i="151"/>
  <c r="U925" i="151"/>
  <c r="S925" i="151"/>
  <c r="T925" i="151"/>
  <c r="U944" i="151"/>
  <c r="T944" i="151"/>
  <c r="S944" i="151"/>
  <c r="S1055" i="151"/>
  <c r="U1055" i="151"/>
  <c r="T1055" i="151"/>
  <c r="U1075" i="151"/>
  <c r="T1075" i="151"/>
  <c r="S1075" i="151"/>
  <c r="S1207" i="151"/>
  <c r="T1207" i="151"/>
  <c r="U1291" i="151"/>
  <c r="T1291" i="151"/>
  <c r="S1291" i="151"/>
  <c r="T1313" i="151"/>
  <c r="S1313" i="151"/>
  <c r="U1313" i="151"/>
  <c r="U1318" i="151"/>
  <c r="T1318" i="151"/>
  <c r="S1318" i="151"/>
  <c r="S636" i="151"/>
  <c r="T638" i="151"/>
  <c r="S648" i="151"/>
  <c r="S664" i="151"/>
  <c r="T666" i="151"/>
  <c r="S710" i="151"/>
  <c r="S716" i="151"/>
  <c r="T718" i="151"/>
  <c r="S729" i="151"/>
  <c r="U735" i="151"/>
  <c r="S750" i="151"/>
  <c r="S771" i="151"/>
  <c r="S773" i="151"/>
  <c r="U777" i="151"/>
  <c r="T777" i="151"/>
  <c r="S777" i="151"/>
  <c r="S805" i="151"/>
  <c r="U809" i="151"/>
  <c r="U892" i="151"/>
  <c r="U974" i="151"/>
  <c r="S974" i="151"/>
  <c r="T974" i="151"/>
  <c r="U1067" i="151"/>
  <c r="U1070" i="151"/>
  <c r="T1070" i="151"/>
  <c r="S1080" i="151"/>
  <c r="T1214" i="151"/>
  <c r="U1226" i="151"/>
  <c r="T1226" i="151"/>
  <c r="S1226" i="151"/>
  <c r="T636" i="151"/>
  <c r="S650" i="151"/>
  <c r="T652" i="151"/>
  <c r="T664" i="151"/>
  <c r="U687" i="151"/>
  <c r="S687" i="151"/>
  <c r="S714" i="151"/>
  <c r="T716" i="151"/>
  <c r="T750" i="151"/>
  <c r="S775" i="151"/>
  <c r="S786" i="151"/>
  <c r="T786" i="151"/>
  <c r="U805" i="151"/>
  <c r="T836" i="151"/>
  <c r="S836" i="151"/>
  <c r="U918" i="151"/>
  <c r="S918" i="151"/>
  <c r="U942" i="151"/>
  <c r="T942" i="151"/>
  <c r="S942" i="151"/>
  <c r="U1065" i="151"/>
  <c r="S1065" i="151"/>
  <c r="U1205" i="151"/>
  <c r="T1205" i="151"/>
  <c r="S1205" i="151"/>
  <c r="U1207" i="151"/>
  <c r="U849" i="151"/>
  <c r="S849" i="151"/>
  <c r="U911" i="151"/>
  <c r="S911" i="151"/>
  <c r="U960" i="151"/>
  <c r="S960" i="151"/>
  <c r="U988" i="151"/>
  <c r="S988" i="151"/>
  <c r="T988" i="151"/>
  <c r="U1019" i="151"/>
  <c r="T1019" i="151"/>
  <c r="S1019" i="151"/>
  <c r="T1053" i="151"/>
  <c r="U1053" i="151"/>
  <c r="U1126" i="151"/>
  <c r="S1126" i="151"/>
  <c r="U1138" i="151"/>
  <c r="T1138" i="151"/>
  <c r="S1138" i="151"/>
  <c r="U1154" i="151"/>
  <c r="S1154" i="151"/>
  <c r="S1186" i="151"/>
  <c r="U1186" i="151"/>
  <c r="T1186" i="151"/>
  <c r="T1051" i="151"/>
  <c r="U1051" i="151"/>
  <c r="S1051" i="151"/>
  <c r="U1212" i="151"/>
  <c r="T1212" i="151"/>
  <c r="U838" i="151"/>
  <c r="S838" i="151"/>
  <c r="U858" i="151"/>
  <c r="S858" i="151"/>
  <c r="U932" i="151"/>
  <c r="S932" i="151"/>
  <c r="T980" i="151"/>
  <c r="S980" i="151"/>
  <c r="U998" i="151"/>
  <c r="S998" i="151"/>
  <c r="U1068" i="151"/>
  <c r="T1068" i="151"/>
  <c r="S1077" i="151"/>
  <c r="U1086" i="151"/>
  <c r="T1086" i="151"/>
  <c r="S1086" i="151"/>
  <c r="S1212" i="151"/>
  <c r="U1304" i="151"/>
  <c r="T1304" i="151"/>
  <c r="S1304" i="151"/>
  <c r="T1320" i="151"/>
  <c r="S1320" i="151"/>
  <c r="T1327" i="151"/>
  <c r="S1327" i="151"/>
  <c r="U1327" i="151"/>
  <c r="U996" i="151"/>
  <c r="T996" i="151"/>
  <c r="U1045" i="151"/>
  <c r="S1045" i="151"/>
  <c r="T1045" i="151"/>
  <c r="U1059" i="151"/>
  <c r="T1059" i="151"/>
  <c r="U1077" i="151"/>
  <c r="U1084" i="151"/>
  <c r="T1084" i="151"/>
  <c r="U1190" i="151"/>
  <c r="T1190" i="151"/>
  <c r="S1190" i="151"/>
  <c r="S661" i="151"/>
  <c r="S668" i="151"/>
  <c r="S675" i="151"/>
  <c r="S682" i="151"/>
  <c r="S689" i="151"/>
  <c r="S696" i="151"/>
  <c r="S707" i="151"/>
  <c r="S709" i="151"/>
  <c r="S726" i="151"/>
  <c r="S743" i="151"/>
  <c r="S756" i="151"/>
  <c r="S758" i="151"/>
  <c r="S824" i="151"/>
  <c r="T838" i="151"/>
  <c r="S854" i="151"/>
  <c r="T858" i="151"/>
  <c r="S866" i="151"/>
  <c r="U910" i="151"/>
  <c r="T910" i="151"/>
  <c r="S926" i="151"/>
  <c r="T932" i="151"/>
  <c r="U953" i="151"/>
  <c r="S953" i="151"/>
  <c r="S963" i="151"/>
  <c r="S965" i="151"/>
  <c r="U980" i="151"/>
  <c r="T987" i="151"/>
  <c r="T998" i="151"/>
  <c r="S1027" i="151"/>
  <c r="U1052" i="151"/>
  <c r="S1052" i="151"/>
  <c r="S1068" i="151"/>
  <c r="U1109" i="151"/>
  <c r="T1109" i="151"/>
  <c r="S1158" i="151"/>
  <c r="T1158" i="151"/>
  <c r="U1197" i="151"/>
  <c r="T1197" i="151"/>
  <c r="S1197" i="151"/>
  <c r="S1280" i="151"/>
  <c r="T1294" i="151"/>
  <c r="U1294" i="151"/>
  <c r="S1294" i="151"/>
  <c r="U1320" i="151"/>
  <c r="S728" i="151"/>
  <c r="S730" i="151"/>
  <c r="U770" i="151"/>
  <c r="T770" i="151"/>
  <c r="U812" i="151"/>
  <c r="S812" i="151"/>
  <c r="S828" i="151"/>
  <c r="T830" i="151"/>
  <c r="S880" i="151"/>
  <c r="S888" i="151"/>
  <c r="S890" i="151"/>
  <c r="S900" i="151"/>
  <c r="S902" i="151"/>
  <c r="S904" i="151"/>
  <c r="S910" i="151"/>
  <c r="T917" i="151"/>
  <c r="S924" i="151"/>
  <c r="S930" i="151"/>
  <c r="S947" i="151"/>
  <c r="T953" i="151"/>
  <c r="U972" i="151"/>
  <c r="S972" i="151"/>
  <c r="U994" i="151"/>
  <c r="T994" i="151"/>
  <c r="T1011" i="151"/>
  <c r="U1021" i="151"/>
  <c r="T1021" i="151"/>
  <c r="S1023" i="151"/>
  <c r="T1025" i="151"/>
  <c r="T1052" i="151"/>
  <c r="S1071" i="151"/>
  <c r="T1073" i="151"/>
  <c r="S1082" i="151"/>
  <c r="T1093" i="151"/>
  <c r="T1107" i="151"/>
  <c r="U1107" i="151"/>
  <c r="S1109" i="151"/>
  <c r="U1156" i="151"/>
  <c r="T1156" i="151"/>
  <c r="S1156" i="151"/>
  <c r="U1158" i="151"/>
  <c r="S1193" i="151"/>
  <c r="T1193" i="151"/>
  <c r="U1193" i="151"/>
  <c r="U1275" i="151"/>
  <c r="T1275" i="151"/>
  <c r="U1278" i="151"/>
  <c r="T1278" i="151"/>
  <c r="U784" i="151"/>
  <c r="T784" i="151"/>
  <c r="U869" i="151"/>
  <c r="S869" i="151"/>
  <c r="S951" i="151"/>
  <c r="U981" i="151"/>
  <c r="S981" i="151"/>
  <c r="T981" i="151"/>
  <c r="S1078" i="151"/>
  <c r="S1107" i="151"/>
  <c r="U1128" i="151"/>
  <c r="T1128" i="151"/>
  <c r="U1135" i="151"/>
  <c r="T1135" i="151"/>
  <c r="S1135" i="151"/>
  <c r="T1270" i="151"/>
  <c r="S1275" i="151"/>
  <c r="S1278" i="151"/>
  <c r="U1307" i="151"/>
  <c r="T1307" i="151"/>
  <c r="S1307" i="151"/>
  <c r="U1111" i="151"/>
  <c r="S1111" i="151"/>
  <c r="U1170" i="151"/>
  <c r="T1170" i="151"/>
  <c r="U1231" i="151"/>
  <c r="T1231" i="151"/>
  <c r="S1231" i="151"/>
  <c r="U1273" i="151"/>
  <c r="T1273" i="151"/>
  <c r="S1273" i="151"/>
  <c r="U1325" i="151"/>
  <c r="T1325" i="151"/>
  <c r="U986" i="151"/>
  <c r="T986" i="151"/>
  <c r="U1000" i="151"/>
  <c r="T1000" i="151"/>
  <c r="U1043" i="151"/>
  <c r="T1043" i="151"/>
  <c r="S1043" i="151"/>
  <c r="U1211" i="151"/>
  <c r="T1211" i="151"/>
  <c r="S1211" i="151"/>
  <c r="U1232" i="151"/>
  <c r="T1232" i="151"/>
  <c r="S1232" i="151"/>
  <c r="T1314" i="151"/>
  <c r="S1314" i="151"/>
  <c r="T1321" i="151"/>
  <c r="S1321" i="151"/>
  <c r="U1321" i="151"/>
  <c r="S1325" i="151"/>
  <c r="U1015" i="151"/>
  <c r="T1015" i="151"/>
  <c r="U1041" i="151"/>
  <c r="S1041" i="151"/>
  <c r="U1189" i="151"/>
  <c r="T1189" i="151"/>
  <c r="U1239" i="151"/>
  <c r="T1239" i="151"/>
  <c r="S1239" i="151"/>
  <c r="T1258" i="151"/>
  <c r="S1258" i="151"/>
  <c r="U1258" i="151"/>
  <c r="U1263" i="151"/>
  <c r="T1263" i="151"/>
  <c r="S1263" i="151"/>
  <c r="T1266" i="151"/>
  <c r="U1266" i="151"/>
  <c r="S1266" i="151"/>
  <c r="T814" i="151"/>
  <c r="T816" i="151"/>
  <c r="S851" i="151"/>
  <c r="U923" i="151"/>
  <c r="S923" i="151"/>
  <c r="T931" i="151"/>
  <c r="U933" i="151"/>
  <c r="U1013" i="151"/>
  <c r="S1013" i="151"/>
  <c r="S1015" i="151"/>
  <c r="T1041" i="151"/>
  <c r="S1130" i="151"/>
  <c r="U1130" i="151"/>
  <c r="S1137" i="151"/>
  <c r="U1137" i="151"/>
  <c r="T1137" i="151"/>
  <c r="S1189" i="151"/>
  <c r="U1218" i="151"/>
  <c r="T1218" i="151"/>
  <c r="S1218" i="151"/>
  <c r="U1277" i="151"/>
  <c r="T1277" i="151"/>
  <c r="U1287" i="151"/>
  <c r="T1287" i="151"/>
  <c r="S1287" i="151"/>
  <c r="U1290" i="151"/>
  <c r="T1290" i="151"/>
  <c r="S1290" i="151"/>
  <c r="U1155" i="151"/>
  <c r="S1155" i="151"/>
  <c r="U1184" i="151"/>
  <c r="T1184" i="151"/>
  <c r="U1276" i="151"/>
  <c r="T1276" i="151"/>
  <c r="S1276" i="151"/>
  <c r="U1279" i="151"/>
  <c r="T1279" i="151"/>
  <c r="T1102" i="151"/>
  <c r="S1102" i="151"/>
  <c r="U1191" i="151"/>
  <c r="T1191" i="151"/>
  <c r="S1191" i="151"/>
  <c r="T1259" i="151"/>
  <c r="S1259" i="151"/>
  <c r="U1289" i="151"/>
  <c r="T1289" i="151"/>
  <c r="U1292" i="151"/>
  <c r="T1292" i="151"/>
  <c r="S1312" i="151"/>
  <c r="S1100" i="151"/>
  <c r="U1114" i="151"/>
  <c r="T1114" i="151"/>
  <c r="U1149" i="151"/>
  <c r="T1149" i="151"/>
  <c r="T1155" i="151"/>
  <c r="U1305" i="151"/>
  <c r="T1305" i="151"/>
  <c r="S1310" i="151"/>
  <c r="T1312" i="151"/>
  <c r="U995" i="151"/>
  <c r="S995" i="151"/>
  <c r="T1100" i="151"/>
  <c r="U1102" i="151"/>
  <c r="T1116" i="151"/>
  <c r="U1120" i="151"/>
  <c r="U1162" i="151"/>
  <c r="S1162" i="151"/>
  <c r="T1162" i="151"/>
  <c r="S1224" i="151"/>
  <c r="U1259" i="151"/>
  <c r="U1264" i="151"/>
  <c r="T1264" i="151"/>
  <c r="S1289" i="151"/>
  <c r="S1292" i="151"/>
  <c r="U1317" i="151"/>
  <c r="T1317" i="151"/>
  <c r="S1317" i="151"/>
  <c r="U1142" i="151"/>
  <c r="T1142" i="151"/>
  <c r="U1148" i="151"/>
  <c r="S1148" i="151"/>
  <c r="U1233" i="151"/>
  <c r="T1233" i="151"/>
  <c r="U1271" i="151"/>
  <c r="T1271" i="151"/>
  <c r="U1285" i="151"/>
  <c r="T1285" i="151"/>
  <c r="U1299" i="151"/>
  <c r="T1299" i="151"/>
  <c r="T1134" i="151"/>
  <c r="S1140" i="151"/>
  <c r="S1142" i="151"/>
  <c r="T1144" i="151"/>
  <c r="T1148" i="151"/>
  <c r="U1177" i="151"/>
  <c r="T1177" i="151"/>
  <c r="U1183" i="151"/>
  <c r="T1183" i="151"/>
  <c r="S1183" i="151"/>
  <c r="S1210" i="151"/>
  <c r="S1233" i="151"/>
  <c r="T1235" i="151"/>
  <c r="U1256" i="151"/>
  <c r="T1256" i="151"/>
  <c r="U1269" i="151"/>
  <c r="T1269" i="151"/>
  <c r="U1283" i="151"/>
  <c r="T1283" i="151"/>
  <c r="U1297" i="151"/>
  <c r="T1297" i="151"/>
  <c r="U1311" i="151"/>
  <c r="T1311" i="151"/>
  <c r="U1134" i="151"/>
  <c r="U1144" i="151"/>
  <c r="U1198" i="151"/>
  <c r="T1198" i="151"/>
  <c r="U1204" i="151"/>
  <c r="T1204" i="151"/>
  <c r="S1204" i="151"/>
  <c r="U1235" i="151"/>
  <c r="T1319" i="151"/>
  <c r="U1163" i="151"/>
  <c r="T1163" i="151"/>
  <c r="U1169" i="151"/>
  <c r="S1169" i="151"/>
  <c r="U1219" i="151"/>
  <c r="T1219" i="151"/>
  <c r="U1225" i="151"/>
  <c r="T1225" i="151"/>
  <c r="S1225" i="151"/>
  <c r="U1240" i="151"/>
  <c r="T1240" i="151"/>
  <c r="U1267" i="151"/>
  <c r="T1267" i="151"/>
  <c r="U1281" i="151"/>
  <c r="T1281" i="151"/>
  <c r="U1295" i="151"/>
  <c r="T1295" i="151"/>
  <c r="U1309" i="151"/>
  <c r="T1309" i="151"/>
  <c r="U1121" i="151"/>
  <c r="T1121" i="151"/>
  <c r="U1179" i="151"/>
  <c r="S1198" i="151"/>
  <c r="T1200" i="151"/>
  <c r="T1242" i="151"/>
  <c r="U1326" i="151"/>
  <c r="S1326" i="151"/>
  <c r="U1331" i="151" l="1"/>
  <c r="R1331" i="151"/>
  <c r="O1331" i="151"/>
  <c r="W20" i="26" l="1"/>
  <c r="X20" i="26" s="1"/>
  <c r="N20" i="26"/>
  <c r="L20" i="26"/>
  <c r="U20" i="26" s="1"/>
  <c r="J20" i="26"/>
  <c r="W38" i="25"/>
  <c r="X38" i="25" s="1"/>
  <c r="N38" i="25"/>
  <c r="L38" i="25"/>
  <c r="U38" i="25" s="1"/>
  <c r="J38" i="25"/>
  <c r="W37" i="25"/>
  <c r="X37" i="25" s="1"/>
  <c r="N37" i="25"/>
  <c r="L37" i="25"/>
  <c r="U37" i="25" s="1"/>
  <c r="J37" i="25"/>
  <c r="W36" i="25"/>
  <c r="X36" i="25" s="1"/>
  <c r="N36" i="25"/>
  <c r="L36" i="25"/>
  <c r="U36" i="25" s="1"/>
  <c r="J36" i="25"/>
  <c r="W35" i="25"/>
  <c r="X35" i="25" s="1"/>
  <c r="N35" i="25"/>
  <c r="L35" i="25"/>
  <c r="S35" i="25" s="1"/>
  <c r="J35" i="25"/>
  <c r="W31" i="149"/>
  <c r="X31" i="149" s="1"/>
  <c r="N31" i="149"/>
  <c r="L31" i="149"/>
  <c r="S31" i="149" s="1"/>
  <c r="J31" i="149"/>
  <c r="W33" i="149"/>
  <c r="X33" i="149" s="1"/>
  <c r="N33" i="149"/>
  <c r="L33" i="149"/>
  <c r="U33" i="149" s="1"/>
  <c r="J33" i="149"/>
  <c r="W34" i="149"/>
  <c r="X34" i="149" s="1"/>
  <c r="N34" i="149"/>
  <c r="L34" i="149"/>
  <c r="T34" i="149" s="1"/>
  <c r="J34" i="149"/>
  <c r="W49" i="24"/>
  <c r="X49" i="24" s="1"/>
  <c r="N49" i="24"/>
  <c r="L49" i="24"/>
  <c r="U49" i="24" s="1"/>
  <c r="J49" i="24"/>
  <c r="W48" i="24"/>
  <c r="X48" i="24" s="1"/>
  <c r="N48" i="24"/>
  <c r="L48" i="24"/>
  <c r="T48" i="24" s="1"/>
  <c r="J48" i="24"/>
  <c r="W47" i="24"/>
  <c r="X47" i="24" s="1"/>
  <c r="N47" i="24"/>
  <c r="L47" i="24"/>
  <c r="U47" i="24" s="1"/>
  <c r="J47" i="24"/>
  <c r="W46" i="24"/>
  <c r="X46" i="24" s="1"/>
  <c r="N46" i="24"/>
  <c r="L46" i="24"/>
  <c r="S46" i="24" s="1"/>
  <c r="J46" i="24"/>
  <c r="W24" i="22"/>
  <c r="X24" i="22" s="1"/>
  <c r="N24" i="22"/>
  <c r="L24" i="22"/>
  <c r="U24" i="22" s="1"/>
  <c r="J24" i="22"/>
  <c r="W23" i="22"/>
  <c r="X23" i="22" s="1"/>
  <c r="N23" i="22"/>
  <c r="L23" i="22"/>
  <c r="U23" i="22" s="1"/>
  <c r="J23" i="22"/>
  <c r="R11" i="150"/>
  <c r="Q11" i="150"/>
  <c r="O11" i="150"/>
  <c r="M11" i="150"/>
  <c r="K11" i="150"/>
  <c r="I11" i="150"/>
  <c r="H11" i="150"/>
  <c r="E11" i="150"/>
  <c r="W3" i="150"/>
  <c r="X3" i="150" s="1"/>
  <c r="N3" i="150"/>
  <c r="L3" i="150"/>
  <c r="J3" i="150"/>
  <c r="W8" i="150"/>
  <c r="X8" i="150" s="1"/>
  <c r="N8" i="150"/>
  <c r="L8" i="150"/>
  <c r="T8" i="150" s="1"/>
  <c r="J8" i="150"/>
  <c r="W9" i="150"/>
  <c r="X9" i="150" s="1"/>
  <c r="N9" i="150"/>
  <c r="L9" i="150"/>
  <c r="J9" i="150"/>
  <c r="W4" i="150"/>
  <c r="X4" i="150" s="1"/>
  <c r="N4" i="150"/>
  <c r="L4" i="150"/>
  <c r="U4" i="150" s="1"/>
  <c r="J4" i="150"/>
  <c r="W5" i="150"/>
  <c r="X5" i="150" s="1"/>
  <c r="N5" i="150"/>
  <c r="L5" i="150"/>
  <c r="U5" i="150" s="1"/>
  <c r="J5" i="150"/>
  <c r="W10" i="150"/>
  <c r="X10" i="150" s="1"/>
  <c r="N10" i="150"/>
  <c r="L10" i="150"/>
  <c r="S10" i="150" s="1"/>
  <c r="J10" i="150"/>
  <c r="W2" i="150"/>
  <c r="X2" i="150" s="1"/>
  <c r="N2" i="150"/>
  <c r="L2" i="150"/>
  <c r="U2" i="150" s="1"/>
  <c r="J2" i="150"/>
  <c r="W7" i="150"/>
  <c r="X7" i="150" s="1"/>
  <c r="N7" i="150"/>
  <c r="L7" i="150"/>
  <c r="T7" i="150" s="1"/>
  <c r="J7" i="150"/>
  <c r="K23" i="18"/>
  <c r="W110" i="15"/>
  <c r="X110" i="15" s="1"/>
  <c r="N110" i="15"/>
  <c r="L110" i="15"/>
  <c r="T110" i="15" s="1"/>
  <c r="J110" i="15"/>
  <c r="W109" i="15"/>
  <c r="X109" i="15" s="1"/>
  <c r="N109" i="15"/>
  <c r="L109" i="15"/>
  <c r="U109" i="15" s="1"/>
  <c r="J109" i="15"/>
  <c r="W112" i="15"/>
  <c r="X112" i="15" s="1"/>
  <c r="N112" i="15"/>
  <c r="L112" i="15"/>
  <c r="U112" i="15" s="1"/>
  <c r="J112" i="15"/>
  <c r="W111" i="15"/>
  <c r="X111" i="15" s="1"/>
  <c r="N111" i="15"/>
  <c r="L111" i="15"/>
  <c r="U111" i="15" s="1"/>
  <c r="J111" i="15"/>
  <c r="W108" i="15"/>
  <c r="X108" i="15" s="1"/>
  <c r="N108" i="15"/>
  <c r="L108" i="15"/>
  <c r="U108" i="15" s="1"/>
  <c r="J108" i="15"/>
  <c r="W107" i="15"/>
  <c r="X107" i="15" s="1"/>
  <c r="N107" i="15"/>
  <c r="L107" i="15"/>
  <c r="S107" i="15" s="1"/>
  <c r="J107" i="15"/>
  <c r="W106" i="15"/>
  <c r="X106" i="15" s="1"/>
  <c r="N106" i="15"/>
  <c r="L106" i="15"/>
  <c r="U106" i="15" s="1"/>
  <c r="J106" i="15"/>
  <c r="W105" i="15"/>
  <c r="X105" i="15" s="1"/>
  <c r="N105" i="15"/>
  <c r="L105" i="15"/>
  <c r="S105" i="15" s="1"/>
  <c r="J105" i="15"/>
  <c r="W104" i="15"/>
  <c r="X104" i="15" s="1"/>
  <c r="N104" i="15"/>
  <c r="L104" i="15"/>
  <c r="U104" i="15" s="1"/>
  <c r="J104" i="15"/>
  <c r="W113" i="15"/>
  <c r="X113" i="15" s="1"/>
  <c r="N113" i="15"/>
  <c r="L113" i="15"/>
  <c r="T113" i="15" s="1"/>
  <c r="J113" i="15"/>
  <c r="W103" i="15"/>
  <c r="X103" i="15" s="1"/>
  <c r="N103" i="15"/>
  <c r="L103" i="15"/>
  <c r="U103" i="15" s="1"/>
  <c r="J103" i="15"/>
  <c r="W102" i="15"/>
  <c r="X102" i="15" s="1"/>
  <c r="N102" i="15"/>
  <c r="L102" i="15"/>
  <c r="U102" i="15" s="1"/>
  <c r="J102" i="15"/>
  <c r="W101" i="15"/>
  <c r="X101" i="15" s="1"/>
  <c r="N101" i="15"/>
  <c r="L101" i="15"/>
  <c r="U101" i="15" s="1"/>
  <c r="J101" i="15"/>
  <c r="S20" i="26" l="1"/>
  <c r="T20" i="26"/>
  <c r="T37" i="25"/>
  <c r="S37" i="25"/>
  <c r="S38" i="25"/>
  <c r="T38" i="25"/>
  <c r="T35" i="25"/>
  <c r="U35" i="25"/>
  <c r="S36" i="25"/>
  <c r="T36" i="25"/>
  <c r="T31" i="149"/>
  <c r="U31" i="149"/>
  <c r="S33" i="149"/>
  <c r="T33" i="149"/>
  <c r="S34" i="149"/>
  <c r="U34" i="149"/>
  <c r="S49" i="24"/>
  <c r="T49" i="24"/>
  <c r="U48" i="24"/>
  <c r="T47" i="24"/>
  <c r="T46" i="24"/>
  <c r="U46" i="24"/>
  <c r="S48" i="24"/>
  <c r="S47" i="24"/>
  <c r="S24" i="22"/>
  <c r="T24" i="22"/>
  <c r="S23" i="22"/>
  <c r="T23" i="22"/>
  <c r="U8" i="150"/>
  <c r="T10" i="150"/>
  <c r="U10" i="150"/>
  <c r="U7" i="150"/>
  <c r="S7" i="150"/>
  <c r="S8" i="150"/>
  <c r="S9" i="150"/>
  <c r="U9" i="150"/>
  <c r="T9" i="150"/>
  <c r="T4" i="150"/>
  <c r="U3" i="150"/>
  <c r="T3" i="150"/>
  <c r="S3" i="150"/>
  <c r="S2" i="150"/>
  <c r="S5" i="150"/>
  <c r="T2" i="150"/>
  <c r="T5" i="150"/>
  <c r="J12" i="150"/>
  <c r="L11" i="150"/>
  <c r="N11" i="150"/>
  <c r="S4" i="150"/>
  <c r="J13" i="150"/>
  <c r="W11" i="150"/>
  <c r="X11" i="150"/>
  <c r="S110" i="15"/>
  <c r="U110" i="15"/>
  <c r="S109" i="15"/>
  <c r="T109" i="15"/>
  <c r="S111" i="15"/>
  <c r="T111" i="15"/>
  <c r="S112" i="15"/>
  <c r="T112" i="15"/>
  <c r="U107" i="15"/>
  <c r="T105" i="15"/>
  <c r="U105" i="15"/>
  <c r="T107" i="15"/>
  <c r="S104" i="15"/>
  <c r="T104" i="15"/>
  <c r="S106" i="15"/>
  <c r="T106" i="15"/>
  <c r="S108" i="15"/>
  <c r="T108" i="15"/>
  <c r="U113" i="15"/>
  <c r="S113" i="15"/>
  <c r="S103" i="15"/>
  <c r="T103" i="15"/>
  <c r="S101" i="15"/>
  <c r="T101" i="15"/>
  <c r="S102" i="15"/>
  <c r="T102" i="15"/>
  <c r="U13" i="150" l="1"/>
  <c r="O13" i="150"/>
  <c r="R13" i="150"/>
  <c r="W9" i="138" l="1"/>
  <c r="X9" i="138" s="1"/>
  <c r="N9" i="138"/>
  <c r="L9" i="138"/>
  <c r="T9" i="138" s="1"/>
  <c r="J9" i="138"/>
  <c r="W11" i="138"/>
  <c r="X11" i="138" s="1"/>
  <c r="N11" i="138"/>
  <c r="L11" i="138"/>
  <c r="U11" i="138" s="1"/>
  <c r="J11" i="138"/>
  <c r="U9" i="138" l="1"/>
  <c r="S9" i="138"/>
  <c r="S11" i="138"/>
  <c r="T11" i="138"/>
  <c r="W51" i="16"/>
  <c r="X51" i="16" s="1"/>
  <c r="N51" i="16"/>
  <c r="L51" i="16"/>
  <c r="U51" i="16" s="1"/>
  <c r="J51" i="16"/>
  <c r="W50" i="16"/>
  <c r="X50" i="16" s="1"/>
  <c r="N50" i="16"/>
  <c r="L50" i="16"/>
  <c r="U50" i="16" s="1"/>
  <c r="J50" i="16"/>
  <c r="W49" i="16"/>
  <c r="X49" i="16" s="1"/>
  <c r="N49" i="16"/>
  <c r="L49" i="16"/>
  <c r="U49" i="16" s="1"/>
  <c r="J49" i="16"/>
  <c r="W48" i="16"/>
  <c r="X48" i="16" s="1"/>
  <c r="N48" i="16"/>
  <c r="L48" i="16"/>
  <c r="S48" i="16" s="1"/>
  <c r="J48" i="16"/>
  <c r="W47" i="16"/>
  <c r="X47" i="16" s="1"/>
  <c r="N47" i="16"/>
  <c r="L47" i="16"/>
  <c r="U47" i="16" s="1"/>
  <c r="J47" i="16"/>
  <c r="W46" i="16"/>
  <c r="X46" i="16" s="1"/>
  <c r="N46" i="16"/>
  <c r="L46" i="16"/>
  <c r="S46" i="16" s="1"/>
  <c r="J46" i="16"/>
  <c r="W45" i="16"/>
  <c r="X45" i="16" s="1"/>
  <c r="N45" i="16"/>
  <c r="L45" i="16"/>
  <c r="U45" i="16" s="1"/>
  <c r="J45" i="16"/>
  <c r="W34" i="12"/>
  <c r="X34" i="12" s="1"/>
  <c r="N34" i="12"/>
  <c r="L34" i="12"/>
  <c r="U34" i="12" s="1"/>
  <c r="J34" i="12"/>
  <c r="W33" i="12"/>
  <c r="X33" i="12" s="1"/>
  <c r="N33" i="12"/>
  <c r="L33" i="12"/>
  <c r="U33" i="12" s="1"/>
  <c r="J33" i="12"/>
  <c r="W32" i="12"/>
  <c r="X32" i="12" s="1"/>
  <c r="N32" i="12"/>
  <c r="L32" i="12"/>
  <c r="U32" i="12" s="1"/>
  <c r="J32" i="12"/>
  <c r="S51" i="16" l="1"/>
  <c r="T51" i="16"/>
  <c r="T46" i="16"/>
  <c r="U46" i="16"/>
  <c r="S50" i="16"/>
  <c r="T50" i="16"/>
  <c r="T48" i="16"/>
  <c r="U48" i="16"/>
  <c r="S45" i="16"/>
  <c r="T45" i="16"/>
  <c r="S47" i="16"/>
  <c r="T47" i="16"/>
  <c r="S49" i="16"/>
  <c r="T49" i="16"/>
  <c r="S34" i="12"/>
  <c r="T34" i="12"/>
  <c r="T32" i="12"/>
  <c r="S32" i="12"/>
  <c r="S33" i="12"/>
  <c r="T33" i="12"/>
  <c r="W203" i="146" l="1"/>
  <c r="X203" i="146" s="1"/>
  <c r="N203" i="146"/>
  <c r="L203" i="146"/>
  <c r="J203" i="146"/>
  <c r="W202" i="146"/>
  <c r="X202" i="146" s="1"/>
  <c r="U202" i="146"/>
  <c r="T202" i="146"/>
  <c r="N202" i="146"/>
  <c r="L202" i="146"/>
  <c r="S202" i="146" s="1"/>
  <c r="J202" i="146"/>
  <c r="W201" i="146"/>
  <c r="X201" i="146" s="1"/>
  <c r="N201" i="146"/>
  <c r="L201" i="146"/>
  <c r="T201" i="146" s="1"/>
  <c r="J201" i="146"/>
  <c r="W200" i="146"/>
  <c r="X200" i="146" s="1"/>
  <c r="U200" i="146"/>
  <c r="T200" i="146"/>
  <c r="N200" i="146"/>
  <c r="L200" i="146"/>
  <c r="S200" i="146" s="1"/>
  <c r="J200" i="146"/>
  <c r="X199" i="146"/>
  <c r="W199" i="146"/>
  <c r="N199" i="146"/>
  <c r="L199" i="146"/>
  <c r="S199" i="146" s="1"/>
  <c r="J199" i="146"/>
  <c r="W198" i="146"/>
  <c r="X198" i="146" s="1"/>
  <c r="N198" i="146"/>
  <c r="L198" i="146"/>
  <c r="J198" i="146"/>
  <c r="W197" i="146"/>
  <c r="X197" i="146" s="1"/>
  <c r="N197" i="146"/>
  <c r="L197" i="146"/>
  <c r="U197" i="146" s="1"/>
  <c r="J197" i="146"/>
  <c r="W196" i="146"/>
  <c r="X196" i="146" s="1"/>
  <c r="N196" i="146"/>
  <c r="L196" i="146"/>
  <c r="S196" i="146" s="1"/>
  <c r="J196" i="146"/>
  <c r="W195" i="146"/>
  <c r="X195" i="146" s="1"/>
  <c r="N195" i="146"/>
  <c r="L195" i="146"/>
  <c r="U195" i="146" s="1"/>
  <c r="J195" i="146"/>
  <c r="W194" i="146"/>
  <c r="X194" i="146" s="1"/>
  <c r="N194" i="146"/>
  <c r="L194" i="146"/>
  <c r="U194" i="146" s="1"/>
  <c r="J194" i="146"/>
  <c r="W193" i="146"/>
  <c r="X193" i="146" s="1"/>
  <c r="N193" i="146"/>
  <c r="L193" i="146"/>
  <c r="T193" i="146" s="1"/>
  <c r="J193" i="146"/>
  <c r="W192" i="146"/>
  <c r="X192" i="146" s="1"/>
  <c r="N192" i="146"/>
  <c r="L192" i="146"/>
  <c r="S192" i="146" s="1"/>
  <c r="J192" i="146"/>
  <c r="W191" i="146"/>
  <c r="X191" i="146" s="1"/>
  <c r="N191" i="146"/>
  <c r="L191" i="146"/>
  <c r="J191" i="146"/>
  <c r="W190" i="146"/>
  <c r="X190" i="146" s="1"/>
  <c r="T190" i="146"/>
  <c r="S190" i="146"/>
  <c r="N190" i="146"/>
  <c r="L190" i="146"/>
  <c r="U190" i="146" s="1"/>
  <c r="J190" i="146"/>
  <c r="W189" i="146"/>
  <c r="X189" i="146" s="1"/>
  <c r="N189" i="146"/>
  <c r="L189" i="146"/>
  <c r="S189" i="146" s="1"/>
  <c r="J189" i="146"/>
  <c r="W188" i="146"/>
  <c r="X188" i="146" s="1"/>
  <c r="N188" i="146"/>
  <c r="L188" i="146"/>
  <c r="U188" i="146" s="1"/>
  <c r="J188" i="146"/>
  <c r="W187" i="146"/>
  <c r="X187" i="146" s="1"/>
  <c r="N187" i="146"/>
  <c r="L187" i="146"/>
  <c r="U187" i="146" s="1"/>
  <c r="J187" i="146"/>
  <c r="X186" i="146"/>
  <c r="W186" i="146"/>
  <c r="T186" i="146"/>
  <c r="S186" i="146"/>
  <c r="N186" i="146"/>
  <c r="L186" i="146"/>
  <c r="U186" i="146" s="1"/>
  <c r="J186" i="146"/>
  <c r="R179" i="146"/>
  <c r="Q179" i="146"/>
  <c r="O179" i="146"/>
  <c r="M179" i="146"/>
  <c r="K179" i="146"/>
  <c r="I179" i="146"/>
  <c r="H179" i="146"/>
  <c r="E179" i="146"/>
  <c r="W178" i="146"/>
  <c r="X178" i="146" s="1"/>
  <c r="U178" i="146"/>
  <c r="T178" i="146"/>
  <c r="S178" i="146"/>
  <c r="N178" i="146"/>
  <c r="L178" i="146"/>
  <c r="J178" i="146"/>
  <c r="X177" i="146"/>
  <c r="W177" i="146"/>
  <c r="T177" i="146"/>
  <c r="S177" i="146"/>
  <c r="N177" i="146"/>
  <c r="L177" i="146"/>
  <c r="U177" i="146" s="1"/>
  <c r="J177" i="146"/>
  <c r="W176" i="146"/>
  <c r="X176" i="146" s="1"/>
  <c r="U176" i="146"/>
  <c r="T176" i="146"/>
  <c r="S176" i="146"/>
  <c r="N176" i="146"/>
  <c r="L176" i="146"/>
  <c r="J176" i="146"/>
  <c r="W175" i="146"/>
  <c r="X175" i="146" s="1"/>
  <c r="N175" i="146"/>
  <c r="L175" i="146"/>
  <c r="S175" i="146" s="1"/>
  <c r="J175" i="146"/>
  <c r="W174" i="146"/>
  <c r="X174" i="146" s="1"/>
  <c r="N174" i="146"/>
  <c r="L174" i="146"/>
  <c r="T174" i="146" s="1"/>
  <c r="J174" i="146"/>
  <c r="W173" i="146"/>
  <c r="X173" i="146" s="1"/>
  <c r="N173" i="146"/>
  <c r="L173" i="146"/>
  <c r="T173" i="146" s="1"/>
  <c r="J173" i="146"/>
  <c r="X172" i="146"/>
  <c r="W172" i="146"/>
  <c r="N172" i="146"/>
  <c r="L172" i="146"/>
  <c r="J172" i="146"/>
  <c r="X171" i="146"/>
  <c r="W171" i="146"/>
  <c r="N171" i="146"/>
  <c r="L171" i="146"/>
  <c r="U171" i="146" s="1"/>
  <c r="J171" i="146"/>
  <c r="W170" i="146"/>
  <c r="X170" i="146" s="1"/>
  <c r="N170" i="146"/>
  <c r="L170" i="146"/>
  <c r="U170" i="146" s="1"/>
  <c r="J170" i="146"/>
  <c r="W169" i="146"/>
  <c r="X169" i="146" s="1"/>
  <c r="N169" i="146"/>
  <c r="L169" i="146"/>
  <c r="U169" i="146" s="1"/>
  <c r="J169" i="146"/>
  <c r="W168" i="146"/>
  <c r="X168" i="146" s="1"/>
  <c r="N168" i="146"/>
  <c r="L168" i="146"/>
  <c r="J168" i="146"/>
  <c r="W167" i="146"/>
  <c r="X167" i="146" s="1"/>
  <c r="U167" i="146"/>
  <c r="N167" i="146"/>
  <c r="L167" i="146"/>
  <c r="T167" i="146" s="1"/>
  <c r="J167" i="146"/>
  <c r="W166" i="146"/>
  <c r="X166" i="146" s="1"/>
  <c r="N166" i="146"/>
  <c r="L166" i="146"/>
  <c r="T166" i="146" s="1"/>
  <c r="J166" i="146"/>
  <c r="W165" i="146"/>
  <c r="X165" i="146" s="1"/>
  <c r="N165" i="146"/>
  <c r="L165" i="146"/>
  <c r="J165" i="146"/>
  <c r="X164" i="146"/>
  <c r="W164" i="146"/>
  <c r="N164" i="146"/>
  <c r="L164" i="146"/>
  <c r="U164" i="146" s="1"/>
  <c r="J164" i="146"/>
  <c r="W163" i="146"/>
  <c r="X163" i="146" s="1"/>
  <c r="T163" i="146"/>
  <c r="N163" i="146"/>
  <c r="L163" i="146"/>
  <c r="J163" i="146"/>
  <c r="W162" i="146"/>
  <c r="X162" i="146" s="1"/>
  <c r="U162" i="146"/>
  <c r="T162" i="146"/>
  <c r="N162" i="146"/>
  <c r="L162" i="146"/>
  <c r="S162" i="146" s="1"/>
  <c r="J162" i="146"/>
  <c r="W161" i="146"/>
  <c r="X161" i="146" s="1"/>
  <c r="U161" i="146"/>
  <c r="T161" i="146"/>
  <c r="S161" i="146"/>
  <c r="N161" i="146"/>
  <c r="L161" i="146"/>
  <c r="J161" i="146"/>
  <c r="W160" i="146"/>
  <c r="X160" i="146" s="1"/>
  <c r="U160" i="146"/>
  <c r="N160" i="146"/>
  <c r="L160" i="146"/>
  <c r="T160" i="146" s="1"/>
  <c r="J160" i="146"/>
  <c r="W159" i="146"/>
  <c r="X159" i="146" s="1"/>
  <c r="N159" i="146"/>
  <c r="L159" i="146"/>
  <c r="J159" i="146"/>
  <c r="X158" i="146"/>
  <c r="W158" i="146"/>
  <c r="N158" i="146"/>
  <c r="L158" i="146"/>
  <c r="J158" i="146"/>
  <c r="X157" i="146"/>
  <c r="W157" i="146"/>
  <c r="N157" i="146"/>
  <c r="L157" i="146"/>
  <c r="T157" i="146" s="1"/>
  <c r="J157" i="146"/>
  <c r="X156" i="146"/>
  <c r="W156" i="146"/>
  <c r="N156" i="146"/>
  <c r="L156" i="146"/>
  <c r="S156" i="146" s="1"/>
  <c r="J156" i="146"/>
  <c r="W155" i="146"/>
  <c r="X155" i="146" s="1"/>
  <c r="U155" i="146"/>
  <c r="T155" i="146"/>
  <c r="S155" i="146"/>
  <c r="N155" i="146"/>
  <c r="L155" i="146"/>
  <c r="J155" i="146"/>
  <c r="W154" i="146"/>
  <c r="X154" i="146" s="1"/>
  <c r="N154" i="146"/>
  <c r="L154" i="146"/>
  <c r="U154" i="146" s="1"/>
  <c r="J154" i="146"/>
  <c r="W153" i="146"/>
  <c r="X153" i="146" s="1"/>
  <c r="N153" i="146"/>
  <c r="L153" i="146"/>
  <c r="T153" i="146" s="1"/>
  <c r="J153" i="146"/>
  <c r="W152" i="146"/>
  <c r="X152" i="146" s="1"/>
  <c r="N152" i="146"/>
  <c r="L152" i="146"/>
  <c r="J152" i="146"/>
  <c r="W151" i="146"/>
  <c r="X151" i="146" s="1"/>
  <c r="N151" i="146"/>
  <c r="L151" i="146"/>
  <c r="J151" i="146"/>
  <c r="W150" i="146"/>
  <c r="X150" i="146" s="1"/>
  <c r="N150" i="146"/>
  <c r="L150" i="146"/>
  <c r="J150" i="146"/>
  <c r="W149" i="146"/>
  <c r="X149" i="146" s="1"/>
  <c r="N149" i="146"/>
  <c r="L149" i="146"/>
  <c r="U149" i="146" s="1"/>
  <c r="J149" i="146"/>
  <c r="W148" i="146"/>
  <c r="X148" i="146" s="1"/>
  <c r="N148" i="146"/>
  <c r="L148" i="146"/>
  <c r="U148" i="146" s="1"/>
  <c r="J148" i="146"/>
  <c r="W147" i="146"/>
  <c r="X147" i="146" s="1"/>
  <c r="N147" i="146"/>
  <c r="L147" i="146"/>
  <c r="S147" i="146" s="1"/>
  <c r="J147" i="146"/>
  <c r="W146" i="146"/>
  <c r="X146" i="146" s="1"/>
  <c r="U146" i="146"/>
  <c r="N146" i="146"/>
  <c r="L146" i="146"/>
  <c r="T146" i="146" s="1"/>
  <c r="J146" i="146"/>
  <c r="W145" i="146"/>
  <c r="X145" i="146" s="1"/>
  <c r="U145" i="146"/>
  <c r="N145" i="146"/>
  <c r="L145" i="146"/>
  <c r="T145" i="146" s="1"/>
  <c r="J145" i="146"/>
  <c r="W144" i="146"/>
  <c r="X144" i="146" s="1"/>
  <c r="N144" i="146"/>
  <c r="L144" i="146"/>
  <c r="J144" i="146"/>
  <c r="X143" i="146"/>
  <c r="W143" i="146"/>
  <c r="N143" i="146"/>
  <c r="L143" i="146"/>
  <c r="T143" i="146" s="1"/>
  <c r="J143" i="146"/>
  <c r="X142" i="146"/>
  <c r="W142" i="146"/>
  <c r="N142" i="146"/>
  <c r="L142" i="146"/>
  <c r="J142" i="146"/>
  <c r="W141" i="146"/>
  <c r="X141" i="146" s="1"/>
  <c r="U141" i="146"/>
  <c r="T141" i="146"/>
  <c r="S141" i="146"/>
  <c r="N141" i="146"/>
  <c r="L141" i="146"/>
  <c r="J141" i="146"/>
  <c r="W140" i="146"/>
  <c r="X140" i="146" s="1"/>
  <c r="N140" i="146"/>
  <c r="L140" i="146"/>
  <c r="J140" i="146"/>
  <c r="X139" i="146"/>
  <c r="W139" i="146"/>
  <c r="N139" i="146"/>
  <c r="L139" i="146"/>
  <c r="T139" i="146" s="1"/>
  <c r="J139" i="146"/>
  <c r="X138" i="146"/>
  <c r="W138" i="146"/>
  <c r="N138" i="146"/>
  <c r="L138" i="146"/>
  <c r="J138" i="146"/>
  <c r="X137" i="146"/>
  <c r="W137" i="146"/>
  <c r="N137" i="146"/>
  <c r="L137" i="146"/>
  <c r="J137" i="146"/>
  <c r="X136" i="146"/>
  <c r="W136" i="146"/>
  <c r="U136" i="146"/>
  <c r="T136" i="146"/>
  <c r="N136" i="146"/>
  <c r="L136" i="146"/>
  <c r="S136" i="146" s="1"/>
  <c r="J136" i="146"/>
  <c r="W135" i="146"/>
  <c r="X135" i="146" s="1"/>
  <c r="T135" i="146"/>
  <c r="N135" i="146"/>
  <c r="L135" i="146"/>
  <c r="U135" i="146" s="1"/>
  <c r="J135" i="146"/>
  <c r="W134" i="146"/>
  <c r="X134" i="146" s="1"/>
  <c r="N134" i="146"/>
  <c r="L134" i="146"/>
  <c r="S134" i="146" s="1"/>
  <c r="J134" i="146"/>
  <c r="W133" i="146"/>
  <c r="X133" i="146" s="1"/>
  <c r="N133" i="146"/>
  <c r="L133" i="146"/>
  <c r="J133" i="146"/>
  <c r="X132" i="146"/>
  <c r="W132" i="146"/>
  <c r="N132" i="146"/>
  <c r="L132" i="146"/>
  <c r="T132" i="146" s="1"/>
  <c r="J132" i="146"/>
  <c r="W131" i="146"/>
  <c r="X131" i="146" s="1"/>
  <c r="U131" i="146"/>
  <c r="N131" i="146"/>
  <c r="L131" i="146"/>
  <c r="T131" i="146" s="1"/>
  <c r="J131" i="146"/>
  <c r="W130" i="146"/>
  <c r="X130" i="146" s="1"/>
  <c r="N130" i="146"/>
  <c r="L130" i="146"/>
  <c r="J130" i="146"/>
  <c r="W129" i="146"/>
  <c r="X129" i="146" s="1"/>
  <c r="N129" i="146"/>
  <c r="L129" i="146"/>
  <c r="S129" i="146" s="1"/>
  <c r="J129" i="146"/>
  <c r="W128" i="146"/>
  <c r="X128" i="146" s="1"/>
  <c r="T128" i="146"/>
  <c r="S128" i="146"/>
  <c r="N128" i="146"/>
  <c r="L128" i="146"/>
  <c r="U128" i="146" s="1"/>
  <c r="J128" i="146"/>
  <c r="W127" i="146"/>
  <c r="X127" i="146" s="1"/>
  <c r="T127" i="146"/>
  <c r="S127" i="146"/>
  <c r="N127" i="146"/>
  <c r="L127" i="146"/>
  <c r="U127" i="146" s="1"/>
  <c r="J127" i="146"/>
  <c r="W126" i="146"/>
  <c r="X126" i="146" s="1"/>
  <c r="U126" i="146"/>
  <c r="T126" i="146"/>
  <c r="N126" i="146"/>
  <c r="L126" i="146"/>
  <c r="S126" i="146" s="1"/>
  <c r="J126" i="146"/>
  <c r="W125" i="146"/>
  <c r="X125" i="146" s="1"/>
  <c r="N125" i="146"/>
  <c r="L125" i="146"/>
  <c r="T125" i="146" s="1"/>
  <c r="J125" i="146"/>
  <c r="W124" i="146"/>
  <c r="X124" i="146" s="1"/>
  <c r="N124" i="146"/>
  <c r="L124" i="146"/>
  <c r="T124" i="146" s="1"/>
  <c r="J124" i="146"/>
  <c r="W123" i="146"/>
  <c r="X123" i="146" s="1"/>
  <c r="N123" i="146"/>
  <c r="L123" i="146"/>
  <c r="J123" i="146"/>
  <c r="W122" i="146"/>
  <c r="X122" i="146" s="1"/>
  <c r="N122" i="146"/>
  <c r="L122" i="146"/>
  <c r="U122" i="146" s="1"/>
  <c r="J122" i="146"/>
  <c r="X121" i="146"/>
  <c r="W121" i="146"/>
  <c r="N121" i="146"/>
  <c r="L121" i="146"/>
  <c r="U121" i="146" s="1"/>
  <c r="J121" i="146"/>
  <c r="W120" i="146"/>
  <c r="X120" i="146" s="1"/>
  <c r="N120" i="146"/>
  <c r="L120" i="146"/>
  <c r="U120" i="146" s="1"/>
  <c r="J120" i="146"/>
  <c r="W119" i="146"/>
  <c r="X119" i="146" s="1"/>
  <c r="N119" i="146"/>
  <c r="L119" i="146"/>
  <c r="U119" i="146" s="1"/>
  <c r="J119" i="146"/>
  <c r="W118" i="146"/>
  <c r="X118" i="146" s="1"/>
  <c r="U118" i="146"/>
  <c r="N118" i="146"/>
  <c r="L118" i="146"/>
  <c r="T118" i="146" s="1"/>
  <c r="J118" i="146"/>
  <c r="W117" i="146"/>
  <c r="X117" i="146" s="1"/>
  <c r="U117" i="146"/>
  <c r="S117" i="146"/>
  <c r="N117" i="146"/>
  <c r="L117" i="146"/>
  <c r="T117" i="146" s="1"/>
  <c r="J117" i="146"/>
  <c r="X116" i="146"/>
  <c r="W116" i="146"/>
  <c r="N116" i="146"/>
  <c r="L116" i="146"/>
  <c r="J116" i="146"/>
  <c r="W115" i="146"/>
  <c r="X115" i="146" s="1"/>
  <c r="N115" i="146"/>
  <c r="L115" i="146"/>
  <c r="U115" i="146" s="1"/>
  <c r="J115" i="146"/>
  <c r="W114" i="146"/>
  <c r="X114" i="146" s="1"/>
  <c r="N114" i="146"/>
  <c r="L114" i="146"/>
  <c r="U114" i="146" s="1"/>
  <c r="J114" i="146"/>
  <c r="W113" i="146"/>
  <c r="X113" i="146" s="1"/>
  <c r="U113" i="146"/>
  <c r="T113" i="146"/>
  <c r="N113" i="146"/>
  <c r="L113" i="146"/>
  <c r="S113" i="146" s="1"/>
  <c r="J113" i="146"/>
  <c r="W112" i="146"/>
  <c r="X112" i="146" s="1"/>
  <c r="N112" i="146"/>
  <c r="L112" i="146"/>
  <c r="T112" i="146" s="1"/>
  <c r="J112" i="146"/>
  <c r="W111" i="146"/>
  <c r="X111" i="146" s="1"/>
  <c r="U111" i="146"/>
  <c r="N111" i="146"/>
  <c r="L111" i="146"/>
  <c r="T111" i="146" s="1"/>
  <c r="J111" i="146"/>
  <c r="W110" i="146"/>
  <c r="X110" i="146" s="1"/>
  <c r="U110" i="146"/>
  <c r="S110" i="146"/>
  <c r="N110" i="146"/>
  <c r="L110" i="146"/>
  <c r="T110" i="146" s="1"/>
  <c r="J110" i="146"/>
  <c r="W109" i="146"/>
  <c r="X109" i="146" s="1"/>
  <c r="N109" i="146"/>
  <c r="L109" i="146"/>
  <c r="J109" i="146"/>
  <c r="X108" i="146"/>
  <c r="W108" i="146"/>
  <c r="T108" i="146"/>
  <c r="S108" i="146"/>
  <c r="N108" i="146"/>
  <c r="L108" i="146"/>
  <c r="U108" i="146" s="1"/>
  <c r="J108" i="146"/>
  <c r="X107" i="146"/>
  <c r="W107" i="146"/>
  <c r="N107" i="146"/>
  <c r="L107" i="146"/>
  <c r="J107" i="146"/>
  <c r="W106" i="146"/>
  <c r="X106" i="146" s="1"/>
  <c r="N106" i="146"/>
  <c r="L106" i="146"/>
  <c r="U106" i="146" s="1"/>
  <c r="J106" i="146"/>
  <c r="W105" i="146"/>
  <c r="X105" i="146" s="1"/>
  <c r="N105" i="146"/>
  <c r="L105" i="146"/>
  <c r="J105" i="146"/>
  <c r="X104" i="146"/>
  <c r="W104" i="146"/>
  <c r="N104" i="146"/>
  <c r="L104" i="146"/>
  <c r="T104" i="146" s="1"/>
  <c r="J104" i="146"/>
  <c r="W103" i="146"/>
  <c r="X103" i="146" s="1"/>
  <c r="N103" i="146"/>
  <c r="L103" i="146"/>
  <c r="J103" i="146"/>
  <c r="X102" i="146"/>
  <c r="W102" i="146"/>
  <c r="N102" i="146"/>
  <c r="L102" i="146"/>
  <c r="J102" i="146"/>
  <c r="W101" i="146"/>
  <c r="X101" i="146" s="1"/>
  <c r="N101" i="146"/>
  <c r="L101" i="146"/>
  <c r="J101" i="146"/>
  <c r="W100" i="146"/>
  <c r="X100" i="146" s="1"/>
  <c r="N100" i="146"/>
  <c r="L100" i="146"/>
  <c r="J100" i="146"/>
  <c r="W99" i="146"/>
  <c r="X99" i="146" s="1"/>
  <c r="N99" i="146"/>
  <c r="L99" i="146"/>
  <c r="T99" i="146" s="1"/>
  <c r="J99" i="146"/>
  <c r="W98" i="146"/>
  <c r="X98" i="146" s="1"/>
  <c r="N98" i="146"/>
  <c r="L98" i="146"/>
  <c r="J98" i="146"/>
  <c r="W97" i="146"/>
  <c r="X97" i="146" s="1"/>
  <c r="U97" i="146"/>
  <c r="N97" i="146"/>
  <c r="L97" i="146"/>
  <c r="T97" i="146" s="1"/>
  <c r="J97" i="146"/>
  <c r="X96" i="146"/>
  <c r="W96" i="146"/>
  <c r="N96" i="146"/>
  <c r="L96" i="146"/>
  <c r="T96" i="146" s="1"/>
  <c r="J96" i="146"/>
  <c r="W95" i="146"/>
  <c r="X95" i="146" s="1"/>
  <c r="N95" i="146"/>
  <c r="L95" i="146"/>
  <c r="J95" i="146"/>
  <c r="X94" i="146"/>
  <c r="W94" i="146"/>
  <c r="N94" i="146"/>
  <c r="L94" i="146"/>
  <c r="T94" i="146" s="1"/>
  <c r="J94" i="146"/>
  <c r="W93" i="146"/>
  <c r="X93" i="146" s="1"/>
  <c r="N93" i="146"/>
  <c r="L93" i="146"/>
  <c r="J93" i="146"/>
  <c r="W92" i="146"/>
  <c r="X92" i="146" s="1"/>
  <c r="U92" i="146"/>
  <c r="T92" i="146"/>
  <c r="S92" i="146"/>
  <c r="N92" i="146"/>
  <c r="L92" i="146"/>
  <c r="J92" i="146"/>
  <c r="W91" i="146"/>
  <c r="X91" i="146" s="1"/>
  <c r="N91" i="146"/>
  <c r="L91" i="146"/>
  <c r="J91" i="146"/>
  <c r="X90" i="146"/>
  <c r="W90" i="146"/>
  <c r="N90" i="146"/>
  <c r="L90" i="146"/>
  <c r="T90" i="146" s="1"/>
  <c r="J90" i="146"/>
  <c r="X89" i="146"/>
  <c r="W89" i="146"/>
  <c r="N89" i="146"/>
  <c r="L89" i="146"/>
  <c r="J89" i="146"/>
  <c r="W88" i="146"/>
  <c r="X88" i="146" s="1"/>
  <c r="N88" i="146"/>
  <c r="L88" i="146"/>
  <c r="J88" i="146"/>
  <c r="W87" i="146"/>
  <c r="X87" i="146" s="1"/>
  <c r="U87" i="146"/>
  <c r="T87" i="146"/>
  <c r="N87" i="146"/>
  <c r="L87" i="146"/>
  <c r="S87" i="146" s="1"/>
  <c r="J87" i="146"/>
  <c r="W86" i="146"/>
  <c r="X86" i="146" s="1"/>
  <c r="N86" i="146"/>
  <c r="L86" i="146"/>
  <c r="J86" i="146"/>
  <c r="W85" i="146"/>
  <c r="X85" i="146" s="1"/>
  <c r="N85" i="146"/>
  <c r="L85" i="146"/>
  <c r="U85" i="146" s="1"/>
  <c r="J85" i="146"/>
  <c r="W84" i="146"/>
  <c r="X84" i="146" s="1"/>
  <c r="N84" i="146"/>
  <c r="L84" i="146"/>
  <c r="S84" i="146" s="1"/>
  <c r="J84" i="146"/>
  <c r="X83" i="146"/>
  <c r="W83" i="146"/>
  <c r="N83" i="146"/>
  <c r="L83" i="146"/>
  <c r="T83" i="146" s="1"/>
  <c r="J83" i="146"/>
  <c r="W82" i="146"/>
  <c r="X82" i="146" s="1"/>
  <c r="N82" i="146"/>
  <c r="L82" i="146"/>
  <c r="S82" i="146" s="1"/>
  <c r="J82" i="146"/>
  <c r="W81" i="146"/>
  <c r="X81" i="146" s="1"/>
  <c r="N81" i="146"/>
  <c r="L81" i="146"/>
  <c r="J81" i="146"/>
  <c r="W80" i="146"/>
  <c r="X80" i="146" s="1"/>
  <c r="N80" i="146"/>
  <c r="L80" i="146"/>
  <c r="J80" i="146"/>
  <c r="W79" i="146"/>
  <c r="X79" i="146" s="1"/>
  <c r="N79" i="146"/>
  <c r="L79" i="146"/>
  <c r="U79" i="146" s="1"/>
  <c r="J79" i="146"/>
  <c r="W78" i="146"/>
  <c r="X78" i="146" s="1"/>
  <c r="L78" i="146"/>
  <c r="U78" i="146" s="1"/>
  <c r="J78" i="146"/>
  <c r="W77" i="146"/>
  <c r="X77" i="146" s="1"/>
  <c r="N77" i="146"/>
  <c r="L77" i="146"/>
  <c r="S77" i="146" s="1"/>
  <c r="J77" i="146"/>
  <c r="W76" i="146"/>
  <c r="X76" i="146" s="1"/>
  <c r="U76" i="146"/>
  <c r="N76" i="146"/>
  <c r="L76" i="146"/>
  <c r="T76" i="146" s="1"/>
  <c r="J76" i="146"/>
  <c r="W75" i="146"/>
  <c r="X75" i="146" s="1"/>
  <c r="U75" i="146"/>
  <c r="S75" i="146"/>
  <c r="N75" i="146"/>
  <c r="L75" i="146"/>
  <c r="T75" i="146" s="1"/>
  <c r="J75" i="146"/>
  <c r="X74" i="146"/>
  <c r="W74" i="146"/>
  <c r="N74" i="146"/>
  <c r="L74" i="146"/>
  <c r="J74" i="146"/>
  <c r="W73" i="146"/>
  <c r="X73" i="146" s="1"/>
  <c r="U73" i="146"/>
  <c r="T73" i="146"/>
  <c r="S73" i="146"/>
  <c r="N73" i="146"/>
  <c r="L73" i="146"/>
  <c r="J73" i="146"/>
  <c r="W72" i="146"/>
  <c r="X72" i="146" s="1"/>
  <c r="N72" i="146"/>
  <c r="L72" i="146"/>
  <c r="U72" i="146" s="1"/>
  <c r="J72" i="146"/>
  <c r="X71" i="146"/>
  <c r="W71" i="146"/>
  <c r="T71" i="146"/>
  <c r="S71" i="146"/>
  <c r="N71" i="146"/>
  <c r="L71" i="146"/>
  <c r="U71" i="146" s="1"/>
  <c r="J71" i="146"/>
  <c r="W70" i="146"/>
  <c r="X70" i="146" s="1"/>
  <c r="N70" i="146"/>
  <c r="L70" i="146"/>
  <c r="J70" i="146"/>
  <c r="W69" i="146"/>
  <c r="X69" i="146" s="1"/>
  <c r="U69" i="146"/>
  <c r="N69" i="146"/>
  <c r="L69" i="146"/>
  <c r="T69" i="146" s="1"/>
  <c r="J69" i="146"/>
  <c r="W68" i="146"/>
  <c r="X68" i="146" s="1"/>
  <c r="N68" i="146"/>
  <c r="L68" i="146"/>
  <c r="T68" i="146" s="1"/>
  <c r="J68" i="146"/>
  <c r="X67" i="146"/>
  <c r="W67" i="146"/>
  <c r="N67" i="146"/>
  <c r="L67" i="146"/>
  <c r="J67" i="146"/>
  <c r="W66" i="146"/>
  <c r="X66" i="146" s="1"/>
  <c r="N66" i="146"/>
  <c r="L66" i="146"/>
  <c r="U66" i="146" s="1"/>
  <c r="J66" i="146"/>
  <c r="X65" i="146"/>
  <c r="W65" i="146"/>
  <c r="N65" i="146"/>
  <c r="L65" i="146"/>
  <c r="U65" i="146" s="1"/>
  <c r="J65" i="146"/>
  <c r="W64" i="146"/>
  <c r="X64" i="146" s="1"/>
  <c r="N64" i="146"/>
  <c r="L64" i="146"/>
  <c r="U64" i="146" s="1"/>
  <c r="J64" i="146"/>
  <c r="W63" i="146"/>
  <c r="X63" i="146" s="1"/>
  <c r="N63" i="146"/>
  <c r="L63" i="146"/>
  <c r="S63" i="146" s="1"/>
  <c r="J63" i="146"/>
  <c r="W62" i="146"/>
  <c r="X62" i="146" s="1"/>
  <c r="U62" i="146"/>
  <c r="N62" i="146"/>
  <c r="L62" i="146"/>
  <c r="J62" i="146"/>
  <c r="W61" i="146"/>
  <c r="X61" i="146" s="1"/>
  <c r="U61" i="146"/>
  <c r="S61" i="146"/>
  <c r="N61" i="146"/>
  <c r="L61" i="146"/>
  <c r="T61" i="146" s="1"/>
  <c r="J61" i="146"/>
  <c r="X60" i="146"/>
  <c r="W60" i="146"/>
  <c r="N60" i="146"/>
  <c r="L60" i="146"/>
  <c r="S60" i="146" s="1"/>
  <c r="J60" i="146"/>
  <c r="W59" i="146"/>
  <c r="X59" i="146" s="1"/>
  <c r="U59" i="146"/>
  <c r="T59" i="146"/>
  <c r="S59" i="146"/>
  <c r="N59" i="146"/>
  <c r="L59" i="146"/>
  <c r="J59" i="146"/>
  <c r="X58" i="146"/>
  <c r="W58" i="146"/>
  <c r="U58" i="146"/>
  <c r="T58" i="146"/>
  <c r="N58" i="146"/>
  <c r="L58" i="146"/>
  <c r="S58" i="146" s="1"/>
  <c r="J58" i="146"/>
  <c r="W57" i="146"/>
  <c r="X57" i="146" s="1"/>
  <c r="U57" i="146"/>
  <c r="T57" i="146"/>
  <c r="S57" i="146"/>
  <c r="N57" i="146"/>
  <c r="L57" i="146"/>
  <c r="J57" i="146"/>
  <c r="W56" i="146"/>
  <c r="X56" i="146" s="1"/>
  <c r="N56" i="146"/>
  <c r="L56" i="146"/>
  <c r="U56" i="146" s="1"/>
  <c r="J56" i="146"/>
  <c r="X55" i="146"/>
  <c r="W55" i="146"/>
  <c r="N55" i="146"/>
  <c r="L55" i="146"/>
  <c r="J55" i="146"/>
  <c r="X54" i="146"/>
  <c r="W54" i="146"/>
  <c r="U54" i="146"/>
  <c r="N54" i="146"/>
  <c r="L54" i="146"/>
  <c r="T54" i="146" s="1"/>
  <c r="J54" i="146"/>
  <c r="W53" i="146"/>
  <c r="X53" i="146" s="1"/>
  <c r="L53" i="146"/>
  <c r="J53" i="146"/>
  <c r="W52" i="146"/>
  <c r="X52" i="146" s="1"/>
  <c r="U52" i="146"/>
  <c r="T52" i="146"/>
  <c r="S52" i="146"/>
  <c r="N52" i="146"/>
  <c r="L52" i="146"/>
  <c r="J52" i="146"/>
  <c r="W51" i="146"/>
  <c r="X51" i="146" s="1"/>
  <c r="N51" i="146"/>
  <c r="L51" i="146"/>
  <c r="J51" i="146"/>
  <c r="W50" i="146"/>
  <c r="X50" i="146" s="1"/>
  <c r="N50" i="146"/>
  <c r="L50" i="146"/>
  <c r="U50" i="146" s="1"/>
  <c r="J50" i="146"/>
  <c r="W49" i="146"/>
  <c r="X49" i="146" s="1"/>
  <c r="L49" i="146"/>
  <c r="J49" i="146"/>
  <c r="W48" i="146"/>
  <c r="X48" i="146" s="1"/>
  <c r="N48" i="146"/>
  <c r="L48" i="146"/>
  <c r="J48" i="146"/>
  <c r="W47" i="146"/>
  <c r="X47" i="146" s="1"/>
  <c r="N47" i="146"/>
  <c r="L47" i="146"/>
  <c r="J47" i="146"/>
  <c r="W46" i="146"/>
  <c r="X46" i="146" s="1"/>
  <c r="S46" i="146"/>
  <c r="N46" i="146"/>
  <c r="L46" i="146"/>
  <c r="J46" i="146"/>
  <c r="X45" i="146"/>
  <c r="W45" i="146"/>
  <c r="L45" i="146"/>
  <c r="S45" i="146" s="1"/>
  <c r="J45" i="146"/>
  <c r="W44" i="146"/>
  <c r="X44" i="146" s="1"/>
  <c r="U44" i="146"/>
  <c r="T44" i="146"/>
  <c r="S44" i="146"/>
  <c r="N44" i="146"/>
  <c r="L44" i="146"/>
  <c r="J44" i="146"/>
  <c r="W43" i="146"/>
  <c r="X43" i="146" s="1"/>
  <c r="L43" i="146"/>
  <c r="U43" i="146" s="1"/>
  <c r="J43" i="146"/>
  <c r="W42" i="146"/>
  <c r="X42" i="146" s="1"/>
  <c r="T42" i="146"/>
  <c r="S42" i="146"/>
  <c r="N42" i="146"/>
  <c r="L42" i="146"/>
  <c r="U42" i="146" s="1"/>
  <c r="J42" i="146"/>
  <c r="X41" i="146"/>
  <c r="W41" i="146"/>
  <c r="N41" i="146"/>
  <c r="L41" i="146"/>
  <c r="J41" i="146"/>
  <c r="W40" i="146"/>
  <c r="X40" i="146" s="1"/>
  <c r="N40" i="146"/>
  <c r="L40" i="146"/>
  <c r="T40" i="146" s="1"/>
  <c r="J40" i="146"/>
  <c r="X39" i="146"/>
  <c r="W39" i="146"/>
  <c r="N39" i="146"/>
  <c r="L39" i="146"/>
  <c r="J39" i="146"/>
  <c r="W38" i="146"/>
  <c r="X38" i="146" s="1"/>
  <c r="U38" i="146"/>
  <c r="T38" i="146"/>
  <c r="S38" i="146"/>
  <c r="N38" i="146"/>
  <c r="L38" i="146"/>
  <c r="J38" i="146"/>
  <c r="W37" i="146"/>
  <c r="X37" i="146" s="1"/>
  <c r="N37" i="146"/>
  <c r="L37" i="146"/>
  <c r="U37" i="146" s="1"/>
  <c r="J37" i="146"/>
  <c r="W36" i="146"/>
  <c r="X36" i="146" s="1"/>
  <c r="N36" i="146"/>
  <c r="L36" i="146"/>
  <c r="S36" i="146" s="1"/>
  <c r="J36" i="146"/>
  <c r="W35" i="146"/>
  <c r="X35" i="146" s="1"/>
  <c r="N35" i="146"/>
  <c r="L35" i="146"/>
  <c r="J35" i="146"/>
  <c r="X34" i="146"/>
  <c r="W34" i="146"/>
  <c r="N34" i="146"/>
  <c r="L34" i="146"/>
  <c r="J34" i="146"/>
  <c r="W33" i="146"/>
  <c r="X33" i="146" s="1"/>
  <c r="N33" i="146"/>
  <c r="L33" i="146"/>
  <c r="J33" i="146"/>
  <c r="W32" i="146"/>
  <c r="X32" i="146" s="1"/>
  <c r="N32" i="146"/>
  <c r="L32" i="146"/>
  <c r="J32" i="146"/>
  <c r="W31" i="146"/>
  <c r="X31" i="146" s="1"/>
  <c r="N31" i="146"/>
  <c r="L31" i="146"/>
  <c r="U31" i="146" s="1"/>
  <c r="J31" i="146"/>
  <c r="W30" i="146"/>
  <c r="X30" i="146" s="1"/>
  <c r="N30" i="146"/>
  <c r="L30" i="146"/>
  <c r="J30" i="146"/>
  <c r="W29" i="146"/>
  <c r="X29" i="146" s="1"/>
  <c r="U29" i="146"/>
  <c r="T29" i="146"/>
  <c r="S29" i="146"/>
  <c r="N29" i="146"/>
  <c r="L29" i="146"/>
  <c r="J29" i="146"/>
  <c r="W28" i="146"/>
  <c r="X28" i="146" s="1"/>
  <c r="N28" i="146"/>
  <c r="L28" i="146"/>
  <c r="U28" i="146" s="1"/>
  <c r="J28" i="146"/>
  <c r="W27" i="146"/>
  <c r="X27" i="146" s="1"/>
  <c r="N27" i="146"/>
  <c r="L27" i="146"/>
  <c r="J27" i="146"/>
  <c r="W26" i="146"/>
  <c r="X26" i="146" s="1"/>
  <c r="N26" i="146"/>
  <c r="L26" i="146"/>
  <c r="S26" i="146" s="1"/>
  <c r="J26" i="146"/>
  <c r="X25" i="146"/>
  <c r="W25" i="146"/>
  <c r="N25" i="146"/>
  <c r="L25" i="146"/>
  <c r="J25" i="146"/>
  <c r="W24" i="146"/>
  <c r="X24" i="146" s="1"/>
  <c r="T24" i="146"/>
  <c r="S24" i="146"/>
  <c r="N24" i="146"/>
  <c r="L24" i="146"/>
  <c r="U24" i="146" s="1"/>
  <c r="J24" i="146"/>
  <c r="X23" i="146"/>
  <c r="W23" i="146"/>
  <c r="N23" i="146"/>
  <c r="L23" i="146"/>
  <c r="U23" i="146" s="1"/>
  <c r="J23" i="146"/>
  <c r="W22" i="146"/>
  <c r="X22" i="146" s="1"/>
  <c r="U22" i="146"/>
  <c r="T22" i="146"/>
  <c r="S22" i="146"/>
  <c r="N22" i="146"/>
  <c r="L22" i="146"/>
  <c r="J22" i="146"/>
  <c r="W21" i="146"/>
  <c r="X21" i="146" s="1"/>
  <c r="N21" i="146"/>
  <c r="L21" i="146"/>
  <c r="U21" i="146" s="1"/>
  <c r="J21" i="146"/>
  <c r="W20" i="146"/>
  <c r="X20" i="146" s="1"/>
  <c r="N20" i="146"/>
  <c r="L20" i="146"/>
  <c r="U20" i="146" s="1"/>
  <c r="J20" i="146"/>
  <c r="W19" i="146"/>
  <c r="X19" i="146" s="1"/>
  <c r="N19" i="146"/>
  <c r="L19" i="146"/>
  <c r="J19" i="146"/>
  <c r="W18" i="146"/>
  <c r="X18" i="146" s="1"/>
  <c r="N18" i="146"/>
  <c r="L18" i="146"/>
  <c r="S18" i="146" s="1"/>
  <c r="J18" i="146"/>
  <c r="W17" i="146"/>
  <c r="X17" i="146" s="1"/>
  <c r="N17" i="146"/>
  <c r="L17" i="146"/>
  <c r="J17" i="146"/>
  <c r="W16" i="146"/>
  <c r="X16" i="146" s="1"/>
  <c r="N16" i="146"/>
  <c r="L16" i="146"/>
  <c r="J16" i="146"/>
  <c r="W15" i="146"/>
  <c r="X15" i="146" s="1"/>
  <c r="N15" i="146"/>
  <c r="L15" i="146"/>
  <c r="T15" i="146" s="1"/>
  <c r="J15" i="146"/>
  <c r="W14" i="146"/>
  <c r="X14" i="146" s="1"/>
  <c r="T14" i="146"/>
  <c r="S14" i="146"/>
  <c r="N14" i="146"/>
  <c r="L14" i="146"/>
  <c r="U14" i="146" s="1"/>
  <c r="J14" i="146"/>
  <c r="W13" i="146"/>
  <c r="X13" i="146" s="1"/>
  <c r="N13" i="146"/>
  <c r="L13" i="146"/>
  <c r="S13" i="146" s="1"/>
  <c r="J13" i="146"/>
  <c r="W12" i="146"/>
  <c r="X12" i="146" s="1"/>
  <c r="T12" i="146"/>
  <c r="N12" i="146"/>
  <c r="L12" i="146"/>
  <c r="U12" i="146" s="1"/>
  <c r="J12" i="146"/>
  <c r="W11" i="146"/>
  <c r="X11" i="146" s="1"/>
  <c r="N11" i="146"/>
  <c r="L11" i="146"/>
  <c r="J11" i="146"/>
  <c r="W10" i="146"/>
  <c r="X10" i="146" s="1"/>
  <c r="N10" i="146"/>
  <c r="L10" i="146"/>
  <c r="S10" i="146" s="1"/>
  <c r="J10" i="146"/>
  <c r="W9" i="146"/>
  <c r="X9" i="146" s="1"/>
  <c r="U9" i="146"/>
  <c r="T9" i="146"/>
  <c r="S9" i="146"/>
  <c r="N9" i="146"/>
  <c r="L9" i="146"/>
  <c r="J9" i="146"/>
  <c r="W8" i="146"/>
  <c r="X8" i="146" s="1"/>
  <c r="T8" i="146"/>
  <c r="S8" i="146"/>
  <c r="N8" i="146"/>
  <c r="L8" i="146"/>
  <c r="U8" i="146" s="1"/>
  <c r="J8" i="146"/>
  <c r="W7" i="146"/>
  <c r="X7" i="146" s="1"/>
  <c r="U7" i="146"/>
  <c r="N7" i="146"/>
  <c r="L7" i="146"/>
  <c r="T7" i="146" s="1"/>
  <c r="J7" i="146"/>
  <c r="W6" i="146"/>
  <c r="X6" i="146" s="1"/>
  <c r="N6" i="146"/>
  <c r="L6" i="146"/>
  <c r="J6" i="146"/>
  <c r="W5" i="146"/>
  <c r="X5" i="146" s="1"/>
  <c r="N5" i="146"/>
  <c r="L5" i="146"/>
  <c r="S5" i="146" s="1"/>
  <c r="J5" i="146"/>
  <c r="W4" i="146"/>
  <c r="X4" i="146" s="1"/>
  <c r="N4" i="146"/>
  <c r="L4" i="146"/>
  <c r="J4" i="146"/>
  <c r="W3" i="146"/>
  <c r="T3" i="146"/>
  <c r="S3" i="146"/>
  <c r="N3" i="146"/>
  <c r="L3" i="146"/>
  <c r="U3" i="146" s="1"/>
  <c r="J3" i="146"/>
  <c r="W108" i="143"/>
  <c r="N108" i="143"/>
  <c r="L108" i="143"/>
  <c r="U108" i="143" s="1"/>
  <c r="J108" i="143"/>
  <c r="W107" i="143"/>
  <c r="N107" i="143"/>
  <c r="L107" i="143"/>
  <c r="U107" i="143" s="1"/>
  <c r="J107" i="143"/>
  <c r="W106" i="143"/>
  <c r="N106" i="143"/>
  <c r="L106" i="143"/>
  <c r="U106" i="143" s="1"/>
  <c r="J106" i="143"/>
  <c r="R101" i="143"/>
  <c r="Q101" i="143"/>
  <c r="O101" i="143"/>
  <c r="M101" i="143"/>
  <c r="K101" i="143"/>
  <c r="I101" i="143"/>
  <c r="H101" i="143"/>
  <c r="E101" i="143"/>
  <c r="W100" i="143"/>
  <c r="N100" i="143"/>
  <c r="L100" i="143"/>
  <c r="U100" i="143" s="1"/>
  <c r="J100" i="143"/>
  <c r="W99" i="143"/>
  <c r="N99" i="143"/>
  <c r="L99" i="143"/>
  <c r="U99" i="143" s="1"/>
  <c r="J99" i="143"/>
  <c r="W98" i="143"/>
  <c r="N98" i="143"/>
  <c r="L98" i="143"/>
  <c r="U98" i="143" s="1"/>
  <c r="J98" i="143"/>
  <c r="W97" i="143"/>
  <c r="N97" i="143"/>
  <c r="L97" i="143"/>
  <c r="U97" i="143" s="1"/>
  <c r="J97" i="143"/>
  <c r="W96" i="143"/>
  <c r="N96" i="143"/>
  <c r="L96" i="143"/>
  <c r="U96" i="143" s="1"/>
  <c r="J96" i="143"/>
  <c r="W95" i="143"/>
  <c r="X95" i="143" s="1"/>
  <c r="N95" i="143"/>
  <c r="L95" i="143"/>
  <c r="T95" i="143" s="1"/>
  <c r="J95" i="143"/>
  <c r="W94" i="143"/>
  <c r="U94" i="143"/>
  <c r="N94" i="143"/>
  <c r="L94" i="143"/>
  <c r="S94" i="143" s="1"/>
  <c r="J94" i="143"/>
  <c r="W93" i="143"/>
  <c r="N93" i="143"/>
  <c r="L93" i="143"/>
  <c r="U93" i="143" s="1"/>
  <c r="J93" i="143"/>
  <c r="W92" i="143"/>
  <c r="N92" i="143"/>
  <c r="L92" i="143"/>
  <c r="U92" i="143" s="1"/>
  <c r="J92" i="143"/>
  <c r="W91" i="143"/>
  <c r="N91" i="143"/>
  <c r="L91" i="143"/>
  <c r="U91" i="143" s="1"/>
  <c r="J91" i="143"/>
  <c r="W90" i="143"/>
  <c r="N90" i="143"/>
  <c r="L90" i="143"/>
  <c r="U90" i="143" s="1"/>
  <c r="J90" i="143"/>
  <c r="W89" i="143"/>
  <c r="U89" i="143"/>
  <c r="T89" i="143"/>
  <c r="X89" i="143" s="1"/>
  <c r="S89" i="143"/>
  <c r="N89" i="143"/>
  <c r="L89" i="143"/>
  <c r="J89" i="143"/>
  <c r="W88" i="143"/>
  <c r="N88" i="143"/>
  <c r="L88" i="143"/>
  <c r="T88" i="143" s="1"/>
  <c r="J88" i="143"/>
  <c r="W87" i="143"/>
  <c r="N87" i="143"/>
  <c r="L87" i="143"/>
  <c r="S87" i="143" s="1"/>
  <c r="J87" i="143"/>
  <c r="W86" i="143"/>
  <c r="N86" i="143"/>
  <c r="L86" i="143"/>
  <c r="U86" i="143" s="1"/>
  <c r="J86" i="143"/>
  <c r="W85" i="143"/>
  <c r="N85" i="143"/>
  <c r="L85" i="143"/>
  <c r="U85" i="143" s="1"/>
  <c r="J85" i="143"/>
  <c r="W84" i="143"/>
  <c r="N84" i="143"/>
  <c r="L84" i="143"/>
  <c r="S84" i="143" s="1"/>
  <c r="J84" i="143"/>
  <c r="W83" i="143"/>
  <c r="X83" i="143" s="1"/>
  <c r="U83" i="143"/>
  <c r="T83" i="143"/>
  <c r="N83" i="143"/>
  <c r="L83" i="143"/>
  <c r="S83" i="143" s="1"/>
  <c r="J83" i="143"/>
  <c r="W82" i="143"/>
  <c r="U82" i="143"/>
  <c r="T82" i="143"/>
  <c r="X82" i="143" s="1"/>
  <c r="S82" i="143"/>
  <c r="N82" i="143"/>
  <c r="L82" i="143"/>
  <c r="J82" i="143"/>
  <c r="W81" i="143"/>
  <c r="U81" i="143"/>
  <c r="N81" i="143"/>
  <c r="L81" i="143"/>
  <c r="T81" i="143" s="1"/>
  <c r="J81" i="143"/>
  <c r="W80" i="143"/>
  <c r="N80" i="143"/>
  <c r="L80" i="143"/>
  <c r="S80" i="143" s="1"/>
  <c r="J80" i="143"/>
  <c r="W79" i="143"/>
  <c r="N79" i="143"/>
  <c r="L79" i="143"/>
  <c r="U79" i="143" s="1"/>
  <c r="J79" i="143"/>
  <c r="J103" i="143" s="1"/>
  <c r="W78" i="143"/>
  <c r="N78" i="143"/>
  <c r="N101" i="143" s="1"/>
  <c r="L78" i="143"/>
  <c r="J78" i="143"/>
  <c r="W71" i="143"/>
  <c r="N71" i="143"/>
  <c r="L71" i="143"/>
  <c r="U71" i="143" s="1"/>
  <c r="J71" i="143"/>
  <c r="W70" i="143"/>
  <c r="N70" i="143"/>
  <c r="L70" i="143"/>
  <c r="U70" i="143" s="1"/>
  <c r="J70" i="143"/>
  <c r="R65" i="143"/>
  <c r="Q65" i="143"/>
  <c r="O65" i="143"/>
  <c r="M65" i="143"/>
  <c r="K65" i="143"/>
  <c r="I65" i="143"/>
  <c r="J66" i="143" s="1"/>
  <c r="H65" i="143"/>
  <c r="E65" i="143"/>
  <c r="W64" i="143"/>
  <c r="N64" i="143"/>
  <c r="L64" i="143"/>
  <c r="T64" i="143" s="1"/>
  <c r="J64" i="143"/>
  <c r="W63" i="143"/>
  <c r="N63" i="143"/>
  <c r="L63" i="143"/>
  <c r="U63" i="143" s="1"/>
  <c r="J63" i="143"/>
  <c r="W62" i="143"/>
  <c r="U62" i="143"/>
  <c r="T62" i="143"/>
  <c r="X62" i="143" s="1"/>
  <c r="S62" i="143"/>
  <c r="N62" i="143"/>
  <c r="L62" i="143"/>
  <c r="J62" i="143"/>
  <c r="W61" i="143"/>
  <c r="N61" i="143"/>
  <c r="L61" i="143"/>
  <c r="T61" i="143" s="1"/>
  <c r="J61" i="143"/>
  <c r="W60" i="143"/>
  <c r="N60" i="143"/>
  <c r="L60" i="143"/>
  <c r="S60" i="143" s="1"/>
  <c r="J60" i="143"/>
  <c r="W59" i="143"/>
  <c r="N59" i="143"/>
  <c r="L59" i="143"/>
  <c r="U59" i="143" s="1"/>
  <c r="J59" i="143"/>
  <c r="W58" i="143"/>
  <c r="N58" i="143"/>
  <c r="L58" i="143"/>
  <c r="U58" i="143" s="1"/>
  <c r="J58" i="143"/>
  <c r="W57" i="143"/>
  <c r="U57" i="143"/>
  <c r="N57" i="143"/>
  <c r="L57" i="143"/>
  <c r="T57" i="143" s="1"/>
  <c r="J57" i="143"/>
  <c r="W56" i="143"/>
  <c r="N56" i="143"/>
  <c r="L56" i="143"/>
  <c r="J56" i="143"/>
  <c r="W55" i="143"/>
  <c r="N55" i="143"/>
  <c r="L55" i="143"/>
  <c r="U55" i="143" s="1"/>
  <c r="J55" i="143"/>
  <c r="W49" i="143"/>
  <c r="N49" i="143"/>
  <c r="L49" i="143"/>
  <c r="S49" i="143" s="1"/>
  <c r="J49" i="143"/>
  <c r="W48" i="143"/>
  <c r="N48" i="143"/>
  <c r="L48" i="143"/>
  <c r="S48" i="143" s="1"/>
  <c r="J48" i="143"/>
  <c r="W47" i="143"/>
  <c r="T47" i="143"/>
  <c r="N47" i="143"/>
  <c r="L47" i="143"/>
  <c r="U47" i="143" s="1"/>
  <c r="J47" i="143"/>
  <c r="W46" i="143"/>
  <c r="X46" i="143" s="1"/>
  <c r="T46" i="143"/>
  <c r="N46" i="143"/>
  <c r="L46" i="143"/>
  <c r="U46" i="143" s="1"/>
  <c r="J46" i="143"/>
  <c r="R38" i="143"/>
  <c r="Q38" i="143"/>
  <c r="O38" i="143"/>
  <c r="M38" i="143"/>
  <c r="K38" i="143"/>
  <c r="I38" i="143"/>
  <c r="H38" i="143"/>
  <c r="E38" i="143"/>
  <c r="W37" i="143"/>
  <c r="U37" i="143"/>
  <c r="N37" i="143"/>
  <c r="L37" i="143"/>
  <c r="T37" i="143" s="1"/>
  <c r="J37" i="143"/>
  <c r="W36" i="143"/>
  <c r="T36" i="143"/>
  <c r="X36" i="143" s="1"/>
  <c r="N36" i="143"/>
  <c r="L36" i="143"/>
  <c r="U36" i="143" s="1"/>
  <c r="J36" i="143"/>
  <c r="W35" i="143"/>
  <c r="U35" i="143"/>
  <c r="N35" i="143"/>
  <c r="L35" i="143"/>
  <c r="T35" i="143" s="1"/>
  <c r="J35" i="143"/>
  <c r="W34" i="143"/>
  <c r="N34" i="143"/>
  <c r="L34" i="143"/>
  <c r="S34" i="143" s="1"/>
  <c r="J34" i="143"/>
  <c r="W33" i="143"/>
  <c r="N33" i="143"/>
  <c r="L33" i="143"/>
  <c r="U33" i="143" s="1"/>
  <c r="J33" i="143"/>
  <c r="W32" i="143"/>
  <c r="N32" i="143"/>
  <c r="L32" i="143"/>
  <c r="U32" i="143" s="1"/>
  <c r="J32" i="143"/>
  <c r="W31" i="143"/>
  <c r="N31" i="143"/>
  <c r="L31" i="143"/>
  <c r="U31" i="143" s="1"/>
  <c r="J31" i="143"/>
  <c r="W30" i="143"/>
  <c r="N30" i="143"/>
  <c r="L30" i="143"/>
  <c r="U30" i="143" s="1"/>
  <c r="J30" i="143"/>
  <c r="W29" i="143"/>
  <c r="N29" i="143"/>
  <c r="L29" i="143"/>
  <c r="U29" i="143" s="1"/>
  <c r="J29" i="143"/>
  <c r="W28" i="143"/>
  <c r="X28" i="143" s="1"/>
  <c r="N28" i="143"/>
  <c r="L28" i="143"/>
  <c r="T28" i="143" s="1"/>
  <c r="J28" i="143"/>
  <c r="W27" i="143"/>
  <c r="U27" i="143"/>
  <c r="N27" i="143"/>
  <c r="L27" i="143"/>
  <c r="S27" i="143" s="1"/>
  <c r="J27" i="143"/>
  <c r="W26" i="143"/>
  <c r="N26" i="143"/>
  <c r="L26" i="143"/>
  <c r="U26" i="143" s="1"/>
  <c r="J26" i="143"/>
  <c r="W25" i="143"/>
  <c r="N25" i="143"/>
  <c r="L25" i="143"/>
  <c r="U25" i="143" s="1"/>
  <c r="J25" i="143"/>
  <c r="W24" i="143"/>
  <c r="N24" i="143"/>
  <c r="L24" i="143"/>
  <c r="U24" i="143" s="1"/>
  <c r="J24" i="143"/>
  <c r="W23" i="143"/>
  <c r="N23" i="143"/>
  <c r="L23" i="143"/>
  <c r="U23" i="143" s="1"/>
  <c r="J23" i="143"/>
  <c r="W22" i="143"/>
  <c r="U22" i="143"/>
  <c r="T22" i="143"/>
  <c r="X22" i="143" s="1"/>
  <c r="S22" i="143"/>
  <c r="N22" i="143"/>
  <c r="L22" i="143"/>
  <c r="J22" i="143"/>
  <c r="W21" i="143"/>
  <c r="N21" i="143"/>
  <c r="L21" i="143"/>
  <c r="T21" i="143" s="1"/>
  <c r="J21" i="143"/>
  <c r="W20" i="143"/>
  <c r="N20" i="143"/>
  <c r="L20" i="143"/>
  <c r="S20" i="143" s="1"/>
  <c r="J20" i="143"/>
  <c r="W19" i="143"/>
  <c r="N19" i="143"/>
  <c r="L19" i="143"/>
  <c r="U19" i="143" s="1"/>
  <c r="J19" i="143"/>
  <c r="W18" i="143"/>
  <c r="N18" i="143"/>
  <c r="L18" i="143"/>
  <c r="U18" i="143" s="1"/>
  <c r="J18" i="143"/>
  <c r="W17" i="143"/>
  <c r="N17" i="143"/>
  <c r="L17" i="143"/>
  <c r="U17" i="143" s="1"/>
  <c r="J17" i="143"/>
  <c r="W16" i="143"/>
  <c r="X16" i="143" s="1"/>
  <c r="U16" i="143"/>
  <c r="T16" i="143"/>
  <c r="N16" i="143"/>
  <c r="L16" i="143"/>
  <c r="S16" i="143" s="1"/>
  <c r="J16" i="143"/>
  <c r="W15" i="143"/>
  <c r="U15" i="143"/>
  <c r="T15" i="143"/>
  <c r="X15" i="143" s="1"/>
  <c r="S15" i="143"/>
  <c r="N15" i="143"/>
  <c r="L15" i="143"/>
  <c r="J15" i="143"/>
  <c r="W14" i="143"/>
  <c r="U14" i="143"/>
  <c r="N14" i="143"/>
  <c r="L14" i="143"/>
  <c r="T14" i="143" s="1"/>
  <c r="J14" i="143"/>
  <c r="W13" i="143"/>
  <c r="N13" i="143"/>
  <c r="L13" i="143"/>
  <c r="S13" i="143" s="1"/>
  <c r="J13" i="143"/>
  <c r="W12" i="143"/>
  <c r="N12" i="143"/>
  <c r="L12" i="143"/>
  <c r="U12" i="143" s="1"/>
  <c r="J12" i="143"/>
  <c r="W11" i="143"/>
  <c r="N11" i="143"/>
  <c r="L11" i="143"/>
  <c r="U11" i="143" s="1"/>
  <c r="J11" i="143"/>
  <c r="W10" i="143"/>
  <c r="N10" i="143"/>
  <c r="L10" i="143"/>
  <c r="S10" i="143" s="1"/>
  <c r="J10" i="143"/>
  <c r="W9" i="143"/>
  <c r="N9" i="143"/>
  <c r="L9" i="143"/>
  <c r="U9" i="143" s="1"/>
  <c r="J9" i="143"/>
  <c r="W8" i="143"/>
  <c r="N8" i="143"/>
  <c r="L8" i="143"/>
  <c r="U8" i="143" s="1"/>
  <c r="J8" i="143"/>
  <c r="W7" i="143"/>
  <c r="U7" i="143"/>
  <c r="N7" i="143"/>
  <c r="L7" i="143"/>
  <c r="T7" i="143" s="1"/>
  <c r="J7" i="143"/>
  <c r="W6" i="143"/>
  <c r="X6" i="143" s="1"/>
  <c r="U6" i="143"/>
  <c r="T6" i="143"/>
  <c r="N6" i="143"/>
  <c r="L6" i="143"/>
  <c r="S6" i="143" s="1"/>
  <c r="J6" i="143"/>
  <c r="W5" i="143"/>
  <c r="N5" i="143"/>
  <c r="L5" i="143"/>
  <c r="U5" i="143" s="1"/>
  <c r="J5" i="143"/>
  <c r="W4" i="143"/>
  <c r="N4" i="143"/>
  <c r="L4" i="143"/>
  <c r="U4" i="143" s="1"/>
  <c r="J4" i="143"/>
  <c r="W3" i="143"/>
  <c r="N3" i="143"/>
  <c r="N38" i="143" s="1"/>
  <c r="L3" i="143"/>
  <c r="U3" i="143" s="1"/>
  <c r="J3" i="143"/>
  <c r="W2" i="143"/>
  <c r="N2" i="143"/>
  <c r="L2" i="143"/>
  <c r="U2" i="143" s="1"/>
  <c r="J2" i="143"/>
  <c r="P3" i="136"/>
  <c r="O3" i="136"/>
  <c r="M3" i="136"/>
  <c r="L3" i="136"/>
  <c r="K3" i="136"/>
  <c r="S5" i="136" s="1"/>
  <c r="J3" i="136"/>
  <c r="H3" i="136"/>
  <c r="I4" i="136" s="1"/>
  <c r="G3" i="136"/>
  <c r="D3" i="136"/>
  <c r="K2" i="136"/>
  <c r="S2" i="136" s="1"/>
  <c r="I2" i="136"/>
  <c r="I5" i="136" s="1"/>
  <c r="J40" i="143" l="1"/>
  <c r="U40" i="146"/>
  <c r="U193" i="146"/>
  <c r="S43" i="146"/>
  <c r="X48" i="143"/>
  <c r="L65" i="143"/>
  <c r="U67" i="143" s="1"/>
  <c r="U112" i="146"/>
  <c r="U201" i="146"/>
  <c r="S30" i="143"/>
  <c r="S50" i="146"/>
  <c r="S124" i="146"/>
  <c r="U153" i="146"/>
  <c r="U174" i="146"/>
  <c r="S188" i="146"/>
  <c r="T197" i="146"/>
  <c r="T30" i="143"/>
  <c r="X30" i="143" s="1"/>
  <c r="J39" i="143"/>
  <c r="T59" i="143"/>
  <c r="U64" i="143"/>
  <c r="S70" i="143"/>
  <c r="T87" i="143"/>
  <c r="T97" i="143"/>
  <c r="X97" i="143" s="1"/>
  <c r="S106" i="143"/>
  <c r="T5" i="146"/>
  <c r="S40" i="146"/>
  <c r="T50" i="146"/>
  <c r="T64" i="146"/>
  <c r="S66" i="146"/>
  <c r="T78" i="146"/>
  <c r="U83" i="146"/>
  <c r="T85" i="146"/>
  <c r="U90" i="146"/>
  <c r="S106" i="146"/>
  <c r="S120" i="146"/>
  <c r="S122" i="146"/>
  <c r="U124" i="146"/>
  <c r="U143" i="146"/>
  <c r="T148" i="146"/>
  <c r="S170" i="146"/>
  <c r="T188" i="146"/>
  <c r="S193" i="146"/>
  <c r="S195" i="146"/>
  <c r="S59" i="143"/>
  <c r="S97" i="143"/>
  <c r="S64" i="146"/>
  <c r="S78" i="146"/>
  <c r="S85" i="146"/>
  <c r="T115" i="146"/>
  <c r="S148" i="146"/>
  <c r="S9" i="143"/>
  <c r="T20" i="143"/>
  <c r="X20" i="143" s="1"/>
  <c r="T9" i="143"/>
  <c r="X9" i="143" s="1"/>
  <c r="U20" i="143"/>
  <c r="U28" i="143"/>
  <c r="S36" i="143"/>
  <c r="S47" i="143"/>
  <c r="X64" i="143"/>
  <c r="T70" i="143"/>
  <c r="U87" i="143"/>
  <c r="U95" i="143"/>
  <c r="T106" i="143"/>
  <c r="X106" i="143" s="1"/>
  <c r="U5" i="146"/>
  <c r="S12" i="146"/>
  <c r="T66" i="146"/>
  <c r="T106" i="146"/>
  <c r="T120" i="146"/>
  <c r="T122" i="146"/>
  <c r="T170" i="146"/>
  <c r="T195" i="146"/>
  <c r="S2" i="143"/>
  <c r="T13" i="143"/>
  <c r="X13" i="143" s="1"/>
  <c r="T23" i="143"/>
  <c r="X23" i="143" s="1"/>
  <c r="U34" i="143"/>
  <c r="T55" i="143"/>
  <c r="X55" i="143" s="1"/>
  <c r="T80" i="143"/>
  <c r="X80" i="143" s="1"/>
  <c r="T90" i="143"/>
  <c r="X90" i="143" s="1"/>
  <c r="T10" i="146"/>
  <c r="S15" i="146"/>
  <c r="T23" i="146"/>
  <c r="T36" i="146"/>
  <c r="T43" i="146"/>
  <c r="S99" i="146"/>
  <c r="U125" i="146"/>
  <c r="U129" i="146"/>
  <c r="T134" i="146"/>
  <c r="S154" i="146"/>
  <c r="S166" i="146"/>
  <c r="U175" i="146"/>
  <c r="X37" i="143"/>
  <c r="J102" i="143"/>
  <c r="S55" i="143"/>
  <c r="T175" i="146"/>
  <c r="T2" i="143"/>
  <c r="X2" i="143" s="1"/>
  <c r="U134" i="146"/>
  <c r="U166" i="146"/>
  <c r="S8" i="143"/>
  <c r="T29" i="143"/>
  <c r="X29" i="143" s="1"/>
  <c r="W65" i="143"/>
  <c r="S58" i="143"/>
  <c r="U60" i="143"/>
  <c r="T96" i="143"/>
  <c r="X96" i="143" s="1"/>
  <c r="T107" i="143"/>
  <c r="X107" i="143" s="1"/>
  <c r="J181" i="146"/>
  <c r="U15" i="146"/>
  <c r="T63" i="146"/>
  <c r="T65" i="146"/>
  <c r="T79" i="146"/>
  <c r="T84" i="146"/>
  <c r="U99" i="146"/>
  <c r="S119" i="146"/>
  <c r="S121" i="146"/>
  <c r="T149" i="146"/>
  <c r="S169" i="146"/>
  <c r="S171" i="146"/>
  <c r="U173" i="146"/>
  <c r="T187" i="146"/>
  <c r="S194" i="146"/>
  <c r="W101" i="143"/>
  <c r="X47" i="143"/>
  <c r="S90" i="143"/>
  <c r="S23" i="146"/>
  <c r="U21" i="143"/>
  <c r="S29" i="143"/>
  <c r="X34" i="143"/>
  <c r="T60" i="143"/>
  <c r="U80" i="143"/>
  <c r="U88" i="143"/>
  <c r="S96" i="143"/>
  <c r="S107" i="143"/>
  <c r="U10" i="146"/>
  <c r="U36" i="146"/>
  <c r="S65" i="146"/>
  <c r="S79" i="146"/>
  <c r="U139" i="146"/>
  <c r="T154" i="146"/>
  <c r="S187" i="146"/>
  <c r="T8" i="143"/>
  <c r="X8" i="143" s="1"/>
  <c r="S37" i="143"/>
  <c r="T48" i="143"/>
  <c r="T58" i="143"/>
  <c r="X58" i="143" s="1"/>
  <c r="X60" i="143"/>
  <c r="U63" i="146"/>
  <c r="T77" i="146"/>
  <c r="U84" i="146"/>
  <c r="U94" i="146"/>
  <c r="S112" i="146"/>
  <c r="T119" i="146"/>
  <c r="T121" i="146"/>
  <c r="U132" i="146"/>
  <c r="T164" i="146"/>
  <c r="T169" i="146"/>
  <c r="T171" i="146"/>
  <c r="T194" i="146"/>
  <c r="S201" i="146"/>
  <c r="X94" i="143"/>
  <c r="X59" i="143"/>
  <c r="X87" i="143"/>
  <c r="L38" i="143"/>
  <c r="U40" i="143" s="1"/>
  <c r="N65" i="143"/>
  <c r="X70" i="143"/>
  <c r="J180" i="146"/>
  <c r="S23" i="143"/>
  <c r="T34" i="143"/>
  <c r="U104" i="146"/>
  <c r="T129" i="146"/>
  <c r="U13" i="143"/>
  <c r="S173" i="146"/>
  <c r="T27" i="143"/>
  <c r="X27" i="143" s="1"/>
  <c r="S46" i="143"/>
  <c r="U48" i="143"/>
  <c r="J67" i="143"/>
  <c r="L101" i="143"/>
  <c r="T94" i="143"/>
  <c r="U77" i="146"/>
  <c r="U192" i="146"/>
  <c r="U199" i="146"/>
  <c r="U11" i="146"/>
  <c r="T11" i="146"/>
  <c r="U86" i="146"/>
  <c r="T86" i="146"/>
  <c r="U13" i="146"/>
  <c r="T70" i="146"/>
  <c r="S70" i="146"/>
  <c r="U70" i="146"/>
  <c r="U91" i="146"/>
  <c r="T91" i="146"/>
  <c r="S91" i="146"/>
  <c r="U109" i="146"/>
  <c r="T109" i="146"/>
  <c r="S109" i="146"/>
  <c r="T159" i="146"/>
  <c r="S159" i="146"/>
  <c r="U159" i="146"/>
  <c r="S11" i="146"/>
  <c r="U30" i="146"/>
  <c r="T30" i="146"/>
  <c r="S30" i="146"/>
  <c r="S86" i="146"/>
  <c r="U107" i="146"/>
  <c r="T107" i="146"/>
  <c r="S107" i="146"/>
  <c r="T28" i="146"/>
  <c r="S28" i="146"/>
  <c r="T33" i="146"/>
  <c r="S33" i="146"/>
  <c r="U33" i="146"/>
  <c r="T82" i="146"/>
  <c r="U82" i="146"/>
  <c r="U123" i="146"/>
  <c r="T123" i="146"/>
  <c r="S123" i="146"/>
  <c r="T147" i="146"/>
  <c r="U147" i="146"/>
  <c r="U4" i="146"/>
  <c r="T4" i="146"/>
  <c r="S4" i="146"/>
  <c r="U32" i="146"/>
  <c r="T32" i="146"/>
  <c r="S32" i="146"/>
  <c r="U93" i="146"/>
  <c r="T93" i="146"/>
  <c r="S93" i="146"/>
  <c r="U168" i="146"/>
  <c r="T168" i="146"/>
  <c r="S168" i="146"/>
  <c r="U18" i="146"/>
  <c r="T18" i="146"/>
  <c r="U35" i="146"/>
  <c r="T35" i="146"/>
  <c r="S35" i="146"/>
  <c r="U49" i="146"/>
  <c r="T49" i="146"/>
  <c r="S49" i="146"/>
  <c r="U88" i="146"/>
  <c r="T88" i="146"/>
  <c r="S88" i="146"/>
  <c r="U101" i="146"/>
  <c r="T101" i="146"/>
  <c r="S101" i="146"/>
  <c r="T13" i="146"/>
  <c r="U16" i="146"/>
  <c r="T16" i="146"/>
  <c r="S16" i="146"/>
  <c r="U102" i="146"/>
  <c r="T102" i="146"/>
  <c r="S102" i="146"/>
  <c r="U142" i="146"/>
  <c r="T142" i="146"/>
  <c r="S142" i="146"/>
  <c r="T152" i="146"/>
  <c r="U152" i="146"/>
  <c r="S152" i="146"/>
  <c r="U105" i="146"/>
  <c r="T105" i="146"/>
  <c r="S105" i="146"/>
  <c r="U137" i="146"/>
  <c r="T137" i="146"/>
  <c r="S137" i="146"/>
  <c r="N179" i="146"/>
  <c r="U80" i="146"/>
  <c r="T80" i="146"/>
  <c r="S80" i="146"/>
  <c r="U140" i="146"/>
  <c r="T140" i="146"/>
  <c r="S140" i="146"/>
  <c r="T26" i="146"/>
  <c r="T34" i="146"/>
  <c r="S34" i="146"/>
  <c r="U34" i="146"/>
  <c r="T48" i="146"/>
  <c r="S48" i="146"/>
  <c r="U100" i="146"/>
  <c r="T100" i="146"/>
  <c r="S100" i="146"/>
  <c r="U17" i="146"/>
  <c r="T17" i="146"/>
  <c r="S17" i="146"/>
  <c r="S20" i="146"/>
  <c r="T20" i="146"/>
  <c r="U26" i="146"/>
  <c r="T133" i="146"/>
  <c r="U133" i="146"/>
  <c r="S133" i="146"/>
  <c r="U48" i="146"/>
  <c r="U51" i="146"/>
  <c r="T51" i="146"/>
  <c r="S51" i="146"/>
  <c r="U98" i="146"/>
  <c r="T98" i="146"/>
  <c r="S98" i="146"/>
  <c r="U172" i="146"/>
  <c r="T172" i="146"/>
  <c r="S172" i="146"/>
  <c r="U151" i="146"/>
  <c r="T151" i="146"/>
  <c r="S151" i="146"/>
  <c r="U158" i="146"/>
  <c r="T158" i="146"/>
  <c r="S158" i="146"/>
  <c r="W179" i="146"/>
  <c r="U46" i="146"/>
  <c r="T46" i="146"/>
  <c r="T55" i="146"/>
  <c r="S55" i="146"/>
  <c r="U55" i="146"/>
  <c r="U156" i="146"/>
  <c r="T156" i="146"/>
  <c r="U165" i="146"/>
  <c r="T165" i="146"/>
  <c r="S165" i="146"/>
  <c r="X3" i="146"/>
  <c r="X179" i="146" s="1"/>
  <c r="S6" i="146"/>
  <c r="U6" i="146"/>
  <c r="T6" i="146"/>
  <c r="U67" i="146"/>
  <c r="T67" i="146"/>
  <c r="S67" i="146"/>
  <c r="S115" i="146"/>
  <c r="U163" i="146"/>
  <c r="S163" i="146"/>
  <c r="U189" i="146"/>
  <c r="T189" i="146"/>
  <c r="T27" i="146"/>
  <c r="S27" i="146"/>
  <c r="S56" i="146"/>
  <c r="S7" i="146"/>
  <c r="T62" i="146"/>
  <c r="S62" i="146"/>
  <c r="S68" i="146"/>
  <c r="T72" i="146"/>
  <c r="U96" i="146"/>
  <c r="S114" i="146"/>
  <c r="U150" i="146"/>
  <c r="T150" i="146"/>
  <c r="S150" i="146"/>
  <c r="S157" i="146"/>
  <c r="U203" i="146"/>
  <c r="T203" i="146"/>
  <c r="T21" i="146"/>
  <c r="S21" i="146"/>
  <c r="T47" i="146"/>
  <c r="U47" i="146"/>
  <c r="U74" i="146"/>
  <c r="T74" i="146"/>
  <c r="S74" i="146"/>
  <c r="U116" i="146"/>
  <c r="T116" i="146"/>
  <c r="S116" i="146"/>
  <c r="U25" i="146"/>
  <c r="T25" i="146"/>
  <c r="S31" i="146"/>
  <c r="S37" i="146"/>
  <c r="U39" i="146"/>
  <c r="T39" i="146"/>
  <c r="T41" i="146"/>
  <c r="S41" i="146"/>
  <c r="S72" i="146"/>
  <c r="T89" i="146"/>
  <c r="U89" i="146"/>
  <c r="S89" i="146"/>
  <c r="S96" i="146"/>
  <c r="T103" i="146"/>
  <c r="U103" i="146"/>
  <c r="T138" i="146"/>
  <c r="U138" i="146"/>
  <c r="S138" i="146"/>
  <c r="S203" i="146"/>
  <c r="U19" i="146"/>
  <c r="T19" i="146"/>
  <c r="S19" i="146"/>
  <c r="U27" i="146"/>
  <c r="T31" i="146"/>
  <c r="T37" i="146"/>
  <c r="U45" i="146"/>
  <c r="T45" i="146"/>
  <c r="S47" i="146"/>
  <c r="T56" i="146"/>
  <c r="L179" i="146"/>
  <c r="S25" i="146"/>
  <c r="S39" i="146"/>
  <c r="U41" i="146"/>
  <c r="S54" i="146"/>
  <c r="U60" i="146"/>
  <c r="T60" i="146"/>
  <c r="U68" i="146"/>
  <c r="S94" i="146"/>
  <c r="S103" i="146"/>
  <c r="T114" i="146"/>
  <c r="S143" i="146"/>
  <c r="U157" i="146"/>
  <c r="S164" i="146"/>
  <c r="U53" i="146"/>
  <c r="T53" i="146"/>
  <c r="U95" i="146"/>
  <c r="T95" i="146"/>
  <c r="S95" i="146"/>
  <c r="U144" i="146"/>
  <c r="T144" i="146"/>
  <c r="S144" i="146"/>
  <c r="U198" i="146"/>
  <c r="T198" i="146"/>
  <c r="S198" i="146"/>
  <c r="U196" i="146"/>
  <c r="T196" i="146"/>
  <c r="S53" i="146"/>
  <c r="U81" i="146"/>
  <c r="T81" i="146"/>
  <c r="S81" i="146"/>
  <c r="U130" i="146"/>
  <c r="T130" i="146"/>
  <c r="S130" i="146"/>
  <c r="T192" i="146"/>
  <c r="S145" i="146"/>
  <c r="S149" i="146"/>
  <c r="T199" i="146"/>
  <c r="S131" i="146"/>
  <c r="S135" i="146"/>
  <c r="U191" i="146"/>
  <c r="T191" i="146"/>
  <c r="S191" i="146"/>
  <c r="S197" i="146"/>
  <c r="S69" i="146"/>
  <c r="S76" i="146"/>
  <c r="S83" i="146"/>
  <c r="S90" i="146"/>
  <c r="S97" i="146"/>
  <c r="S104" i="146"/>
  <c r="S111" i="146"/>
  <c r="S118" i="146"/>
  <c r="S125" i="146"/>
  <c r="S132" i="146"/>
  <c r="S139" i="146"/>
  <c r="S146" i="146"/>
  <c r="S153" i="146"/>
  <c r="S160" i="146"/>
  <c r="S167" i="146"/>
  <c r="S174" i="146"/>
  <c r="X35" i="143"/>
  <c r="X14" i="143"/>
  <c r="X61" i="143"/>
  <c r="X81" i="143"/>
  <c r="X49" i="143"/>
  <c r="X7" i="143"/>
  <c r="X57" i="143"/>
  <c r="X21" i="143"/>
  <c r="X88" i="143"/>
  <c r="R103" i="143"/>
  <c r="O103" i="143"/>
  <c r="U103" i="143"/>
  <c r="X11" i="143"/>
  <c r="W38" i="143"/>
  <c r="S4" i="143"/>
  <c r="S11" i="143"/>
  <c r="S18" i="143"/>
  <c r="S25" i="143"/>
  <c r="S32" i="143"/>
  <c r="S78" i="143"/>
  <c r="S85" i="143"/>
  <c r="S92" i="143"/>
  <c r="S99" i="143"/>
  <c r="T4" i="143"/>
  <c r="X4" i="143" s="1"/>
  <c r="T11" i="143"/>
  <c r="T18" i="143"/>
  <c r="X18" i="143" s="1"/>
  <c r="T25" i="143"/>
  <c r="X25" i="143" s="1"/>
  <c r="T32" i="143"/>
  <c r="X32" i="143" s="1"/>
  <c r="S57" i="143"/>
  <c r="S64" i="143"/>
  <c r="T78" i="143"/>
  <c r="X78" i="143" s="1"/>
  <c r="T85" i="143"/>
  <c r="X85" i="143" s="1"/>
  <c r="T92" i="143"/>
  <c r="X92" i="143" s="1"/>
  <c r="T99" i="143"/>
  <c r="X99" i="143" s="1"/>
  <c r="U78" i="143"/>
  <c r="T49" i="143"/>
  <c r="S71" i="143"/>
  <c r="S98" i="143"/>
  <c r="T3" i="143"/>
  <c r="X3" i="143" s="1"/>
  <c r="T10" i="143"/>
  <c r="X10" i="143" s="1"/>
  <c r="T17" i="143"/>
  <c r="X17" i="143" s="1"/>
  <c r="T24" i="143"/>
  <c r="X24" i="143" s="1"/>
  <c r="T31" i="143"/>
  <c r="X31" i="143" s="1"/>
  <c r="U49" i="143"/>
  <c r="S56" i="143"/>
  <c r="U61" i="143"/>
  <c r="S63" i="143"/>
  <c r="T71" i="143"/>
  <c r="X71" i="143" s="1"/>
  <c r="T84" i="143"/>
  <c r="X84" i="143" s="1"/>
  <c r="T91" i="143"/>
  <c r="X91" i="143" s="1"/>
  <c r="T98" i="143"/>
  <c r="X98" i="143" s="1"/>
  <c r="S108" i="143"/>
  <c r="S3" i="143"/>
  <c r="S17" i="143"/>
  <c r="S24" i="143"/>
  <c r="S31" i="143"/>
  <c r="S91" i="143"/>
  <c r="S5" i="143"/>
  <c r="U10" i="143"/>
  <c r="S12" i="143"/>
  <c r="S26" i="143"/>
  <c r="S33" i="143"/>
  <c r="T56" i="143"/>
  <c r="X56" i="143" s="1"/>
  <c r="T63" i="143"/>
  <c r="X63" i="143" s="1"/>
  <c r="S79" i="143"/>
  <c r="U84" i="143"/>
  <c r="S86" i="143"/>
  <c r="S93" i="143"/>
  <c r="S100" i="143"/>
  <c r="T108" i="143"/>
  <c r="X108" i="143" s="1"/>
  <c r="T5" i="143"/>
  <c r="X5" i="143" s="1"/>
  <c r="T12" i="143"/>
  <c r="X12" i="143" s="1"/>
  <c r="T19" i="143"/>
  <c r="X19" i="143" s="1"/>
  <c r="T26" i="143"/>
  <c r="X26" i="143" s="1"/>
  <c r="T33" i="143"/>
  <c r="X33" i="143" s="1"/>
  <c r="U56" i="143"/>
  <c r="T79" i="143"/>
  <c r="X79" i="143" s="1"/>
  <c r="T86" i="143"/>
  <c r="X86" i="143" s="1"/>
  <c r="T93" i="143"/>
  <c r="X93" i="143" s="1"/>
  <c r="T100" i="143"/>
  <c r="X100" i="143" s="1"/>
  <c r="S61" i="143"/>
  <c r="S19" i="143"/>
  <c r="S7" i="143"/>
  <c r="S14" i="143"/>
  <c r="S21" i="143"/>
  <c r="S28" i="143"/>
  <c r="S35" i="143"/>
  <c r="S81" i="143"/>
  <c r="S88" i="143"/>
  <c r="S95" i="143"/>
  <c r="Q2" i="136"/>
  <c r="M5" i="136"/>
  <c r="R2" i="136"/>
  <c r="P5" i="136"/>
  <c r="O40" i="143" l="1"/>
  <c r="O67" i="143"/>
  <c r="R67" i="143"/>
  <c r="R40" i="143"/>
  <c r="U181" i="146"/>
  <c r="R181" i="146"/>
  <c r="O181" i="146"/>
  <c r="X65" i="143"/>
  <c r="X38" i="143"/>
  <c r="X101" i="143"/>
  <c r="R14" i="149" l="1"/>
  <c r="Q14" i="149"/>
  <c r="O14" i="149"/>
  <c r="M14" i="149"/>
  <c r="K14" i="149"/>
  <c r="I14" i="149"/>
  <c r="H14" i="149"/>
  <c r="E14" i="149"/>
  <c r="W2" i="149"/>
  <c r="X2" i="149" s="1"/>
  <c r="N2" i="149"/>
  <c r="L2" i="149"/>
  <c r="S2" i="149" s="1"/>
  <c r="J2" i="149"/>
  <c r="W8" i="149"/>
  <c r="X8" i="149" s="1"/>
  <c r="N8" i="149"/>
  <c r="L8" i="149"/>
  <c r="S8" i="149" s="1"/>
  <c r="J8" i="149"/>
  <c r="W11" i="149"/>
  <c r="X11" i="149" s="1"/>
  <c r="N11" i="149"/>
  <c r="L11" i="149"/>
  <c r="U11" i="149" s="1"/>
  <c r="J11" i="149"/>
  <c r="W10" i="149"/>
  <c r="X10" i="149" s="1"/>
  <c r="N10" i="149"/>
  <c r="L10" i="149"/>
  <c r="S10" i="149" s="1"/>
  <c r="J10" i="149"/>
  <c r="W12" i="149"/>
  <c r="X12" i="149" s="1"/>
  <c r="N12" i="149"/>
  <c r="L12" i="149"/>
  <c r="T12" i="149" s="1"/>
  <c r="J12" i="149"/>
  <c r="W5" i="149"/>
  <c r="X5" i="149" s="1"/>
  <c r="N5" i="149"/>
  <c r="L5" i="149"/>
  <c r="J5" i="149"/>
  <c r="W9" i="149"/>
  <c r="X9" i="149" s="1"/>
  <c r="N9" i="149"/>
  <c r="L9" i="149"/>
  <c r="U9" i="149" s="1"/>
  <c r="J9" i="149"/>
  <c r="W7" i="149"/>
  <c r="X7" i="149" s="1"/>
  <c r="N7" i="149"/>
  <c r="L7" i="149"/>
  <c r="U7" i="149" s="1"/>
  <c r="J7" i="149"/>
  <c r="W6" i="149"/>
  <c r="X6" i="149" s="1"/>
  <c r="N6" i="149"/>
  <c r="L6" i="149"/>
  <c r="U6" i="149" s="1"/>
  <c r="J6" i="149"/>
  <c r="W3" i="149"/>
  <c r="X3" i="149" s="1"/>
  <c r="N3" i="149"/>
  <c r="L3" i="149"/>
  <c r="S3" i="149" s="1"/>
  <c r="J3" i="149"/>
  <c r="W4" i="149"/>
  <c r="X4" i="149" s="1"/>
  <c r="N4" i="149"/>
  <c r="L4" i="149"/>
  <c r="U4" i="149" s="1"/>
  <c r="J4" i="149"/>
  <c r="U2" i="149" l="1"/>
  <c r="S9" i="149"/>
  <c r="T9" i="149"/>
  <c r="T2" i="149"/>
  <c r="S7" i="149"/>
  <c r="T7" i="149"/>
  <c r="J15" i="149"/>
  <c r="S6" i="149"/>
  <c r="T6" i="149"/>
  <c r="S11" i="149"/>
  <c r="U5" i="149"/>
  <c r="T5" i="149"/>
  <c r="S5" i="149"/>
  <c r="L14" i="149"/>
  <c r="O16" i="149" s="1"/>
  <c r="N14" i="149"/>
  <c r="S4" i="149"/>
  <c r="S12" i="149"/>
  <c r="U12" i="149"/>
  <c r="J16" i="149"/>
  <c r="T11" i="149"/>
  <c r="T4" i="149"/>
  <c r="W14" i="149"/>
  <c r="T8" i="149"/>
  <c r="U10" i="149"/>
  <c r="T10" i="149"/>
  <c r="X14" i="149"/>
  <c r="U8" i="149"/>
  <c r="U3" i="149"/>
  <c r="T3" i="149"/>
  <c r="R16" i="149" l="1"/>
  <c r="U16" i="149"/>
  <c r="R19" i="142" l="1"/>
  <c r="Q19" i="142"/>
  <c r="O19" i="142"/>
  <c r="M19" i="142"/>
  <c r="K19" i="142"/>
  <c r="I19" i="142"/>
  <c r="H19" i="142"/>
  <c r="E19" i="142"/>
  <c r="W13" i="142"/>
  <c r="X13" i="142" s="1"/>
  <c r="N13" i="142"/>
  <c r="L13" i="142"/>
  <c r="U13" i="142" s="1"/>
  <c r="J13" i="142"/>
  <c r="W4" i="142"/>
  <c r="X4" i="142" s="1"/>
  <c r="N4" i="142"/>
  <c r="L4" i="142"/>
  <c r="J4" i="142"/>
  <c r="W17" i="142"/>
  <c r="X17" i="142" s="1"/>
  <c r="N17" i="142"/>
  <c r="L17" i="142"/>
  <c r="T17" i="142" s="1"/>
  <c r="J17" i="142"/>
  <c r="W10" i="142"/>
  <c r="X10" i="142" s="1"/>
  <c r="N10" i="142"/>
  <c r="L10" i="142"/>
  <c r="U10" i="142" s="1"/>
  <c r="J10" i="142"/>
  <c r="W8" i="142"/>
  <c r="X8" i="142" s="1"/>
  <c r="N8" i="142"/>
  <c r="L8" i="142"/>
  <c r="J8" i="142"/>
  <c r="W15" i="142"/>
  <c r="X15" i="142" s="1"/>
  <c r="N15" i="142"/>
  <c r="L15" i="142"/>
  <c r="T15" i="142" s="1"/>
  <c r="J15" i="142"/>
  <c r="W14" i="142"/>
  <c r="X14" i="142" s="1"/>
  <c r="N14" i="142"/>
  <c r="L14" i="142"/>
  <c r="U14" i="142" s="1"/>
  <c r="J14" i="142"/>
  <c r="W18" i="142"/>
  <c r="X18" i="142" s="1"/>
  <c r="N18" i="142"/>
  <c r="L18" i="142"/>
  <c r="J18" i="142"/>
  <c r="W7" i="142"/>
  <c r="X7" i="142" s="1"/>
  <c r="N7" i="142"/>
  <c r="L7" i="142"/>
  <c r="J7" i="142"/>
  <c r="W6" i="142"/>
  <c r="X6" i="142" s="1"/>
  <c r="N6" i="142"/>
  <c r="L6" i="142"/>
  <c r="T6" i="142" s="1"/>
  <c r="J6" i="142"/>
  <c r="W3" i="142"/>
  <c r="X3" i="142" s="1"/>
  <c r="N3" i="142"/>
  <c r="L3" i="142"/>
  <c r="J3" i="142"/>
  <c r="W12" i="142"/>
  <c r="X12" i="142" s="1"/>
  <c r="N12" i="142"/>
  <c r="L12" i="142"/>
  <c r="J12" i="142"/>
  <c r="W16" i="142"/>
  <c r="X16" i="142" s="1"/>
  <c r="N16" i="142"/>
  <c r="L16" i="142"/>
  <c r="T16" i="142" s="1"/>
  <c r="J16" i="142"/>
  <c r="W11" i="142"/>
  <c r="X11" i="142" s="1"/>
  <c r="N11" i="142"/>
  <c r="L11" i="142"/>
  <c r="U11" i="142" s="1"/>
  <c r="J11" i="142"/>
  <c r="W9" i="142"/>
  <c r="X9" i="142" s="1"/>
  <c r="N9" i="142"/>
  <c r="L9" i="142"/>
  <c r="U9" i="142" s="1"/>
  <c r="J9" i="142"/>
  <c r="W5" i="142"/>
  <c r="X5" i="142" s="1"/>
  <c r="N5" i="142"/>
  <c r="L5" i="142"/>
  <c r="U5" i="142" s="1"/>
  <c r="J5" i="142"/>
  <c r="W2" i="142"/>
  <c r="X2" i="142" s="1"/>
  <c r="N2" i="142"/>
  <c r="L2" i="142"/>
  <c r="S2" i="142" s="1"/>
  <c r="J2" i="142"/>
  <c r="R11" i="140"/>
  <c r="Q11" i="140"/>
  <c r="O11" i="140"/>
  <c r="M11" i="140"/>
  <c r="K11" i="140"/>
  <c r="I11" i="140"/>
  <c r="H11" i="140"/>
  <c r="E11" i="140"/>
  <c r="W10" i="140"/>
  <c r="X10" i="140" s="1"/>
  <c r="N10" i="140"/>
  <c r="L10" i="140"/>
  <c r="U10" i="140" s="1"/>
  <c r="J10" i="140"/>
  <c r="W9" i="140"/>
  <c r="X9" i="140" s="1"/>
  <c r="N9" i="140"/>
  <c r="L9" i="140"/>
  <c r="S9" i="140" s="1"/>
  <c r="J9" i="140"/>
  <c r="W2" i="140"/>
  <c r="X2" i="140" s="1"/>
  <c r="N2" i="140"/>
  <c r="L2" i="140"/>
  <c r="S2" i="140" s="1"/>
  <c r="J2" i="140"/>
  <c r="W5" i="140"/>
  <c r="X5" i="140" s="1"/>
  <c r="N5" i="140"/>
  <c r="L5" i="140"/>
  <c r="S5" i="140" s="1"/>
  <c r="J5" i="140"/>
  <c r="W3" i="140"/>
  <c r="X3" i="140" s="1"/>
  <c r="N3" i="140"/>
  <c r="L3" i="140"/>
  <c r="J3" i="140"/>
  <c r="W7" i="140"/>
  <c r="X7" i="140" s="1"/>
  <c r="N7" i="140"/>
  <c r="L7" i="140"/>
  <c r="S7" i="140" s="1"/>
  <c r="J7" i="140"/>
  <c r="W8" i="140"/>
  <c r="X8" i="140" s="1"/>
  <c r="N8" i="140"/>
  <c r="L8" i="140"/>
  <c r="T8" i="140" s="1"/>
  <c r="J8" i="140"/>
  <c r="W4" i="140"/>
  <c r="X4" i="140" s="1"/>
  <c r="N4" i="140"/>
  <c r="L4" i="140"/>
  <c r="J4" i="140"/>
  <c r="W6" i="140"/>
  <c r="X6" i="140" s="1"/>
  <c r="N6" i="140"/>
  <c r="L6" i="140"/>
  <c r="S6" i="140" s="1"/>
  <c r="J6" i="140"/>
  <c r="R16" i="139"/>
  <c r="Q16" i="139"/>
  <c r="O16" i="139"/>
  <c r="M16" i="139"/>
  <c r="K16" i="139"/>
  <c r="I16" i="139"/>
  <c r="H16" i="139"/>
  <c r="E16" i="139"/>
  <c r="W11" i="139"/>
  <c r="X11" i="139" s="1"/>
  <c r="N11" i="139"/>
  <c r="L11" i="139"/>
  <c r="U11" i="139" s="1"/>
  <c r="J11" i="139"/>
  <c r="W15" i="139"/>
  <c r="X15" i="139" s="1"/>
  <c r="N15" i="139"/>
  <c r="L15" i="139"/>
  <c r="J15" i="139"/>
  <c r="W10" i="139"/>
  <c r="X10" i="139" s="1"/>
  <c r="N10" i="139"/>
  <c r="L10" i="139"/>
  <c r="U10" i="139" s="1"/>
  <c r="J10" i="139"/>
  <c r="W9" i="139"/>
  <c r="X9" i="139" s="1"/>
  <c r="N9" i="139"/>
  <c r="L9" i="139"/>
  <c r="J9" i="139"/>
  <c r="W7" i="139"/>
  <c r="X7" i="139" s="1"/>
  <c r="N7" i="139"/>
  <c r="L7" i="139"/>
  <c r="S7" i="139" s="1"/>
  <c r="J7" i="139"/>
  <c r="W14" i="139"/>
  <c r="X14" i="139" s="1"/>
  <c r="N14" i="139"/>
  <c r="L14" i="139"/>
  <c r="S14" i="139" s="1"/>
  <c r="J14" i="139"/>
  <c r="W4" i="139"/>
  <c r="X4" i="139" s="1"/>
  <c r="N4" i="139"/>
  <c r="L4" i="139"/>
  <c r="U4" i="139" s="1"/>
  <c r="J4" i="139"/>
  <c r="W13" i="139"/>
  <c r="X13" i="139" s="1"/>
  <c r="N13" i="139"/>
  <c r="L13" i="139"/>
  <c r="U13" i="139" s="1"/>
  <c r="J13" i="139"/>
  <c r="W5" i="139"/>
  <c r="X5" i="139" s="1"/>
  <c r="N5" i="139"/>
  <c r="L5" i="139"/>
  <c r="T5" i="139" s="1"/>
  <c r="J5" i="139"/>
  <c r="W6" i="139"/>
  <c r="X6" i="139" s="1"/>
  <c r="N6" i="139"/>
  <c r="L6" i="139"/>
  <c r="S6" i="139" s="1"/>
  <c r="J6" i="139"/>
  <c r="W8" i="139"/>
  <c r="X8" i="139" s="1"/>
  <c r="N8" i="139"/>
  <c r="L8" i="139"/>
  <c r="U8" i="139" s="1"/>
  <c r="J8" i="139"/>
  <c r="W12" i="139"/>
  <c r="X12" i="139" s="1"/>
  <c r="N12" i="139"/>
  <c r="L12" i="139"/>
  <c r="U12" i="139" s="1"/>
  <c r="J12" i="139"/>
  <c r="W2" i="139"/>
  <c r="X2" i="139" s="1"/>
  <c r="N2" i="139"/>
  <c r="L2" i="139"/>
  <c r="J2" i="139"/>
  <c r="W3" i="139"/>
  <c r="X3" i="139" s="1"/>
  <c r="N3" i="139"/>
  <c r="L3" i="139"/>
  <c r="J3" i="139"/>
  <c r="R12" i="138"/>
  <c r="Q12" i="138"/>
  <c r="O12" i="138"/>
  <c r="M12" i="138"/>
  <c r="K12" i="138"/>
  <c r="I12" i="138"/>
  <c r="H12" i="138"/>
  <c r="E12" i="138"/>
  <c r="W7" i="138"/>
  <c r="X7" i="138" s="1"/>
  <c r="N7" i="138"/>
  <c r="L7" i="138"/>
  <c r="S7" i="138" s="1"/>
  <c r="J7" i="138"/>
  <c r="W3" i="138"/>
  <c r="X3" i="138" s="1"/>
  <c r="N3" i="138"/>
  <c r="L3" i="138"/>
  <c r="U3" i="138" s="1"/>
  <c r="J3" i="138"/>
  <c r="W8" i="138"/>
  <c r="X8" i="138" s="1"/>
  <c r="N8" i="138"/>
  <c r="L8" i="138"/>
  <c r="J8" i="138"/>
  <c r="W5" i="138"/>
  <c r="X5" i="138" s="1"/>
  <c r="N5" i="138"/>
  <c r="L5" i="138"/>
  <c r="T5" i="138" s="1"/>
  <c r="J5" i="138"/>
  <c r="W10" i="138"/>
  <c r="X10" i="138" s="1"/>
  <c r="N10" i="138"/>
  <c r="L10" i="138"/>
  <c r="T10" i="138" s="1"/>
  <c r="J10" i="138"/>
  <c r="W6" i="138"/>
  <c r="X6" i="138" s="1"/>
  <c r="N6" i="138"/>
  <c r="L6" i="138"/>
  <c r="U6" i="138" s="1"/>
  <c r="J6" i="138"/>
  <c r="W2" i="138"/>
  <c r="X2" i="138" s="1"/>
  <c r="N2" i="138"/>
  <c r="L2" i="138"/>
  <c r="T2" i="138" s="1"/>
  <c r="J2" i="138"/>
  <c r="W4" i="138"/>
  <c r="X4" i="138" s="1"/>
  <c r="N4" i="138"/>
  <c r="L4" i="138"/>
  <c r="S4" i="138" s="1"/>
  <c r="J4" i="138"/>
  <c r="R3" i="119"/>
  <c r="Q3" i="119"/>
  <c r="O3" i="119"/>
  <c r="M3" i="119"/>
  <c r="K3" i="119"/>
  <c r="I3" i="119"/>
  <c r="H3" i="119"/>
  <c r="E3" i="119"/>
  <c r="W2" i="119"/>
  <c r="X2" i="119" s="1"/>
  <c r="N2" i="119"/>
  <c r="L2" i="119"/>
  <c r="S2" i="119" s="1"/>
  <c r="J2" i="119"/>
  <c r="R11" i="118"/>
  <c r="Q11" i="118"/>
  <c r="O11" i="118"/>
  <c r="M11" i="118"/>
  <c r="K11" i="118"/>
  <c r="I11" i="118"/>
  <c r="H11" i="118"/>
  <c r="E11" i="118"/>
  <c r="W2" i="118"/>
  <c r="N2" i="118"/>
  <c r="L2" i="118"/>
  <c r="U2" i="118" s="1"/>
  <c r="J2" i="118"/>
  <c r="W3" i="118"/>
  <c r="N3" i="118"/>
  <c r="L3" i="118"/>
  <c r="J3" i="118"/>
  <c r="W4" i="118"/>
  <c r="N4" i="118"/>
  <c r="L4" i="118"/>
  <c r="J4" i="118"/>
  <c r="W6" i="118"/>
  <c r="N6" i="118"/>
  <c r="L6" i="118"/>
  <c r="S6" i="118" s="1"/>
  <c r="J6" i="118"/>
  <c r="W5" i="118"/>
  <c r="N5" i="118"/>
  <c r="L5" i="118"/>
  <c r="T5" i="118" s="1"/>
  <c r="J5" i="118"/>
  <c r="W7" i="118"/>
  <c r="N7" i="118"/>
  <c r="L7" i="118"/>
  <c r="S7" i="118" s="1"/>
  <c r="J7" i="118"/>
  <c r="W8" i="118"/>
  <c r="N8" i="118"/>
  <c r="L8" i="118"/>
  <c r="T8" i="118" s="1"/>
  <c r="J8" i="118"/>
  <c r="W9" i="118"/>
  <c r="N9" i="118"/>
  <c r="L9" i="118"/>
  <c r="S9" i="118" s="1"/>
  <c r="J9" i="118"/>
  <c r="W10" i="118"/>
  <c r="N10" i="118"/>
  <c r="L10" i="118"/>
  <c r="T10" i="118" s="1"/>
  <c r="J10" i="118"/>
  <c r="R6" i="117"/>
  <c r="Q6" i="117"/>
  <c r="O6" i="117"/>
  <c r="M6" i="117"/>
  <c r="K6" i="117"/>
  <c r="I6" i="117"/>
  <c r="H6" i="117"/>
  <c r="E6" i="117"/>
  <c r="W4" i="117"/>
  <c r="X4" i="117" s="1"/>
  <c r="N4" i="117"/>
  <c r="L4" i="117"/>
  <c r="U4" i="117" s="1"/>
  <c r="J4" i="117"/>
  <c r="W5" i="117"/>
  <c r="X5" i="117" s="1"/>
  <c r="N5" i="117"/>
  <c r="L5" i="117"/>
  <c r="S5" i="117" s="1"/>
  <c r="J5" i="117"/>
  <c r="W2" i="117"/>
  <c r="X2" i="117" s="1"/>
  <c r="N2" i="117"/>
  <c r="L2" i="117"/>
  <c r="J2" i="117"/>
  <c r="W3" i="117"/>
  <c r="X3" i="117" s="1"/>
  <c r="L3" i="117"/>
  <c r="U3" i="117" s="1"/>
  <c r="J3" i="117"/>
  <c r="R5" i="116"/>
  <c r="Q5" i="116"/>
  <c r="O5" i="116"/>
  <c r="M5" i="116"/>
  <c r="K5" i="116"/>
  <c r="I5" i="116"/>
  <c r="H5" i="116"/>
  <c r="E5" i="116"/>
  <c r="W2" i="116"/>
  <c r="X2" i="116" s="1"/>
  <c r="N2" i="116"/>
  <c r="L2" i="116"/>
  <c r="S2" i="116" s="1"/>
  <c r="J2" i="116"/>
  <c r="W3" i="116"/>
  <c r="X3" i="116" s="1"/>
  <c r="N3" i="116"/>
  <c r="L3" i="116"/>
  <c r="T3" i="116" s="1"/>
  <c r="J3" i="116"/>
  <c r="W4" i="116"/>
  <c r="X4" i="116" s="1"/>
  <c r="N4" i="116"/>
  <c r="L4" i="116"/>
  <c r="J4" i="116"/>
  <c r="R5" i="115"/>
  <c r="Q5" i="115"/>
  <c r="O5" i="115"/>
  <c r="M5" i="115"/>
  <c r="K5" i="115"/>
  <c r="I5" i="115"/>
  <c r="H5" i="115"/>
  <c r="E5" i="115"/>
  <c r="W3" i="115"/>
  <c r="X3" i="115" s="1"/>
  <c r="N3" i="115"/>
  <c r="L3" i="115"/>
  <c r="T3" i="115" s="1"/>
  <c r="J3" i="115"/>
  <c r="W4" i="115"/>
  <c r="X4" i="115" s="1"/>
  <c r="N4" i="115"/>
  <c r="L4" i="115"/>
  <c r="U4" i="115" s="1"/>
  <c r="J4" i="115"/>
  <c r="W2" i="115"/>
  <c r="X2" i="115" s="1"/>
  <c r="N2" i="115"/>
  <c r="L2" i="115"/>
  <c r="T2" i="115" s="1"/>
  <c r="J2" i="115"/>
  <c r="R4" i="114"/>
  <c r="Q4" i="114"/>
  <c r="O4" i="114"/>
  <c r="M4" i="114"/>
  <c r="K4" i="114"/>
  <c r="I4" i="114"/>
  <c r="J5" i="114" s="1"/>
  <c r="H4" i="114"/>
  <c r="E4" i="114"/>
  <c r="W3" i="114"/>
  <c r="X3" i="114" s="1"/>
  <c r="N3" i="114"/>
  <c r="L3" i="114"/>
  <c r="S3" i="114" s="1"/>
  <c r="J3" i="114"/>
  <c r="W2" i="114"/>
  <c r="X2" i="114" s="1"/>
  <c r="N2" i="114"/>
  <c r="L2" i="114"/>
  <c r="T2" i="114" s="1"/>
  <c r="J2" i="114"/>
  <c r="R9" i="113"/>
  <c r="Q9" i="113"/>
  <c r="O9" i="113"/>
  <c r="M9" i="113"/>
  <c r="K9" i="113"/>
  <c r="I9" i="113"/>
  <c r="H9" i="113"/>
  <c r="E9" i="113"/>
  <c r="W2" i="113"/>
  <c r="X2" i="113" s="1"/>
  <c r="N2" i="113"/>
  <c r="L2" i="113"/>
  <c r="S2" i="113" s="1"/>
  <c r="J2" i="113"/>
  <c r="W7" i="113"/>
  <c r="X7" i="113" s="1"/>
  <c r="N7" i="113"/>
  <c r="L7" i="113"/>
  <c r="J7" i="113"/>
  <c r="W8" i="113"/>
  <c r="X8" i="113" s="1"/>
  <c r="N8" i="113"/>
  <c r="L8" i="113"/>
  <c r="J8" i="113"/>
  <c r="W3" i="113"/>
  <c r="X3" i="113" s="1"/>
  <c r="N3" i="113"/>
  <c r="L3" i="113"/>
  <c r="U3" i="113" s="1"/>
  <c r="J3" i="113"/>
  <c r="W6" i="113"/>
  <c r="X6" i="113" s="1"/>
  <c r="N6" i="113"/>
  <c r="L6" i="113"/>
  <c r="J6" i="113"/>
  <c r="R23" i="110"/>
  <c r="Q23" i="110"/>
  <c r="O23" i="110"/>
  <c r="M23" i="110"/>
  <c r="K23" i="110"/>
  <c r="I23" i="110"/>
  <c r="H23" i="110"/>
  <c r="J24" i="110" s="1"/>
  <c r="E23" i="110"/>
  <c r="W2" i="110"/>
  <c r="N2" i="110"/>
  <c r="L2" i="110"/>
  <c r="T2" i="110" s="1"/>
  <c r="J2" i="110"/>
  <c r="W3" i="110"/>
  <c r="N3" i="110"/>
  <c r="L3" i="110"/>
  <c r="J3" i="110"/>
  <c r="W4" i="110"/>
  <c r="N4" i="110"/>
  <c r="L4" i="110"/>
  <c r="J4" i="110"/>
  <c r="W5" i="110"/>
  <c r="N5" i="110"/>
  <c r="L5" i="110"/>
  <c r="J5" i="110"/>
  <c r="W6" i="110"/>
  <c r="N6" i="110"/>
  <c r="L6" i="110"/>
  <c r="U6" i="110" s="1"/>
  <c r="J6" i="110"/>
  <c r="W7" i="110"/>
  <c r="N7" i="110"/>
  <c r="L7" i="110"/>
  <c r="J7" i="110"/>
  <c r="W8" i="110"/>
  <c r="N8" i="110"/>
  <c r="L8" i="110"/>
  <c r="J8" i="110"/>
  <c r="W10" i="110"/>
  <c r="N10" i="110"/>
  <c r="L10" i="110"/>
  <c r="T10" i="110" s="1"/>
  <c r="J10" i="110"/>
  <c r="W9" i="110"/>
  <c r="N9" i="110"/>
  <c r="L9" i="110"/>
  <c r="T9" i="110" s="1"/>
  <c r="J9" i="110"/>
  <c r="W11" i="110"/>
  <c r="N11" i="110"/>
  <c r="L11" i="110"/>
  <c r="U11" i="110" s="1"/>
  <c r="J11" i="110"/>
  <c r="W12" i="110"/>
  <c r="N12" i="110"/>
  <c r="L12" i="110"/>
  <c r="J12" i="110"/>
  <c r="W13" i="110"/>
  <c r="N13" i="110"/>
  <c r="L13" i="110"/>
  <c r="J13" i="110"/>
  <c r="W17" i="110"/>
  <c r="N17" i="110"/>
  <c r="L17" i="110"/>
  <c r="T17" i="110" s="1"/>
  <c r="J17" i="110"/>
  <c r="W16" i="110"/>
  <c r="N16" i="110"/>
  <c r="L16" i="110"/>
  <c r="U16" i="110" s="1"/>
  <c r="J16" i="110"/>
  <c r="W15" i="110"/>
  <c r="N15" i="110"/>
  <c r="L15" i="110"/>
  <c r="T15" i="110" s="1"/>
  <c r="J15" i="110"/>
  <c r="W14" i="110"/>
  <c r="N14" i="110"/>
  <c r="L14" i="110"/>
  <c r="J14" i="110"/>
  <c r="W18" i="110"/>
  <c r="N18" i="110"/>
  <c r="L18" i="110"/>
  <c r="S18" i="110" s="1"/>
  <c r="J18" i="110"/>
  <c r="W19" i="110"/>
  <c r="N19" i="110"/>
  <c r="L19" i="110"/>
  <c r="T19" i="110" s="1"/>
  <c r="J19" i="110"/>
  <c r="W20" i="110"/>
  <c r="N20" i="110"/>
  <c r="L20" i="110"/>
  <c r="S20" i="110" s="1"/>
  <c r="J20" i="110"/>
  <c r="W21" i="110"/>
  <c r="N21" i="110"/>
  <c r="L21" i="110"/>
  <c r="S21" i="110" s="1"/>
  <c r="J21" i="110"/>
  <c r="W22" i="110"/>
  <c r="N22" i="110"/>
  <c r="L22" i="110"/>
  <c r="J22" i="110"/>
  <c r="R14" i="109"/>
  <c r="Q14" i="109"/>
  <c r="O14" i="109"/>
  <c r="M14" i="109"/>
  <c r="K14" i="109"/>
  <c r="I14" i="109"/>
  <c r="H14" i="109"/>
  <c r="E14" i="109"/>
  <c r="V2" i="109"/>
  <c r="N2" i="109"/>
  <c r="L2" i="109"/>
  <c r="J2" i="109"/>
  <c r="V3" i="109"/>
  <c r="N3" i="109"/>
  <c r="L3" i="109"/>
  <c r="S3" i="109" s="1"/>
  <c r="J3" i="109"/>
  <c r="V4" i="109"/>
  <c r="N4" i="109"/>
  <c r="L4" i="109"/>
  <c r="J4" i="109"/>
  <c r="V5" i="109"/>
  <c r="N5" i="109"/>
  <c r="L5" i="109"/>
  <c r="J5" i="109"/>
  <c r="V6" i="109"/>
  <c r="N6" i="109"/>
  <c r="L6" i="109"/>
  <c r="U6" i="109" s="1"/>
  <c r="J6" i="109"/>
  <c r="V7" i="109"/>
  <c r="N7" i="109"/>
  <c r="L7" i="109"/>
  <c r="S7" i="109" s="1"/>
  <c r="J7" i="109"/>
  <c r="V8" i="109"/>
  <c r="N8" i="109"/>
  <c r="L8" i="109"/>
  <c r="J8" i="109"/>
  <c r="V9" i="109"/>
  <c r="N9" i="109"/>
  <c r="L9" i="109"/>
  <c r="U9" i="109" s="1"/>
  <c r="J9" i="109"/>
  <c r="V10" i="109"/>
  <c r="N10" i="109"/>
  <c r="L10" i="109"/>
  <c r="J10" i="109"/>
  <c r="V11" i="109"/>
  <c r="N11" i="109"/>
  <c r="L11" i="109"/>
  <c r="S11" i="109" s="1"/>
  <c r="J11" i="109"/>
  <c r="V13" i="109"/>
  <c r="N13" i="109"/>
  <c r="L13" i="109"/>
  <c r="U13" i="109" s="1"/>
  <c r="J13" i="109"/>
  <c r="V12" i="109"/>
  <c r="N12" i="109"/>
  <c r="L12" i="109"/>
  <c r="S12" i="109" s="1"/>
  <c r="J12" i="109"/>
  <c r="R4" i="106"/>
  <c r="Q4" i="106"/>
  <c r="O4" i="106"/>
  <c r="M4" i="106"/>
  <c r="K4" i="106"/>
  <c r="I4" i="106"/>
  <c r="H4" i="106"/>
  <c r="E4" i="106"/>
  <c r="W3" i="106"/>
  <c r="X3" i="106" s="1"/>
  <c r="N3" i="106"/>
  <c r="L3" i="106"/>
  <c r="T3" i="106" s="1"/>
  <c r="J3" i="106"/>
  <c r="W2" i="106"/>
  <c r="X2" i="106" s="1"/>
  <c r="N2" i="106"/>
  <c r="L2" i="106"/>
  <c r="U2" i="106" s="1"/>
  <c r="J2" i="106"/>
  <c r="R5" i="103"/>
  <c r="Q5" i="103"/>
  <c r="O5" i="103"/>
  <c r="M5" i="103"/>
  <c r="K5" i="103"/>
  <c r="I5" i="103"/>
  <c r="H5" i="103"/>
  <c r="E5" i="103"/>
  <c r="W4" i="103"/>
  <c r="X4" i="103" s="1"/>
  <c r="N4" i="103"/>
  <c r="L4" i="103"/>
  <c r="T4" i="103" s="1"/>
  <c r="J4" i="103"/>
  <c r="W2" i="103"/>
  <c r="X2" i="103" s="1"/>
  <c r="N2" i="103"/>
  <c r="L2" i="103"/>
  <c r="T2" i="103" s="1"/>
  <c r="J2" i="103"/>
  <c r="W3" i="103"/>
  <c r="X3" i="103" s="1"/>
  <c r="N3" i="103"/>
  <c r="L3" i="103"/>
  <c r="U3" i="103" s="1"/>
  <c r="J3" i="103"/>
  <c r="R12" i="101"/>
  <c r="Q12" i="101"/>
  <c r="O12" i="101"/>
  <c r="M12" i="101"/>
  <c r="K12" i="101"/>
  <c r="I12" i="101"/>
  <c r="H12" i="101"/>
  <c r="E12" i="101"/>
  <c r="W7" i="101"/>
  <c r="X7" i="101" s="1"/>
  <c r="N7" i="101"/>
  <c r="L7" i="101"/>
  <c r="S7" i="101" s="1"/>
  <c r="J7" i="101"/>
  <c r="W2" i="101"/>
  <c r="X2" i="101" s="1"/>
  <c r="N2" i="101"/>
  <c r="L2" i="101"/>
  <c r="J2" i="101"/>
  <c r="W6" i="101"/>
  <c r="X6" i="101" s="1"/>
  <c r="N6" i="101"/>
  <c r="L6" i="101"/>
  <c r="U6" i="101" s="1"/>
  <c r="J6" i="101"/>
  <c r="W9" i="101"/>
  <c r="X9" i="101" s="1"/>
  <c r="N9" i="101"/>
  <c r="L9" i="101"/>
  <c r="U9" i="101" s="1"/>
  <c r="J9" i="101"/>
  <c r="W10" i="101"/>
  <c r="X10" i="101" s="1"/>
  <c r="N10" i="101"/>
  <c r="L10" i="101"/>
  <c r="J10" i="101"/>
  <c r="W4" i="101"/>
  <c r="X4" i="101" s="1"/>
  <c r="N4" i="101"/>
  <c r="L4" i="101"/>
  <c r="J4" i="101"/>
  <c r="W8" i="101"/>
  <c r="X8" i="101" s="1"/>
  <c r="N8" i="101"/>
  <c r="L8" i="101"/>
  <c r="J8" i="101"/>
  <c r="W11" i="101"/>
  <c r="X11" i="101" s="1"/>
  <c r="N11" i="101"/>
  <c r="L11" i="101"/>
  <c r="T11" i="101" s="1"/>
  <c r="J11" i="101"/>
  <c r="W3" i="101"/>
  <c r="X3" i="101" s="1"/>
  <c r="N3" i="101"/>
  <c r="L3" i="101"/>
  <c r="J3" i="101"/>
  <c r="W5" i="101"/>
  <c r="X5" i="101" s="1"/>
  <c r="L5" i="101"/>
  <c r="S5" i="101" s="1"/>
  <c r="J5" i="101"/>
  <c r="R4" i="100"/>
  <c r="Q4" i="100"/>
  <c r="O4" i="100"/>
  <c r="M4" i="100"/>
  <c r="K4" i="100"/>
  <c r="I4" i="100"/>
  <c r="H4" i="100"/>
  <c r="E4" i="100"/>
  <c r="W3" i="100"/>
  <c r="X3" i="100" s="1"/>
  <c r="N3" i="100"/>
  <c r="L3" i="100"/>
  <c r="J3" i="100"/>
  <c r="W2" i="100"/>
  <c r="X2" i="100" s="1"/>
  <c r="L2" i="100"/>
  <c r="J2" i="100"/>
  <c r="R8" i="98"/>
  <c r="Q8" i="98"/>
  <c r="O8" i="98"/>
  <c r="M8" i="98"/>
  <c r="K8" i="98"/>
  <c r="I8" i="98"/>
  <c r="H8" i="98"/>
  <c r="E8" i="98"/>
  <c r="W7" i="98"/>
  <c r="X7" i="98" s="1"/>
  <c r="N7" i="98"/>
  <c r="L7" i="98"/>
  <c r="J7" i="98"/>
  <c r="W4" i="98"/>
  <c r="X4" i="98" s="1"/>
  <c r="N4" i="98"/>
  <c r="L4" i="98"/>
  <c r="S4" i="98" s="1"/>
  <c r="J4" i="98"/>
  <c r="W2" i="98"/>
  <c r="X2" i="98" s="1"/>
  <c r="N2" i="98"/>
  <c r="L2" i="98"/>
  <c r="J2" i="98"/>
  <c r="W6" i="98"/>
  <c r="X6" i="98" s="1"/>
  <c r="N6" i="98"/>
  <c r="L6" i="98"/>
  <c r="J6" i="98"/>
  <c r="W3" i="98"/>
  <c r="X3" i="98" s="1"/>
  <c r="N3" i="98"/>
  <c r="L3" i="98"/>
  <c r="U3" i="98" s="1"/>
  <c r="J3" i="98"/>
  <c r="W5" i="98"/>
  <c r="X5" i="98" s="1"/>
  <c r="N5" i="98"/>
  <c r="L5" i="98"/>
  <c r="J5" i="98"/>
  <c r="R3" i="96"/>
  <c r="Q3" i="96"/>
  <c r="O3" i="96"/>
  <c r="M3" i="96"/>
  <c r="K3" i="96"/>
  <c r="I3" i="96"/>
  <c r="H3" i="96"/>
  <c r="E3" i="96"/>
  <c r="W2" i="96"/>
  <c r="X2" i="96" s="1"/>
  <c r="U2" i="96"/>
  <c r="N2" i="96"/>
  <c r="L2" i="96"/>
  <c r="T2" i="96" s="1"/>
  <c r="J2" i="96"/>
  <c r="R4" i="95"/>
  <c r="Q4" i="95"/>
  <c r="O4" i="95"/>
  <c r="M4" i="95"/>
  <c r="K4" i="95"/>
  <c r="I4" i="95"/>
  <c r="H4" i="95"/>
  <c r="E4" i="95"/>
  <c r="W3" i="95"/>
  <c r="X3" i="95" s="1"/>
  <c r="N3" i="95"/>
  <c r="L3" i="95"/>
  <c r="T3" i="95" s="1"/>
  <c r="J3" i="95"/>
  <c r="W2" i="95"/>
  <c r="X2" i="95" s="1"/>
  <c r="N2" i="95"/>
  <c r="L2" i="95"/>
  <c r="T2" i="95" s="1"/>
  <c r="J2" i="95"/>
  <c r="R4" i="94"/>
  <c r="Q4" i="94"/>
  <c r="O4" i="94"/>
  <c r="M4" i="94"/>
  <c r="K4" i="94"/>
  <c r="I4" i="94"/>
  <c r="H4" i="94"/>
  <c r="E4" i="94"/>
  <c r="W3" i="94"/>
  <c r="X3" i="94" s="1"/>
  <c r="N3" i="94"/>
  <c r="L3" i="94"/>
  <c r="J3" i="94"/>
  <c r="W2" i="94"/>
  <c r="X2" i="94" s="1"/>
  <c r="N2" i="94"/>
  <c r="L2" i="94"/>
  <c r="J2" i="94"/>
  <c r="R4" i="92"/>
  <c r="Q4" i="92"/>
  <c r="O4" i="92"/>
  <c r="M4" i="92"/>
  <c r="K4" i="92"/>
  <c r="I4" i="92"/>
  <c r="H4" i="92"/>
  <c r="E4" i="92"/>
  <c r="W3" i="92"/>
  <c r="X3" i="92" s="1"/>
  <c r="N3" i="92"/>
  <c r="L3" i="92"/>
  <c r="U3" i="92" s="1"/>
  <c r="J3" i="92"/>
  <c r="W2" i="92"/>
  <c r="X2" i="92" s="1"/>
  <c r="N2" i="92"/>
  <c r="L2" i="92"/>
  <c r="J2" i="92"/>
  <c r="R3" i="91"/>
  <c r="Q3" i="91"/>
  <c r="O3" i="91"/>
  <c r="M3" i="91"/>
  <c r="K3" i="91"/>
  <c r="I3" i="91"/>
  <c r="H3" i="91"/>
  <c r="E3" i="91"/>
  <c r="W2" i="91"/>
  <c r="X2" i="91" s="1"/>
  <c r="N2" i="91"/>
  <c r="L2" i="91"/>
  <c r="S2" i="91" s="1"/>
  <c r="J2" i="91"/>
  <c r="R4" i="90"/>
  <c r="Q4" i="90"/>
  <c r="O4" i="90"/>
  <c r="M4" i="90"/>
  <c r="K4" i="90"/>
  <c r="I4" i="90"/>
  <c r="H4" i="90"/>
  <c r="E4" i="90"/>
  <c r="W3" i="90"/>
  <c r="X3" i="90" s="1"/>
  <c r="N3" i="90"/>
  <c r="L3" i="90"/>
  <c r="J3" i="90"/>
  <c r="W2" i="90"/>
  <c r="X2" i="90" s="1"/>
  <c r="N2" i="90"/>
  <c r="L2" i="90"/>
  <c r="U2" i="90" s="1"/>
  <c r="J2" i="90"/>
  <c r="R15" i="88"/>
  <c r="Q15" i="88"/>
  <c r="O15" i="88"/>
  <c r="M15" i="88"/>
  <c r="K15" i="88"/>
  <c r="I15" i="88"/>
  <c r="H15" i="88"/>
  <c r="E15" i="88"/>
  <c r="W6" i="88"/>
  <c r="X6" i="88" s="1"/>
  <c r="N6" i="88"/>
  <c r="L6" i="88"/>
  <c r="T6" i="88" s="1"/>
  <c r="J6" i="88"/>
  <c r="W10" i="88"/>
  <c r="X10" i="88" s="1"/>
  <c r="N10" i="88"/>
  <c r="L10" i="88"/>
  <c r="T10" i="88" s="1"/>
  <c r="J10" i="88"/>
  <c r="W9" i="88"/>
  <c r="X9" i="88" s="1"/>
  <c r="N9" i="88"/>
  <c r="L9" i="88"/>
  <c r="J9" i="88"/>
  <c r="W14" i="88"/>
  <c r="X14" i="88" s="1"/>
  <c r="N14" i="88"/>
  <c r="L14" i="88"/>
  <c r="J14" i="88"/>
  <c r="W7" i="88"/>
  <c r="X7" i="88" s="1"/>
  <c r="N7" i="88"/>
  <c r="L7" i="88"/>
  <c r="J7" i="88"/>
  <c r="W5" i="88"/>
  <c r="X5" i="88" s="1"/>
  <c r="N5" i="88"/>
  <c r="L5" i="88"/>
  <c r="T5" i="88" s="1"/>
  <c r="J5" i="88"/>
  <c r="W12" i="88"/>
  <c r="X12" i="88" s="1"/>
  <c r="N12" i="88"/>
  <c r="L12" i="88"/>
  <c r="U12" i="88" s="1"/>
  <c r="J12" i="88"/>
  <c r="W3" i="88"/>
  <c r="X3" i="88" s="1"/>
  <c r="N3" i="88"/>
  <c r="L3" i="88"/>
  <c r="J3" i="88"/>
  <c r="W13" i="88"/>
  <c r="X13" i="88" s="1"/>
  <c r="N13" i="88"/>
  <c r="L13" i="88"/>
  <c r="U13" i="88" s="1"/>
  <c r="J13" i="88"/>
  <c r="W11" i="88"/>
  <c r="X11" i="88" s="1"/>
  <c r="N11" i="88"/>
  <c r="L11" i="88"/>
  <c r="J11" i="88"/>
  <c r="W8" i="88"/>
  <c r="X8" i="88" s="1"/>
  <c r="N8" i="88"/>
  <c r="L8" i="88"/>
  <c r="U8" i="88" s="1"/>
  <c r="J8" i="88"/>
  <c r="W2" i="88"/>
  <c r="X2" i="88" s="1"/>
  <c r="N2" i="88"/>
  <c r="L2" i="88"/>
  <c r="J2" i="88"/>
  <c r="W4" i="88"/>
  <c r="X4" i="88" s="1"/>
  <c r="N4" i="88"/>
  <c r="L4" i="88"/>
  <c r="U4" i="88" s="1"/>
  <c r="J4" i="88"/>
  <c r="R5" i="87"/>
  <c r="Q5" i="87"/>
  <c r="O5" i="87"/>
  <c r="M5" i="87"/>
  <c r="K5" i="87"/>
  <c r="I5" i="87"/>
  <c r="H5" i="87"/>
  <c r="E5" i="87"/>
  <c r="W4" i="87"/>
  <c r="X4" i="87" s="1"/>
  <c r="N4" i="87"/>
  <c r="L4" i="87"/>
  <c r="S4" i="87" s="1"/>
  <c r="J4" i="87"/>
  <c r="W3" i="87"/>
  <c r="X3" i="87" s="1"/>
  <c r="N3" i="87"/>
  <c r="L3" i="87"/>
  <c r="J3" i="87"/>
  <c r="W2" i="87"/>
  <c r="X2" i="87" s="1"/>
  <c r="N2" i="87"/>
  <c r="L2" i="87"/>
  <c r="J2" i="87"/>
  <c r="R14" i="86"/>
  <c r="Q14" i="86"/>
  <c r="O14" i="86"/>
  <c r="M14" i="86"/>
  <c r="K14" i="86"/>
  <c r="I14" i="86"/>
  <c r="H14" i="86"/>
  <c r="J15" i="86" s="1"/>
  <c r="E14" i="86"/>
  <c r="W13" i="86"/>
  <c r="X13" i="86" s="1"/>
  <c r="N13" i="86"/>
  <c r="L13" i="86"/>
  <c r="T13" i="86" s="1"/>
  <c r="J13" i="86"/>
  <c r="W7" i="86"/>
  <c r="X7" i="86" s="1"/>
  <c r="N7" i="86"/>
  <c r="L7" i="86"/>
  <c r="J7" i="86"/>
  <c r="W10" i="86"/>
  <c r="X10" i="86" s="1"/>
  <c r="N10" i="86"/>
  <c r="L10" i="86"/>
  <c r="S10" i="86" s="1"/>
  <c r="J10" i="86"/>
  <c r="W11" i="86"/>
  <c r="X11" i="86" s="1"/>
  <c r="N11" i="86"/>
  <c r="L11" i="86"/>
  <c r="J11" i="86"/>
  <c r="W8" i="86"/>
  <c r="X8" i="86" s="1"/>
  <c r="N8" i="86"/>
  <c r="L8" i="86"/>
  <c r="J8" i="86"/>
  <c r="W12" i="86"/>
  <c r="X12" i="86" s="1"/>
  <c r="N12" i="86"/>
  <c r="L12" i="86"/>
  <c r="S12" i="86" s="1"/>
  <c r="J12" i="86"/>
  <c r="W9" i="86"/>
  <c r="X9" i="86" s="1"/>
  <c r="N9" i="86"/>
  <c r="L9" i="86"/>
  <c r="J9" i="86"/>
  <c r="W6" i="86"/>
  <c r="X6" i="86" s="1"/>
  <c r="N6" i="86"/>
  <c r="L6" i="86"/>
  <c r="U6" i="86" s="1"/>
  <c r="J6" i="86"/>
  <c r="W3" i="86"/>
  <c r="X3" i="86" s="1"/>
  <c r="N3" i="86"/>
  <c r="L3" i="86"/>
  <c r="U3" i="86" s="1"/>
  <c r="J3" i="86"/>
  <c r="W5" i="86"/>
  <c r="X5" i="86" s="1"/>
  <c r="N5" i="86"/>
  <c r="L5" i="86"/>
  <c r="J5" i="86"/>
  <c r="W4" i="86"/>
  <c r="X4" i="86" s="1"/>
  <c r="N4" i="86"/>
  <c r="L4" i="86"/>
  <c r="U4" i="86" s="1"/>
  <c r="J4" i="86"/>
  <c r="W2" i="86"/>
  <c r="X2" i="86" s="1"/>
  <c r="N2" i="86"/>
  <c r="L2" i="86"/>
  <c r="T2" i="86" s="1"/>
  <c r="J2" i="86"/>
  <c r="R7" i="85"/>
  <c r="Q7" i="85"/>
  <c r="O7" i="85"/>
  <c r="M7" i="85"/>
  <c r="K7" i="85"/>
  <c r="I7" i="85"/>
  <c r="H7" i="85"/>
  <c r="E7" i="85"/>
  <c r="W6" i="85"/>
  <c r="X6" i="85" s="1"/>
  <c r="N6" i="85"/>
  <c r="L6" i="85"/>
  <c r="J6" i="85"/>
  <c r="R4" i="84"/>
  <c r="Q4" i="84"/>
  <c r="O4" i="84"/>
  <c r="M4" i="84"/>
  <c r="K4" i="84"/>
  <c r="I4" i="84"/>
  <c r="H4" i="84"/>
  <c r="E4" i="84"/>
  <c r="W3" i="84"/>
  <c r="N3" i="84"/>
  <c r="L3" i="84"/>
  <c r="J3" i="84"/>
  <c r="W2" i="84"/>
  <c r="N2" i="84"/>
  <c r="L2" i="84"/>
  <c r="J2" i="84"/>
  <c r="R3" i="83"/>
  <c r="Q3" i="83"/>
  <c r="O3" i="83"/>
  <c r="M3" i="83"/>
  <c r="K3" i="83"/>
  <c r="I3" i="83"/>
  <c r="H3" i="83"/>
  <c r="E3" i="83"/>
  <c r="W2" i="83"/>
  <c r="X2" i="83" s="1"/>
  <c r="N2" i="83"/>
  <c r="L2" i="83"/>
  <c r="U2" i="83" s="1"/>
  <c r="J2" i="83"/>
  <c r="R7" i="80"/>
  <c r="Q7" i="80"/>
  <c r="O7" i="80"/>
  <c r="M7" i="80"/>
  <c r="K7" i="80"/>
  <c r="I7" i="80"/>
  <c r="H7" i="80"/>
  <c r="E7" i="80"/>
  <c r="W6" i="80"/>
  <c r="X6" i="80" s="1"/>
  <c r="N6" i="80"/>
  <c r="L6" i="80"/>
  <c r="U6" i="80" s="1"/>
  <c r="J6" i="80"/>
  <c r="W5" i="80"/>
  <c r="X5" i="80" s="1"/>
  <c r="N5" i="80"/>
  <c r="L5" i="80"/>
  <c r="S5" i="80" s="1"/>
  <c r="J5" i="80"/>
  <c r="W4" i="80"/>
  <c r="X4" i="80" s="1"/>
  <c r="N4" i="80"/>
  <c r="L4" i="80"/>
  <c r="J4" i="80"/>
  <c r="R3" i="79"/>
  <c r="Q3" i="79"/>
  <c r="O3" i="79"/>
  <c r="M3" i="79"/>
  <c r="K3" i="79"/>
  <c r="I3" i="79"/>
  <c r="H3" i="79"/>
  <c r="E3" i="79"/>
  <c r="W2" i="79"/>
  <c r="N2" i="79"/>
  <c r="L2" i="79"/>
  <c r="T2" i="79" s="1"/>
  <c r="J2" i="79"/>
  <c r="R4" i="78"/>
  <c r="Q4" i="78"/>
  <c r="O4" i="78"/>
  <c r="M4" i="78"/>
  <c r="K4" i="78"/>
  <c r="I4" i="78"/>
  <c r="H4" i="78"/>
  <c r="J5" i="78" s="1"/>
  <c r="E4" i="78"/>
  <c r="W3" i="78"/>
  <c r="X3" i="78" s="1"/>
  <c r="N3" i="78"/>
  <c r="L3" i="78"/>
  <c r="S3" i="78" s="1"/>
  <c r="J3" i="78"/>
  <c r="W2" i="78"/>
  <c r="X2" i="78" s="1"/>
  <c r="N2" i="78"/>
  <c r="L2" i="78"/>
  <c r="S2" i="78" s="1"/>
  <c r="J2" i="78"/>
  <c r="R10" i="77"/>
  <c r="Q10" i="77"/>
  <c r="O10" i="77"/>
  <c r="M10" i="77"/>
  <c r="K10" i="77"/>
  <c r="I10" i="77"/>
  <c r="H10" i="77"/>
  <c r="E10" i="77"/>
  <c r="W7" i="77"/>
  <c r="X7" i="77" s="1"/>
  <c r="N7" i="77"/>
  <c r="L7" i="77"/>
  <c r="J7" i="77"/>
  <c r="W3" i="77"/>
  <c r="X3" i="77" s="1"/>
  <c r="N3" i="77"/>
  <c r="L3" i="77"/>
  <c r="J3" i="77"/>
  <c r="W8" i="77"/>
  <c r="X8" i="77" s="1"/>
  <c r="N8" i="77"/>
  <c r="L8" i="77"/>
  <c r="J8" i="77"/>
  <c r="W9" i="77"/>
  <c r="X9" i="77" s="1"/>
  <c r="N9" i="77"/>
  <c r="L9" i="77"/>
  <c r="T9" i="77" s="1"/>
  <c r="J9" i="77"/>
  <c r="W4" i="77"/>
  <c r="X4" i="77" s="1"/>
  <c r="N4" i="77"/>
  <c r="L4" i="77"/>
  <c r="J4" i="77"/>
  <c r="W2" i="77"/>
  <c r="X2" i="77" s="1"/>
  <c r="N2" i="77"/>
  <c r="L2" i="77"/>
  <c r="T2" i="77" s="1"/>
  <c r="J2" i="77"/>
  <c r="W5" i="77"/>
  <c r="X5" i="77" s="1"/>
  <c r="N5" i="77"/>
  <c r="L5" i="77"/>
  <c r="S5" i="77" s="1"/>
  <c r="J5" i="77"/>
  <c r="W6" i="77"/>
  <c r="X6" i="77" s="1"/>
  <c r="N6" i="77"/>
  <c r="L6" i="77"/>
  <c r="S6" i="77" s="1"/>
  <c r="J6" i="77"/>
  <c r="R18" i="76"/>
  <c r="Q18" i="76"/>
  <c r="O18" i="76"/>
  <c r="M18" i="76"/>
  <c r="K18" i="76"/>
  <c r="I18" i="76"/>
  <c r="H18" i="76"/>
  <c r="E18" i="76"/>
  <c r="W3" i="76"/>
  <c r="X3" i="76" s="1"/>
  <c r="N3" i="76"/>
  <c r="L3" i="76"/>
  <c r="T3" i="76" s="1"/>
  <c r="J3" i="76"/>
  <c r="W5" i="76"/>
  <c r="X5" i="76" s="1"/>
  <c r="N5" i="76"/>
  <c r="L5" i="76"/>
  <c r="U5" i="76" s="1"/>
  <c r="J5" i="76"/>
  <c r="W17" i="76"/>
  <c r="X17" i="76" s="1"/>
  <c r="N17" i="76"/>
  <c r="L17" i="76"/>
  <c r="U17" i="76" s="1"/>
  <c r="J17" i="76"/>
  <c r="W4" i="76"/>
  <c r="X4" i="76" s="1"/>
  <c r="N4" i="76"/>
  <c r="L4" i="76"/>
  <c r="J4" i="76"/>
  <c r="W7" i="76"/>
  <c r="X7" i="76" s="1"/>
  <c r="N7" i="76"/>
  <c r="L7" i="76"/>
  <c r="J7" i="76"/>
  <c r="W8" i="76"/>
  <c r="X8" i="76" s="1"/>
  <c r="N8" i="76"/>
  <c r="L8" i="76"/>
  <c r="J8" i="76"/>
  <c r="W15" i="76"/>
  <c r="X15" i="76" s="1"/>
  <c r="N15" i="76"/>
  <c r="L15" i="76"/>
  <c r="T15" i="76" s="1"/>
  <c r="J15" i="76"/>
  <c r="W2" i="76"/>
  <c r="X2" i="76" s="1"/>
  <c r="N2" i="76"/>
  <c r="L2" i="76"/>
  <c r="U2" i="76" s="1"/>
  <c r="J2" i="76"/>
  <c r="W12" i="76"/>
  <c r="X12" i="76" s="1"/>
  <c r="N12" i="76"/>
  <c r="L12" i="76"/>
  <c r="U12" i="76" s="1"/>
  <c r="J12" i="76"/>
  <c r="W13" i="76"/>
  <c r="X13" i="76" s="1"/>
  <c r="N13" i="76"/>
  <c r="L13" i="76"/>
  <c r="S13" i="76" s="1"/>
  <c r="J13" i="76"/>
  <c r="W14" i="76"/>
  <c r="X14" i="76" s="1"/>
  <c r="N14" i="76"/>
  <c r="L14" i="76"/>
  <c r="U14" i="76" s="1"/>
  <c r="J14" i="76"/>
  <c r="W16" i="76"/>
  <c r="X16" i="76" s="1"/>
  <c r="N16" i="76"/>
  <c r="L16" i="76"/>
  <c r="J16" i="76"/>
  <c r="W11" i="76"/>
  <c r="X11" i="76" s="1"/>
  <c r="N11" i="76"/>
  <c r="L11" i="76"/>
  <c r="T11" i="76" s="1"/>
  <c r="J11" i="76"/>
  <c r="W9" i="76"/>
  <c r="X9" i="76" s="1"/>
  <c r="N9" i="76"/>
  <c r="L9" i="76"/>
  <c r="U9" i="76" s="1"/>
  <c r="J9" i="76"/>
  <c r="W6" i="76"/>
  <c r="X6" i="76" s="1"/>
  <c r="N6" i="76"/>
  <c r="L6" i="76"/>
  <c r="J6" i="76"/>
  <c r="W10" i="76"/>
  <c r="X10" i="76" s="1"/>
  <c r="N10" i="76"/>
  <c r="L10" i="76"/>
  <c r="S10" i="76" s="1"/>
  <c r="J10" i="76"/>
  <c r="R6" i="75"/>
  <c r="Q6" i="75"/>
  <c r="O6" i="75"/>
  <c r="M6" i="75"/>
  <c r="K6" i="75"/>
  <c r="I6" i="75"/>
  <c r="H6" i="75"/>
  <c r="E6" i="75"/>
  <c r="W3" i="75"/>
  <c r="X3" i="75" s="1"/>
  <c r="N3" i="75"/>
  <c r="L3" i="75"/>
  <c r="U3" i="75" s="1"/>
  <c r="J3" i="75"/>
  <c r="W2" i="75"/>
  <c r="X2" i="75" s="1"/>
  <c r="N2" i="75"/>
  <c r="J2" i="75"/>
  <c r="W4" i="75"/>
  <c r="X4" i="75" s="1"/>
  <c r="N4" i="75"/>
  <c r="L4" i="75"/>
  <c r="J4" i="75"/>
  <c r="W5" i="75"/>
  <c r="X5" i="75" s="1"/>
  <c r="N5" i="75"/>
  <c r="L5" i="75"/>
  <c r="T5" i="75" s="1"/>
  <c r="J5" i="75"/>
  <c r="R4" i="71"/>
  <c r="Q4" i="71"/>
  <c r="O4" i="71"/>
  <c r="M4" i="71"/>
  <c r="K4" i="71"/>
  <c r="I4" i="71"/>
  <c r="H4" i="71"/>
  <c r="E4" i="71"/>
  <c r="W3" i="71"/>
  <c r="X3" i="71" s="1"/>
  <c r="N3" i="71"/>
  <c r="L3" i="71"/>
  <c r="S3" i="71" s="1"/>
  <c r="J3" i="71"/>
  <c r="W2" i="71"/>
  <c r="X2" i="71" s="1"/>
  <c r="N2" i="71"/>
  <c r="L2" i="71"/>
  <c r="J2" i="71"/>
  <c r="R4" i="70"/>
  <c r="Q4" i="70"/>
  <c r="O4" i="70"/>
  <c r="M4" i="70"/>
  <c r="K4" i="70"/>
  <c r="I4" i="70"/>
  <c r="H4" i="70"/>
  <c r="E4" i="70"/>
  <c r="W3" i="70"/>
  <c r="X3" i="70" s="1"/>
  <c r="N3" i="70"/>
  <c r="L3" i="70"/>
  <c r="U3" i="70" s="1"/>
  <c r="J3" i="70"/>
  <c r="W2" i="70"/>
  <c r="X2" i="70" s="1"/>
  <c r="N2" i="70"/>
  <c r="L2" i="70"/>
  <c r="T2" i="70" s="1"/>
  <c r="J2" i="70"/>
  <c r="R12" i="69"/>
  <c r="Q12" i="69"/>
  <c r="O12" i="69"/>
  <c r="M12" i="69"/>
  <c r="K12" i="69"/>
  <c r="I12" i="69"/>
  <c r="H12" i="69"/>
  <c r="E12" i="69"/>
  <c r="W11" i="69"/>
  <c r="N11" i="69"/>
  <c r="L11" i="69"/>
  <c r="S11" i="69" s="1"/>
  <c r="J11" i="69"/>
  <c r="W10" i="69"/>
  <c r="N10" i="69"/>
  <c r="L10" i="69"/>
  <c r="S10" i="69" s="1"/>
  <c r="J10" i="69"/>
  <c r="W9" i="69"/>
  <c r="N9" i="69"/>
  <c r="L9" i="69"/>
  <c r="J9" i="69"/>
  <c r="W8" i="69"/>
  <c r="N8" i="69"/>
  <c r="L8" i="69"/>
  <c r="S8" i="69" s="1"/>
  <c r="J8" i="69"/>
  <c r="W7" i="69"/>
  <c r="N7" i="69"/>
  <c r="L7" i="69"/>
  <c r="J7" i="69"/>
  <c r="W6" i="69"/>
  <c r="N6" i="69"/>
  <c r="L6" i="69"/>
  <c r="J6" i="69"/>
  <c r="W5" i="69"/>
  <c r="N5" i="69"/>
  <c r="L5" i="69"/>
  <c r="J5" i="69"/>
  <c r="W4" i="69"/>
  <c r="N4" i="69"/>
  <c r="L4" i="69"/>
  <c r="J4" i="69"/>
  <c r="W3" i="69"/>
  <c r="N3" i="69"/>
  <c r="L3" i="69"/>
  <c r="J3" i="69"/>
  <c r="W2" i="69"/>
  <c r="N2" i="69"/>
  <c r="L2" i="69"/>
  <c r="J2" i="69"/>
  <c r="R5" i="68"/>
  <c r="Q5" i="68"/>
  <c r="O5" i="68"/>
  <c r="M5" i="68"/>
  <c r="K5" i="68"/>
  <c r="I5" i="68"/>
  <c r="H5" i="68"/>
  <c r="E5" i="68"/>
  <c r="W2" i="68"/>
  <c r="X2" i="68" s="1"/>
  <c r="N2" i="68"/>
  <c r="L2" i="68"/>
  <c r="J2" i="68"/>
  <c r="W3" i="68"/>
  <c r="X3" i="68" s="1"/>
  <c r="N3" i="68"/>
  <c r="L3" i="68"/>
  <c r="J3" i="68"/>
  <c r="W4" i="68"/>
  <c r="X4" i="68" s="1"/>
  <c r="N4" i="68"/>
  <c r="L4" i="68"/>
  <c r="T4" i="68" s="1"/>
  <c r="J4" i="68"/>
  <c r="R6" i="67"/>
  <c r="Q6" i="67"/>
  <c r="O6" i="67"/>
  <c r="M6" i="67"/>
  <c r="K6" i="67"/>
  <c r="I6" i="67"/>
  <c r="H6" i="67"/>
  <c r="E6" i="67"/>
  <c r="W4" i="67"/>
  <c r="X4" i="67" s="1"/>
  <c r="N4" i="67"/>
  <c r="L4" i="67"/>
  <c r="J4" i="67"/>
  <c r="W5" i="67"/>
  <c r="X5" i="67" s="1"/>
  <c r="N5" i="67"/>
  <c r="L5" i="67"/>
  <c r="T5" i="67" s="1"/>
  <c r="J5" i="67"/>
  <c r="W3" i="67"/>
  <c r="X3" i="67" s="1"/>
  <c r="N3" i="67"/>
  <c r="L3" i="67"/>
  <c r="S3" i="67" s="1"/>
  <c r="J3" i="67"/>
  <c r="R24" i="66"/>
  <c r="Q24" i="66"/>
  <c r="O24" i="66"/>
  <c r="M24" i="66"/>
  <c r="K24" i="66"/>
  <c r="I24" i="66"/>
  <c r="H24" i="66"/>
  <c r="E24" i="66"/>
  <c r="W16" i="66"/>
  <c r="X16" i="66" s="1"/>
  <c r="N16" i="66"/>
  <c r="L16" i="66"/>
  <c r="J16" i="66"/>
  <c r="W23" i="66"/>
  <c r="X23" i="66" s="1"/>
  <c r="N23" i="66"/>
  <c r="L23" i="66"/>
  <c r="U23" i="66" s="1"/>
  <c r="J23" i="66"/>
  <c r="W19" i="66"/>
  <c r="X19" i="66" s="1"/>
  <c r="N19" i="66"/>
  <c r="L19" i="66"/>
  <c r="J19" i="66"/>
  <c r="W21" i="66"/>
  <c r="X21" i="66" s="1"/>
  <c r="N21" i="66"/>
  <c r="L21" i="66"/>
  <c r="T21" i="66" s="1"/>
  <c r="J21" i="66"/>
  <c r="W18" i="66"/>
  <c r="X18" i="66" s="1"/>
  <c r="N18" i="66"/>
  <c r="L18" i="66"/>
  <c r="T18" i="66" s="1"/>
  <c r="J18" i="66"/>
  <c r="W12" i="66"/>
  <c r="X12" i="66" s="1"/>
  <c r="N12" i="66"/>
  <c r="L12" i="66"/>
  <c r="T12" i="66" s="1"/>
  <c r="J12" i="66"/>
  <c r="W8" i="66"/>
  <c r="X8" i="66" s="1"/>
  <c r="N8" i="66"/>
  <c r="L8" i="66"/>
  <c r="J8" i="66"/>
  <c r="W5" i="66"/>
  <c r="X5" i="66" s="1"/>
  <c r="N5" i="66"/>
  <c r="L5" i="66"/>
  <c r="U5" i="66" s="1"/>
  <c r="J5" i="66"/>
  <c r="W17" i="66"/>
  <c r="X17" i="66" s="1"/>
  <c r="N17" i="66"/>
  <c r="L17" i="66"/>
  <c r="U17" i="66" s="1"/>
  <c r="J17" i="66"/>
  <c r="W2" i="66"/>
  <c r="X2" i="66" s="1"/>
  <c r="N2" i="66"/>
  <c r="L2" i="66"/>
  <c r="U2" i="66" s="1"/>
  <c r="J2" i="66"/>
  <c r="W10" i="66"/>
  <c r="X10" i="66" s="1"/>
  <c r="N10" i="66"/>
  <c r="L10" i="66"/>
  <c r="U10" i="66" s="1"/>
  <c r="J10" i="66"/>
  <c r="W13" i="66"/>
  <c r="X13" i="66" s="1"/>
  <c r="N13" i="66"/>
  <c r="L13" i="66"/>
  <c r="T13" i="66" s="1"/>
  <c r="J13" i="66"/>
  <c r="W22" i="66"/>
  <c r="X22" i="66" s="1"/>
  <c r="N22" i="66"/>
  <c r="L22" i="66"/>
  <c r="T22" i="66" s="1"/>
  <c r="J22" i="66"/>
  <c r="W4" i="66"/>
  <c r="X4" i="66" s="1"/>
  <c r="N4" i="66"/>
  <c r="L4" i="66"/>
  <c r="J4" i="66"/>
  <c r="W15" i="66"/>
  <c r="X15" i="66" s="1"/>
  <c r="N15" i="66"/>
  <c r="L15" i="66"/>
  <c r="U15" i="66" s="1"/>
  <c r="J15" i="66"/>
  <c r="W9" i="66"/>
  <c r="X9" i="66" s="1"/>
  <c r="N9" i="66"/>
  <c r="L9" i="66"/>
  <c r="J9" i="66"/>
  <c r="W7" i="66"/>
  <c r="X7" i="66" s="1"/>
  <c r="N7" i="66"/>
  <c r="L7" i="66"/>
  <c r="J7" i="66"/>
  <c r="W3" i="66"/>
  <c r="X3" i="66" s="1"/>
  <c r="N3" i="66"/>
  <c r="L3" i="66"/>
  <c r="J3" i="66"/>
  <c r="W20" i="66"/>
  <c r="X20" i="66" s="1"/>
  <c r="N20" i="66"/>
  <c r="L20" i="66"/>
  <c r="S20" i="66" s="1"/>
  <c r="J20" i="66"/>
  <c r="W6" i="66"/>
  <c r="X6" i="66" s="1"/>
  <c r="N6" i="66"/>
  <c r="L6" i="66"/>
  <c r="J6" i="66"/>
  <c r="W14" i="66"/>
  <c r="X14" i="66" s="1"/>
  <c r="N14" i="66"/>
  <c r="L14" i="66"/>
  <c r="T14" i="66" s="1"/>
  <c r="J14" i="66"/>
  <c r="W11" i="66"/>
  <c r="X11" i="66" s="1"/>
  <c r="N11" i="66"/>
  <c r="L11" i="66"/>
  <c r="J11" i="66"/>
  <c r="R25" i="65"/>
  <c r="Q25" i="65"/>
  <c r="O25" i="65"/>
  <c r="M25" i="65"/>
  <c r="K25" i="65"/>
  <c r="I25" i="65"/>
  <c r="H25" i="65"/>
  <c r="E25" i="65"/>
  <c r="W16" i="65"/>
  <c r="X16" i="65" s="1"/>
  <c r="N16" i="65"/>
  <c r="L16" i="65"/>
  <c r="J16" i="65"/>
  <c r="W23" i="65"/>
  <c r="X23" i="65" s="1"/>
  <c r="N23" i="65"/>
  <c r="L23" i="65"/>
  <c r="J23" i="65"/>
  <c r="W5" i="65"/>
  <c r="X5" i="65" s="1"/>
  <c r="N5" i="65"/>
  <c r="L5" i="65"/>
  <c r="U5" i="65" s="1"/>
  <c r="J5" i="65"/>
  <c r="W17" i="65"/>
  <c r="X17" i="65" s="1"/>
  <c r="N17" i="65"/>
  <c r="L17" i="65"/>
  <c r="T17" i="65" s="1"/>
  <c r="J17" i="65"/>
  <c r="W14" i="65"/>
  <c r="X14" i="65" s="1"/>
  <c r="N14" i="65"/>
  <c r="L14" i="65"/>
  <c r="U14" i="65" s="1"/>
  <c r="J14" i="65"/>
  <c r="W2" i="65"/>
  <c r="X2" i="65" s="1"/>
  <c r="N2" i="65"/>
  <c r="L2" i="65"/>
  <c r="J2" i="65"/>
  <c r="W4" i="65"/>
  <c r="X4" i="65" s="1"/>
  <c r="N4" i="65"/>
  <c r="L4" i="65"/>
  <c r="J4" i="65"/>
  <c r="W24" i="65"/>
  <c r="X24" i="65" s="1"/>
  <c r="N24" i="65"/>
  <c r="L24" i="65"/>
  <c r="U24" i="65" s="1"/>
  <c r="J24" i="65"/>
  <c r="W6" i="65"/>
  <c r="X6" i="65" s="1"/>
  <c r="N6" i="65"/>
  <c r="L6" i="65"/>
  <c r="T6" i="65" s="1"/>
  <c r="J6" i="65"/>
  <c r="W8" i="65"/>
  <c r="X8" i="65" s="1"/>
  <c r="N8" i="65"/>
  <c r="L8" i="65"/>
  <c r="J8" i="65"/>
  <c r="W12" i="65"/>
  <c r="X12" i="65" s="1"/>
  <c r="N12" i="65"/>
  <c r="L12" i="65"/>
  <c r="J12" i="65"/>
  <c r="W13" i="65"/>
  <c r="X13" i="65" s="1"/>
  <c r="N13" i="65"/>
  <c r="L13" i="65"/>
  <c r="U13" i="65" s="1"/>
  <c r="J13" i="65"/>
  <c r="W21" i="65"/>
  <c r="X21" i="65" s="1"/>
  <c r="N21" i="65"/>
  <c r="L21" i="65"/>
  <c r="S21" i="65" s="1"/>
  <c r="J21" i="65"/>
  <c r="W22" i="65"/>
  <c r="X22" i="65" s="1"/>
  <c r="N22" i="65"/>
  <c r="L22" i="65"/>
  <c r="J22" i="65"/>
  <c r="W15" i="65"/>
  <c r="X15" i="65" s="1"/>
  <c r="N15" i="65"/>
  <c r="L15" i="65"/>
  <c r="T15" i="65" s="1"/>
  <c r="J15" i="65"/>
  <c r="W20" i="65"/>
  <c r="X20" i="65" s="1"/>
  <c r="N20" i="65"/>
  <c r="L20" i="65"/>
  <c r="S20" i="65" s="1"/>
  <c r="J20" i="65"/>
  <c r="W18" i="65"/>
  <c r="X18" i="65" s="1"/>
  <c r="N18" i="65"/>
  <c r="L18" i="65"/>
  <c r="U18" i="65" s="1"/>
  <c r="J18" i="65"/>
  <c r="W19" i="65"/>
  <c r="X19" i="65" s="1"/>
  <c r="N19" i="65"/>
  <c r="L19" i="65"/>
  <c r="T19" i="65" s="1"/>
  <c r="J19" i="65"/>
  <c r="W3" i="65"/>
  <c r="X3" i="65" s="1"/>
  <c r="N3" i="65"/>
  <c r="L3" i="65"/>
  <c r="U3" i="65" s="1"/>
  <c r="J3" i="65"/>
  <c r="W7" i="65"/>
  <c r="X7" i="65" s="1"/>
  <c r="N7" i="65"/>
  <c r="L7" i="65"/>
  <c r="J7" i="65"/>
  <c r="W9" i="65"/>
  <c r="X9" i="65" s="1"/>
  <c r="N9" i="65"/>
  <c r="L9" i="65"/>
  <c r="S9" i="65" s="1"/>
  <c r="J9" i="65"/>
  <c r="W11" i="65"/>
  <c r="X11" i="65" s="1"/>
  <c r="N11" i="65"/>
  <c r="L11" i="65"/>
  <c r="S11" i="65" s="1"/>
  <c r="J11" i="65"/>
  <c r="W10" i="65"/>
  <c r="X10" i="65" s="1"/>
  <c r="N10" i="65"/>
  <c r="L10" i="65"/>
  <c r="S10" i="65" s="1"/>
  <c r="J10" i="65"/>
  <c r="R15" i="64"/>
  <c r="Q15" i="64"/>
  <c r="O15" i="64"/>
  <c r="M15" i="64"/>
  <c r="K15" i="64"/>
  <c r="I15" i="64"/>
  <c r="H15" i="64"/>
  <c r="E15" i="64"/>
  <c r="W14" i="64"/>
  <c r="X14" i="64" s="1"/>
  <c r="N14" i="64"/>
  <c r="L14" i="64"/>
  <c r="J14" i="64"/>
  <c r="W13" i="64"/>
  <c r="X13" i="64" s="1"/>
  <c r="N13" i="64"/>
  <c r="L13" i="64"/>
  <c r="U13" i="64" s="1"/>
  <c r="J13" i="64"/>
  <c r="W6" i="64"/>
  <c r="X6" i="64" s="1"/>
  <c r="N6" i="64"/>
  <c r="L6" i="64"/>
  <c r="U6" i="64" s="1"/>
  <c r="J6" i="64"/>
  <c r="W9" i="64"/>
  <c r="X9" i="64" s="1"/>
  <c r="N9" i="64"/>
  <c r="L9" i="64"/>
  <c r="U9" i="64" s="1"/>
  <c r="J9" i="64"/>
  <c r="W12" i="64"/>
  <c r="X12" i="64" s="1"/>
  <c r="N12" i="64"/>
  <c r="L12" i="64"/>
  <c r="J12" i="64"/>
  <c r="W10" i="64"/>
  <c r="X10" i="64" s="1"/>
  <c r="N10" i="64"/>
  <c r="L10" i="64"/>
  <c r="U10" i="64" s="1"/>
  <c r="J10" i="64"/>
  <c r="W11" i="64"/>
  <c r="X11" i="64" s="1"/>
  <c r="N11" i="64"/>
  <c r="L11" i="64"/>
  <c r="J11" i="64"/>
  <c r="W8" i="64"/>
  <c r="X8" i="64" s="1"/>
  <c r="N8" i="64"/>
  <c r="L8" i="64"/>
  <c r="U8" i="64" s="1"/>
  <c r="J8" i="64"/>
  <c r="W4" i="64"/>
  <c r="X4" i="64" s="1"/>
  <c r="N4" i="64"/>
  <c r="L4" i="64"/>
  <c r="U4" i="64" s="1"/>
  <c r="J4" i="64"/>
  <c r="W7" i="64"/>
  <c r="X7" i="64" s="1"/>
  <c r="N7" i="64"/>
  <c r="L7" i="64"/>
  <c r="U7" i="64" s="1"/>
  <c r="J7" i="64"/>
  <c r="W2" i="64"/>
  <c r="X2" i="64" s="1"/>
  <c r="N2" i="64"/>
  <c r="L2" i="64"/>
  <c r="U2" i="64" s="1"/>
  <c r="J2" i="64"/>
  <c r="W3" i="64"/>
  <c r="X3" i="64" s="1"/>
  <c r="N3" i="64"/>
  <c r="L3" i="64"/>
  <c r="U3" i="64" s="1"/>
  <c r="J3" i="64"/>
  <c r="W5" i="64"/>
  <c r="X5" i="64" s="1"/>
  <c r="N5" i="64"/>
  <c r="L5" i="64"/>
  <c r="T5" i="64" s="1"/>
  <c r="J5" i="64"/>
  <c r="R10" i="63"/>
  <c r="Q10" i="63"/>
  <c r="O10" i="63"/>
  <c r="M10" i="63"/>
  <c r="K10" i="63"/>
  <c r="I10" i="63"/>
  <c r="H10" i="63"/>
  <c r="E10" i="63"/>
  <c r="W3" i="63"/>
  <c r="X3" i="63" s="1"/>
  <c r="N3" i="63"/>
  <c r="L3" i="63"/>
  <c r="U3" i="63" s="1"/>
  <c r="J3" i="63"/>
  <c r="W9" i="63"/>
  <c r="X9" i="63" s="1"/>
  <c r="N9" i="63"/>
  <c r="L9" i="63"/>
  <c r="J9" i="63"/>
  <c r="W8" i="63"/>
  <c r="X8" i="63" s="1"/>
  <c r="N8" i="63"/>
  <c r="L8" i="63"/>
  <c r="T8" i="63" s="1"/>
  <c r="J8" i="63"/>
  <c r="W7" i="63"/>
  <c r="X7" i="63" s="1"/>
  <c r="N7" i="63"/>
  <c r="L7" i="63"/>
  <c r="U7" i="63" s="1"/>
  <c r="J7" i="63"/>
  <c r="W5" i="63"/>
  <c r="X5" i="63" s="1"/>
  <c r="N5" i="63"/>
  <c r="L5" i="63"/>
  <c r="U5" i="63" s="1"/>
  <c r="J5" i="63"/>
  <c r="W6" i="63"/>
  <c r="X6" i="63" s="1"/>
  <c r="N6" i="63"/>
  <c r="L6" i="63"/>
  <c r="U6" i="63" s="1"/>
  <c r="J6" i="63"/>
  <c r="W4" i="63"/>
  <c r="X4" i="63" s="1"/>
  <c r="N4" i="63"/>
  <c r="L4" i="63"/>
  <c r="J4" i="63"/>
  <c r="W2" i="63"/>
  <c r="X2" i="63" s="1"/>
  <c r="N2" i="63"/>
  <c r="L2" i="63"/>
  <c r="J2" i="63"/>
  <c r="R6" i="62"/>
  <c r="Q6" i="62"/>
  <c r="O6" i="62"/>
  <c r="M6" i="62"/>
  <c r="K6" i="62"/>
  <c r="I6" i="62"/>
  <c r="H6" i="62"/>
  <c r="E6" i="62"/>
  <c r="W5" i="62"/>
  <c r="X5" i="62" s="1"/>
  <c r="N5" i="62"/>
  <c r="L5" i="62"/>
  <c r="J5" i="62"/>
  <c r="W3" i="62"/>
  <c r="X3" i="62" s="1"/>
  <c r="N3" i="62"/>
  <c r="L3" i="62"/>
  <c r="J3" i="62"/>
  <c r="W2" i="62"/>
  <c r="X2" i="62" s="1"/>
  <c r="N2" i="62"/>
  <c r="L2" i="62"/>
  <c r="S2" i="62" s="1"/>
  <c r="J2" i="62"/>
  <c r="W4" i="62"/>
  <c r="X4" i="62" s="1"/>
  <c r="N4" i="62"/>
  <c r="L4" i="62"/>
  <c r="U4" i="62" s="1"/>
  <c r="J4" i="62"/>
  <c r="R12" i="61"/>
  <c r="Q12" i="61"/>
  <c r="O12" i="61"/>
  <c r="M12" i="61"/>
  <c r="K12" i="61"/>
  <c r="I12" i="61"/>
  <c r="H12" i="61"/>
  <c r="E12" i="61"/>
  <c r="W9" i="61"/>
  <c r="X9" i="61" s="1"/>
  <c r="N9" i="61"/>
  <c r="L9" i="61"/>
  <c r="T9" i="61" s="1"/>
  <c r="J9" i="61"/>
  <c r="W3" i="61"/>
  <c r="X3" i="61" s="1"/>
  <c r="N3" i="61"/>
  <c r="L3" i="61"/>
  <c r="U3" i="61" s="1"/>
  <c r="J3" i="61"/>
  <c r="W11" i="61"/>
  <c r="X11" i="61" s="1"/>
  <c r="N11" i="61"/>
  <c r="L11" i="61"/>
  <c r="J11" i="61"/>
  <c r="W10" i="61"/>
  <c r="X10" i="61" s="1"/>
  <c r="N10" i="61"/>
  <c r="L10" i="61"/>
  <c r="U10" i="61" s="1"/>
  <c r="J10" i="61"/>
  <c r="W4" i="61"/>
  <c r="X4" i="61" s="1"/>
  <c r="N4" i="61"/>
  <c r="L4" i="61"/>
  <c r="J4" i="61"/>
  <c r="W7" i="61"/>
  <c r="X7" i="61" s="1"/>
  <c r="N7" i="61"/>
  <c r="L7" i="61"/>
  <c r="J7" i="61"/>
  <c r="W8" i="61"/>
  <c r="X8" i="61" s="1"/>
  <c r="N8" i="61"/>
  <c r="L8" i="61"/>
  <c r="J8" i="61"/>
  <c r="W5" i="61"/>
  <c r="X5" i="61" s="1"/>
  <c r="N5" i="61"/>
  <c r="L5" i="61"/>
  <c r="U5" i="61" s="1"/>
  <c r="J5" i="61"/>
  <c r="W2" i="61"/>
  <c r="X2" i="61" s="1"/>
  <c r="N2" i="61"/>
  <c r="L2" i="61"/>
  <c r="U2" i="61" s="1"/>
  <c r="J2" i="61"/>
  <c r="R5" i="60"/>
  <c r="Q5" i="60"/>
  <c r="O5" i="60"/>
  <c r="M5" i="60"/>
  <c r="K5" i="60"/>
  <c r="I5" i="60"/>
  <c r="H5" i="60"/>
  <c r="E5" i="60"/>
  <c r="W2" i="60"/>
  <c r="X2" i="60" s="1"/>
  <c r="N2" i="60"/>
  <c r="L2" i="60"/>
  <c r="S2" i="60" s="1"/>
  <c r="J2" i="60"/>
  <c r="W3" i="60"/>
  <c r="X3" i="60" s="1"/>
  <c r="N3" i="60"/>
  <c r="L3" i="60"/>
  <c r="J3" i="60"/>
  <c r="W4" i="60"/>
  <c r="X4" i="60" s="1"/>
  <c r="N4" i="60"/>
  <c r="L4" i="60"/>
  <c r="J4" i="60"/>
  <c r="R6" i="59"/>
  <c r="Q6" i="59"/>
  <c r="O6" i="59"/>
  <c r="M6" i="59"/>
  <c r="K6" i="59"/>
  <c r="I6" i="59"/>
  <c r="H6" i="59"/>
  <c r="E6" i="59"/>
  <c r="W5" i="59"/>
  <c r="X5" i="59" s="1"/>
  <c r="N5" i="59"/>
  <c r="L5" i="59"/>
  <c r="U5" i="59" s="1"/>
  <c r="J5" i="59"/>
  <c r="W4" i="59"/>
  <c r="X4" i="59" s="1"/>
  <c r="N4" i="59"/>
  <c r="L4" i="59"/>
  <c r="J4" i="59"/>
  <c r="W3" i="59"/>
  <c r="X3" i="59" s="1"/>
  <c r="N3" i="59"/>
  <c r="L3" i="59"/>
  <c r="J3" i="59"/>
  <c r="W2" i="59"/>
  <c r="X2" i="59" s="1"/>
  <c r="N2" i="59"/>
  <c r="L2" i="59"/>
  <c r="J2" i="59"/>
  <c r="R9" i="58"/>
  <c r="Q9" i="58"/>
  <c r="O9" i="58"/>
  <c r="M9" i="58"/>
  <c r="K9" i="58"/>
  <c r="I9" i="58"/>
  <c r="H9" i="58"/>
  <c r="E9" i="58"/>
  <c r="R4" i="57"/>
  <c r="Q4" i="57"/>
  <c r="O4" i="57"/>
  <c r="M4" i="57"/>
  <c r="K4" i="57"/>
  <c r="I4" i="57"/>
  <c r="H4" i="57"/>
  <c r="E4" i="57"/>
  <c r="W3" i="57"/>
  <c r="X3" i="57" s="1"/>
  <c r="N3" i="57"/>
  <c r="L3" i="57"/>
  <c r="T3" i="57" s="1"/>
  <c r="J3" i="57"/>
  <c r="W2" i="57"/>
  <c r="X2" i="57" s="1"/>
  <c r="N2" i="57"/>
  <c r="L2" i="57"/>
  <c r="T2" i="57" s="1"/>
  <c r="J2" i="57"/>
  <c r="R7" i="56"/>
  <c r="Q7" i="56"/>
  <c r="O7" i="56"/>
  <c r="M7" i="56"/>
  <c r="K7" i="56"/>
  <c r="I7" i="56"/>
  <c r="H7" i="56"/>
  <c r="E7" i="56"/>
  <c r="W4" i="56"/>
  <c r="X4" i="56" s="1"/>
  <c r="N4" i="56"/>
  <c r="L4" i="56"/>
  <c r="U4" i="56" s="1"/>
  <c r="J4" i="56"/>
  <c r="W6" i="56"/>
  <c r="X6" i="56" s="1"/>
  <c r="N6" i="56"/>
  <c r="L6" i="56"/>
  <c r="T6" i="56" s="1"/>
  <c r="J6" i="56"/>
  <c r="W2" i="56"/>
  <c r="X2" i="56" s="1"/>
  <c r="N2" i="56"/>
  <c r="L2" i="56"/>
  <c r="U2" i="56" s="1"/>
  <c r="J2" i="56"/>
  <c r="W5" i="56"/>
  <c r="X5" i="56" s="1"/>
  <c r="N5" i="56"/>
  <c r="L5" i="56"/>
  <c r="S5" i="56" s="1"/>
  <c r="J5" i="56"/>
  <c r="W3" i="56"/>
  <c r="X3" i="56" s="1"/>
  <c r="N3" i="56"/>
  <c r="L3" i="56"/>
  <c r="U3" i="56" s="1"/>
  <c r="J3" i="56"/>
  <c r="R5" i="55"/>
  <c r="Q5" i="55"/>
  <c r="O5" i="55"/>
  <c r="M5" i="55"/>
  <c r="K5" i="55"/>
  <c r="I5" i="55"/>
  <c r="H5" i="55"/>
  <c r="E5" i="55"/>
  <c r="W3" i="55"/>
  <c r="X3" i="55" s="1"/>
  <c r="N3" i="55"/>
  <c r="L3" i="55"/>
  <c r="S3" i="55" s="1"/>
  <c r="J3" i="55"/>
  <c r="W4" i="55"/>
  <c r="X4" i="55" s="1"/>
  <c r="N4" i="55"/>
  <c r="L4" i="55"/>
  <c r="J4" i="55"/>
  <c r="R4" i="54"/>
  <c r="Q4" i="54"/>
  <c r="O4" i="54"/>
  <c r="M4" i="54"/>
  <c r="K4" i="54"/>
  <c r="I4" i="54"/>
  <c r="H4" i="54"/>
  <c r="E4" i="54"/>
  <c r="W3" i="54"/>
  <c r="X3" i="54" s="1"/>
  <c r="N3" i="54"/>
  <c r="L3" i="54"/>
  <c r="U3" i="54" s="1"/>
  <c r="J3" i="54"/>
  <c r="W2" i="54"/>
  <c r="X2" i="54" s="1"/>
  <c r="N2" i="54"/>
  <c r="L2" i="54"/>
  <c r="T2" i="54" s="1"/>
  <c r="J2" i="54"/>
  <c r="R7" i="53"/>
  <c r="Q7" i="53"/>
  <c r="O7" i="53"/>
  <c r="M7" i="53"/>
  <c r="K7" i="53"/>
  <c r="I7" i="53"/>
  <c r="H7" i="53"/>
  <c r="E7" i="53"/>
  <c r="W5" i="53"/>
  <c r="X5" i="53" s="1"/>
  <c r="N5" i="53"/>
  <c r="L5" i="53"/>
  <c r="J5" i="53"/>
  <c r="W3" i="53"/>
  <c r="X3" i="53" s="1"/>
  <c r="N3" i="53"/>
  <c r="L3" i="53"/>
  <c r="T3" i="53" s="1"/>
  <c r="J3" i="53"/>
  <c r="W6" i="53"/>
  <c r="X6" i="53" s="1"/>
  <c r="N6" i="53"/>
  <c r="L6" i="53"/>
  <c r="J6" i="53"/>
  <c r="W4" i="53"/>
  <c r="X4" i="53" s="1"/>
  <c r="N4" i="53"/>
  <c r="L4" i="53"/>
  <c r="U4" i="53" s="1"/>
  <c r="J4" i="53"/>
  <c r="R13" i="52"/>
  <c r="Q13" i="52"/>
  <c r="O13" i="52"/>
  <c r="M13" i="52"/>
  <c r="K13" i="52"/>
  <c r="I13" i="52"/>
  <c r="H13" i="52"/>
  <c r="E13" i="52"/>
  <c r="W6" i="52"/>
  <c r="X6" i="52" s="1"/>
  <c r="N6" i="52"/>
  <c r="L6" i="52"/>
  <c r="S6" i="52" s="1"/>
  <c r="J6" i="52"/>
  <c r="W12" i="52"/>
  <c r="X12" i="52" s="1"/>
  <c r="N12" i="52"/>
  <c r="L12" i="52"/>
  <c r="U12" i="52" s="1"/>
  <c r="J12" i="52"/>
  <c r="W11" i="52"/>
  <c r="X11" i="52" s="1"/>
  <c r="N11" i="52"/>
  <c r="L11" i="52"/>
  <c r="J11" i="52"/>
  <c r="W10" i="52"/>
  <c r="X10" i="52" s="1"/>
  <c r="N10" i="52"/>
  <c r="L10" i="52"/>
  <c r="S10" i="52" s="1"/>
  <c r="J10" i="52"/>
  <c r="W2" i="52"/>
  <c r="X2" i="52" s="1"/>
  <c r="N2" i="52"/>
  <c r="L2" i="52"/>
  <c r="U2" i="52" s="1"/>
  <c r="J2" i="52"/>
  <c r="W9" i="52"/>
  <c r="X9" i="52" s="1"/>
  <c r="N9" i="52"/>
  <c r="L9" i="52"/>
  <c r="J9" i="52"/>
  <c r="W8" i="52"/>
  <c r="X8" i="52" s="1"/>
  <c r="N8" i="52"/>
  <c r="L8" i="52"/>
  <c r="S8" i="52" s="1"/>
  <c r="J8" i="52"/>
  <c r="W4" i="52"/>
  <c r="X4" i="52" s="1"/>
  <c r="N4" i="52"/>
  <c r="L4" i="52"/>
  <c r="U4" i="52" s="1"/>
  <c r="J4" i="52"/>
  <c r="W7" i="52"/>
  <c r="X7" i="52" s="1"/>
  <c r="N7" i="52"/>
  <c r="L7" i="52"/>
  <c r="S7" i="52" s="1"/>
  <c r="J7" i="52"/>
  <c r="W5" i="52"/>
  <c r="X5" i="52" s="1"/>
  <c r="N5" i="52"/>
  <c r="L5" i="52"/>
  <c r="J5" i="52"/>
  <c r="W3" i="52"/>
  <c r="X3" i="52" s="1"/>
  <c r="N3" i="52"/>
  <c r="L3" i="52"/>
  <c r="J3" i="52"/>
  <c r="R5" i="51"/>
  <c r="Q5" i="51"/>
  <c r="O5" i="51"/>
  <c r="M5" i="51"/>
  <c r="K5" i="51"/>
  <c r="I5" i="51"/>
  <c r="H5" i="51"/>
  <c r="E5" i="51"/>
  <c r="W4" i="51"/>
  <c r="X4" i="51" s="1"/>
  <c r="N4" i="51"/>
  <c r="L4" i="51"/>
  <c r="S4" i="51" s="1"/>
  <c r="J4" i="51"/>
  <c r="W3" i="51"/>
  <c r="X3" i="51" s="1"/>
  <c r="N3" i="51"/>
  <c r="L3" i="51"/>
  <c r="U3" i="51" s="1"/>
  <c r="J3" i="51"/>
  <c r="W2" i="51"/>
  <c r="X2" i="51" s="1"/>
  <c r="N2" i="51"/>
  <c r="L2" i="51"/>
  <c r="U2" i="51" s="1"/>
  <c r="J2" i="51"/>
  <c r="R7" i="50"/>
  <c r="Q7" i="50"/>
  <c r="O7" i="50"/>
  <c r="M7" i="50"/>
  <c r="K7" i="50"/>
  <c r="I7" i="50"/>
  <c r="H7" i="50"/>
  <c r="E7" i="50"/>
  <c r="W4" i="50"/>
  <c r="X4" i="50" s="1"/>
  <c r="N4" i="50"/>
  <c r="L4" i="50"/>
  <c r="T4" i="50" s="1"/>
  <c r="J4" i="50"/>
  <c r="W3" i="50"/>
  <c r="X3" i="50" s="1"/>
  <c r="N3" i="50"/>
  <c r="L3" i="50"/>
  <c r="J3" i="50"/>
  <c r="W5" i="50"/>
  <c r="X5" i="50" s="1"/>
  <c r="N5" i="50"/>
  <c r="L5" i="50"/>
  <c r="S5" i="50" s="1"/>
  <c r="J5" i="50"/>
  <c r="W6" i="50"/>
  <c r="X6" i="50" s="1"/>
  <c r="N6" i="50"/>
  <c r="L6" i="50"/>
  <c r="S6" i="50" s="1"/>
  <c r="J6" i="50"/>
  <c r="W2" i="50"/>
  <c r="X2" i="50" s="1"/>
  <c r="N2" i="50"/>
  <c r="L2" i="50"/>
  <c r="U2" i="50" s="1"/>
  <c r="J2" i="50"/>
  <c r="R6" i="49"/>
  <c r="Q6" i="49"/>
  <c r="O6" i="49"/>
  <c r="M6" i="49"/>
  <c r="K6" i="49"/>
  <c r="I6" i="49"/>
  <c r="H6" i="49"/>
  <c r="E6" i="49"/>
  <c r="W5" i="49"/>
  <c r="X5" i="49" s="1"/>
  <c r="N5" i="49"/>
  <c r="L5" i="49"/>
  <c r="S5" i="49" s="1"/>
  <c r="J5" i="49"/>
  <c r="W3" i="49"/>
  <c r="X3" i="49" s="1"/>
  <c r="N3" i="49"/>
  <c r="L3" i="49"/>
  <c r="T3" i="49" s="1"/>
  <c r="J3" i="49"/>
  <c r="W4" i="49"/>
  <c r="X4" i="49" s="1"/>
  <c r="N4" i="49"/>
  <c r="L4" i="49"/>
  <c r="J4" i="49"/>
  <c r="W2" i="49"/>
  <c r="X2" i="49" s="1"/>
  <c r="N2" i="49"/>
  <c r="L2" i="49"/>
  <c r="J2" i="49"/>
  <c r="R9" i="48"/>
  <c r="Q9" i="48"/>
  <c r="O9" i="48"/>
  <c r="M9" i="48"/>
  <c r="K9" i="48"/>
  <c r="I9" i="48"/>
  <c r="H9" i="48"/>
  <c r="E9" i="48"/>
  <c r="W4" i="48"/>
  <c r="X4" i="48" s="1"/>
  <c r="N4" i="48"/>
  <c r="L4" i="48"/>
  <c r="S4" i="48" s="1"/>
  <c r="J4" i="48"/>
  <c r="W3" i="48"/>
  <c r="X3" i="48" s="1"/>
  <c r="N3" i="48"/>
  <c r="L3" i="48"/>
  <c r="J3" i="48"/>
  <c r="W5" i="48"/>
  <c r="X5" i="48" s="1"/>
  <c r="N5" i="48"/>
  <c r="L5" i="48"/>
  <c r="S5" i="48" s="1"/>
  <c r="J5" i="48"/>
  <c r="W7" i="48"/>
  <c r="X7" i="48" s="1"/>
  <c r="N7" i="48"/>
  <c r="L7" i="48"/>
  <c r="J7" i="48"/>
  <c r="W6" i="48"/>
  <c r="X6" i="48" s="1"/>
  <c r="L6" i="48"/>
  <c r="S6" i="48" s="1"/>
  <c r="J6" i="48"/>
  <c r="R28" i="47"/>
  <c r="Q28" i="47"/>
  <c r="O28" i="47"/>
  <c r="M28" i="47"/>
  <c r="K28" i="47"/>
  <c r="I28" i="47"/>
  <c r="H28" i="47"/>
  <c r="E28" i="47"/>
  <c r="W21" i="47"/>
  <c r="X21" i="47" s="1"/>
  <c r="N21" i="47"/>
  <c r="L21" i="47"/>
  <c r="J21" i="47"/>
  <c r="W18" i="47"/>
  <c r="X18" i="47" s="1"/>
  <c r="N18" i="47"/>
  <c r="L18" i="47"/>
  <c r="U18" i="47" s="1"/>
  <c r="J18" i="47"/>
  <c r="W14" i="47"/>
  <c r="X14" i="47" s="1"/>
  <c r="N14" i="47"/>
  <c r="L14" i="47"/>
  <c r="J14" i="47"/>
  <c r="W27" i="47"/>
  <c r="X27" i="47" s="1"/>
  <c r="N27" i="47"/>
  <c r="L27" i="47"/>
  <c r="U27" i="47" s="1"/>
  <c r="J27" i="47"/>
  <c r="W19" i="47"/>
  <c r="X19" i="47" s="1"/>
  <c r="N19" i="47"/>
  <c r="L19" i="47"/>
  <c r="S19" i="47" s="1"/>
  <c r="J19" i="47"/>
  <c r="W23" i="47"/>
  <c r="X23" i="47" s="1"/>
  <c r="N23" i="47"/>
  <c r="L23" i="47"/>
  <c r="T23" i="47" s="1"/>
  <c r="J23" i="47"/>
  <c r="W20" i="47"/>
  <c r="X20" i="47" s="1"/>
  <c r="N20" i="47"/>
  <c r="L20" i="47"/>
  <c r="T20" i="47" s="1"/>
  <c r="J20" i="47"/>
  <c r="W24" i="47"/>
  <c r="X24" i="47" s="1"/>
  <c r="N24" i="47"/>
  <c r="L24" i="47"/>
  <c r="J24" i="47"/>
  <c r="W26" i="47"/>
  <c r="X26" i="47" s="1"/>
  <c r="N26" i="47"/>
  <c r="L26" i="47"/>
  <c r="T26" i="47" s="1"/>
  <c r="J26" i="47"/>
  <c r="W15" i="47"/>
  <c r="X15" i="47" s="1"/>
  <c r="N15" i="47"/>
  <c r="L15" i="47"/>
  <c r="J15" i="47"/>
  <c r="W16" i="47"/>
  <c r="X16" i="47" s="1"/>
  <c r="N16" i="47"/>
  <c r="L16" i="47"/>
  <c r="T16" i="47" s="1"/>
  <c r="J16" i="47"/>
  <c r="W25" i="47"/>
  <c r="X25" i="47" s="1"/>
  <c r="N25" i="47"/>
  <c r="L25" i="47"/>
  <c r="S25" i="47" s="1"/>
  <c r="J25" i="47"/>
  <c r="W22" i="47"/>
  <c r="X22" i="47" s="1"/>
  <c r="N22" i="47"/>
  <c r="L22" i="47"/>
  <c r="J22" i="47"/>
  <c r="W17" i="47"/>
  <c r="X17" i="47" s="1"/>
  <c r="N17" i="47"/>
  <c r="L17" i="47"/>
  <c r="J17" i="47"/>
  <c r="R12" i="46"/>
  <c r="Q12" i="46"/>
  <c r="O12" i="46"/>
  <c r="M12" i="46"/>
  <c r="K12" i="46"/>
  <c r="I12" i="46"/>
  <c r="H12" i="46"/>
  <c r="E12" i="46"/>
  <c r="W6" i="46"/>
  <c r="X6" i="46" s="1"/>
  <c r="N6" i="46"/>
  <c r="L6" i="46"/>
  <c r="J6" i="46"/>
  <c r="W8" i="46"/>
  <c r="X8" i="46" s="1"/>
  <c r="N8" i="46"/>
  <c r="L8" i="46"/>
  <c r="U8" i="46" s="1"/>
  <c r="J8" i="46"/>
  <c r="W2" i="46"/>
  <c r="X2" i="46" s="1"/>
  <c r="N2" i="46"/>
  <c r="L2" i="46"/>
  <c r="J2" i="46"/>
  <c r="W9" i="46"/>
  <c r="X9" i="46" s="1"/>
  <c r="N9" i="46"/>
  <c r="L9" i="46"/>
  <c r="U9" i="46" s="1"/>
  <c r="J9" i="46"/>
  <c r="W4" i="46"/>
  <c r="X4" i="46" s="1"/>
  <c r="N4" i="46"/>
  <c r="L4" i="46"/>
  <c r="J4" i="46"/>
  <c r="W5" i="46"/>
  <c r="X5" i="46" s="1"/>
  <c r="N5" i="46"/>
  <c r="L5" i="46"/>
  <c r="S5" i="46" s="1"/>
  <c r="J5" i="46"/>
  <c r="W10" i="46"/>
  <c r="X10" i="46" s="1"/>
  <c r="N10" i="46"/>
  <c r="L10" i="46"/>
  <c r="J10" i="46"/>
  <c r="W3" i="46"/>
  <c r="X3" i="46" s="1"/>
  <c r="N3" i="46"/>
  <c r="L3" i="46"/>
  <c r="J3" i="46"/>
  <c r="W7" i="46"/>
  <c r="X7" i="46" s="1"/>
  <c r="N7" i="46"/>
  <c r="L7" i="46"/>
  <c r="S7" i="46" s="1"/>
  <c r="J7" i="46"/>
  <c r="R3" i="45"/>
  <c r="Q3" i="45"/>
  <c r="O3" i="45"/>
  <c r="M3" i="45"/>
  <c r="K3" i="45"/>
  <c r="I3" i="45"/>
  <c r="H3" i="45"/>
  <c r="E3" i="45"/>
  <c r="W2" i="45"/>
  <c r="X2" i="45" s="1"/>
  <c r="N2" i="45"/>
  <c r="L2" i="45"/>
  <c r="T2" i="45" s="1"/>
  <c r="J2" i="45"/>
  <c r="R17" i="44"/>
  <c r="Q17" i="44"/>
  <c r="O17" i="44"/>
  <c r="M17" i="44"/>
  <c r="K17" i="44"/>
  <c r="I17" i="44"/>
  <c r="H17" i="44"/>
  <c r="E17" i="44"/>
  <c r="W9" i="44"/>
  <c r="X9" i="44" s="1"/>
  <c r="N9" i="44"/>
  <c r="L9" i="44"/>
  <c r="J9" i="44"/>
  <c r="W3" i="44"/>
  <c r="X3" i="44" s="1"/>
  <c r="N3" i="44"/>
  <c r="L3" i="44"/>
  <c r="J3" i="44"/>
  <c r="W14" i="44"/>
  <c r="X14" i="44" s="1"/>
  <c r="N14" i="44"/>
  <c r="L14" i="44"/>
  <c r="J14" i="44"/>
  <c r="W4" i="44"/>
  <c r="X4" i="44" s="1"/>
  <c r="N4" i="44"/>
  <c r="L4" i="44"/>
  <c r="T4" i="44" s="1"/>
  <c r="J4" i="44"/>
  <c r="W12" i="44"/>
  <c r="X12" i="44" s="1"/>
  <c r="N12" i="44"/>
  <c r="L12" i="44"/>
  <c r="J12" i="44"/>
  <c r="W16" i="44"/>
  <c r="X16" i="44" s="1"/>
  <c r="N16" i="44"/>
  <c r="L16" i="44"/>
  <c r="J16" i="44"/>
  <c r="W8" i="44"/>
  <c r="X8" i="44" s="1"/>
  <c r="N8" i="44"/>
  <c r="L8" i="44"/>
  <c r="S8" i="44" s="1"/>
  <c r="J8" i="44"/>
  <c r="W15" i="44"/>
  <c r="X15" i="44" s="1"/>
  <c r="N15" i="44"/>
  <c r="L15" i="44"/>
  <c r="S15" i="44" s="1"/>
  <c r="J15" i="44"/>
  <c r="W7" i="44"/>
  <c r="X7" i="44" s="1"/>
  <c r="N7" i="44"/>
  <c r="L7" i="44"/>
  <c r="J7" i="44"/>
  <c r="W5" i="44"/>
  <c r="X5" i="44" s="1"/>
  <c r="N5" i="44"/>
  <c r="L5" i="44"/>
  <c r="J5" i="44"/>
  <c r="W10" i="44"/>
  <c r="X10" i="44" s="1"/>
  <c r="N10" i="44"/>
  <c r="L10" i="44"/>
  <c r="J10" i="44"/>
  <c r="W13" i="44"/>
  <c r="X13" i="44" s="1"/>
  <c r="N13" i="44"/>
  <c r="L13" i="44"/>
  <c r="U13" i="44" s="1"/>
  <c r="J13" i="44"/>
  <c r="W6" i="44"/>
  <c r="X6" i="44" s="1"/>
  <c r="N6" i="44"/>
  <c r="L6" i="44"/>
  <c r="S6" i="44" s="1"/>
  <c r="J6" i="44"/>
  <c r="W11" i="44"/>
  <c r="X11" i="44" s="1"/>
  <c r="N11" i="44"/>
  <c r="L11" i="44"/>
  <c r="U11" i="44" s="1"/>
  <c r="J11" i="44"/>
  <c r="R4" i="43"/>
  <c r="Q4" i="43"/>
  <c r="O4" i="43"/>
  <c r="M4" i="43"/>
  <c r="K4" i="43"/>
  <c r="I4" i="43"/>
  <c r="H4" i="43"/>
  <c r="E4" i="43"/>
  <c r="W3" i="43"/>
  <c r="X3" i="43" s="1"/>
  <c r="N3" i="43"/>
  <c r="L3" i="43"/>
  <c r="J3" i="43"/>
  <c r="W2" i="43"/>
  <c r="X2" i="43" s="1"/>
  <c r="N2" i="43"/>
  <c r="L2" i="43"/>
  <c r="S2" i="43" s="1"/>
  <c r="J2" i="43"/>
  <c r="R6" i="42"/>
  <c r="Q6" i="42"/>
  <c r="O6" i="42"/>
  <c r="M6" i="42"/>
  <c r="K6" i="42"/>
  <c r="I6" i="42"/>
  <c r="H6" i="42"/>
  <c r="E6" i="42"/>
  <c r="W2" i="42"/>
  <c r="X2" i="42" s="1"/>
  <c r="N2" i="42"/>
  <c r="L2" i="42"/>
  <c r="T2" i="42" s="1"/>
  <c r="J2" i="42"/>
  <c r="W5" i="42"/>
  <c r="X5" i="42" s="1"/>
  <c r="N5" i="42"/>
  <c r="L5" i="42"/>
  <c r="J5" i="42"/>
  <c r="W3" i="42"/>
  <c r="X3" i="42" s="1"/>
  <c r="N3" i="42"/>
  <c r="L3" i="42"/>
  <c r="S3" i="42" s="1"/>
  <c r="J3" i="42"/>
  <c r="W4" i="42"/>
  <c r="X4" i="42" s="1"/>
  <c r="N4" i="42"/>
  <c r="L4" i="42"/>
  <c r="T4" i="42" s="1"/>
  <c r="J4" i="42"/>
  <c r="R4" i="41"/>
  <c r="Q4" i="41"/>
  <c r="O4" i="41"/>
  <c r="M4" i="41"/>
  <c r="K4" i="41"/>
  <c r="I4" i="41"/>
  <c r="H4" i="41"/>
  <c r="E4" i="41"/>
  <c r="W3" i="41"/>
  <c r="X3" i="41" s="1"/>
  <c r="N3" i="41"/>
  <c r="L3" i="41"/>
  <c r="U3" i="41" s="1"/>
  <c r="J3" i="41"/>
  <c r="W2" i="41"/>
  <c r="X2" i="41" s="1"/>
  <c r="N2" i="41"/>
  <c r="L2" i="41"/>
  <c r="J2" i="41"/>
  <c r="R6" i="40"/>
  <c r="Q6" i="40"/>
  <c r="O6" i="40"/>
  <c r="M6" i="40"/>
  <c r="K6" i="40"/>
  <c r="I6" i="40"/>
  <c r="H6" i="40"/>
  <c r="E6" i="40"/>
  <c r="W4" i="40"/>
  <c r="X4" i="40" s="1"/>
  <c r="N4" i="40"/>
  <c r="L4" i="40"/>
  <c r="U4" i="40" s="1"/>
  <c r="J4" i="40"/>
  <c r="W5" i="40"/>
  <c r="X5" i="40" s="1"/>
  <c r="N5" i="40"/>
  <c r="L5" i="40"/>
  <c r="T5" i="40" s="1"/>
  <c r="J5" i="40"/>
  <c r="W3" i="40"/>
  <c r="X3" i="40" s="1"/>
  <c r="N3" i="40"/>
  <c r="L3" i="40"/>
  <c r="S3" i="40" s="1"/>
  <c r="J3" i="40"/>
  <c r="W2" i="40"/>
  <c r="X2" i="40" s="1"/>
  <c r="N2" i="40"/>
  <c r="L2" i="40"/>
  <c r="U2" i="40" s="1"/>
  <c r="J2" i="40"/>
  <c r="R13" i="39"/>
  <c r="Q13" i="39"/>
  <c r="O13" i="39"/>
  <c r="M13" i="39"/>
  <c r="K13" i="39"/>
  <c r="I13" i="39"/>
  <c r="H13" i="39"/>
  <c r="E13" i="39"/>
  <c r="W6" i="39"/>
  <c r="X6" i="39" s="1"/>
  <c r="N6" i="39"/>
  <c r="L6" i="39"/>
  <c r="U6" i="39" s="1"/>
  <c r="J6" i="39"/>
  <c r="W9" i="39"/>
  <c r="X9" i="39" s="1"/>
  <c r="N9" i="39"/>
  <c r="L9" i="39"/>
  <c r="T9" i="39" s="1"/>
  <c r="J9" i="39"/>
  <c r="W11" i="39"/>
  <c r="X11" i="39" s="1"/>
  <c r="N11" i="39"/>
  <c r="L11" i="39"/>
  <c r="U11" i="39" s="1"/>
  <c r="J11" i="39"/>
  <c r="W3" i="39"/>
  <c r="X3" i="39" s="1"/>
  <c r="N3" i="39"/>
  <c r="L3" i="39"/>
  <c r="J3" i="39"/>
  <c r="W2" i="39"/>
  <c r="X2" i="39" s="1"/>
  <c r="N2" i="39"/>
  <c r="L2" i="39"/>
  <c r="T2" i="39" s="1"/>
  <c r="J2" i="39"/>
  <c r="W12" i="39"/>
  <c r="X12" i="39" s="1"/>
  <c r="N12" i="39"/>
  <c r="L12" i="39"/>
  <c r="J12" i="39"/>
  <c r="W7" i="39"/>
  <c r="X7" i="39" s="1"/>
  <c r="N7" i="39"/>
  <c r="L7" i="39"/>
  <c r="U7" i="39" s="1"/>
  <c r="J7" i="39"/>
  <c r="W10" i="39"/>
  <c r="X10" i="39" s="1"/>
  <c r="N10" i="39"/>
  <c r="L10" i="39"/>
  <c r="J10" i="39"/>
  <c r="W4" i="39"/>
  <c r="X4" i="39" s="1"/>
  <c r="N4" i="39"/>
  <c r="L4" i="39"/>
  <c r="U4" i="39" s="1"/>
  <c r="J4" i="39"/>
  <c r="W8" i="39"/>
  <c r="X8" i="39" s="1"/>
  <c r="N8" i="39"/>
  <c r="L8" i="39"/>
  <c r="U8" i="39" s="1"/>
  <c r="J8" i="39"/>
  <c r="W5" i="39"/>
  <c r="X5" i="39" s="1"/>
  <c r="N5" i="39"/>
  <c r="L5" i="39"/>
  <c r="J5" i="39"/>
  <c r="R50" i="38"/>
  <c r="Q50" i="38"/>
  <c r="O50" i="38"/>
  <c r="M50" i="38"/>
  <c r="K50" i="38"/>
  <c r="I50" i="38"/>
  <c r="H50" i="38"/>
  <c r="E50" i="38"/>
  <c r="W46" i="38"/>
  <c r="X46" i="38" s="1"/>
  <c r="N46" i="38"/>
  <c r="L46" i="38"/>
  <c r="T46" i="38" s="1"/>
  <c r="J46" i="38"/>
  <c r="W47" i="38"/>
  <c r="X47" i="38" s="1"/>
  <c r="N47" i="38"/>
  <c r="L47" i="38"/>
  <c r="U47" i="38" s="1"/>
  <c r="J47" i="38"/>
  <c r="W48" i="38"/>
  <c r="X48" i="38" s="1"/>
  <c r="N48" i="38"/>
  <c r="L48" i="38"/>
  <c r="U48" i="38" s="1"/>
  <c r="J48" i="38"/>
  <c r="W2" i="38"/>
  <c r="X2" i="38" s="1"/>
  <c r="N2" i="38"/>
  <c r="L2" i="38"/>
  <c r="S2" i="38" s="1"/>
  <c r="J2" i="38"/>
  <c r="W44" i="38"/>
  <c r="X44" i="38" s="1"/>
  <c r="N44" i="38"/>
  <c r="L44" i="38"/>
  <c r="S44" i="38" s="1"/>
  <c r="J44" i="38"/>
  <c r="W40" i="38"/>
  <c r="X40" i="38" s="1"/>
  <c r="N40" i="38"/>
  <c r="L40" i="38"/>
  <c r="J40" i="38"/>
  <c r="W45" i="38"/>
  <c r="X45" i="38" s="1"/>
  <c r="N45" i="38"/>
  <c r="L45" i="38"/>
  <c r="U45" i="38" s="1"/>
  <c r="J45" i="38"/>
  <c r="W24" i="38"/>
  <c r="X24" i="38" s="1"/>
  <c r="N24" i="38"/>
  <c r="L24" i="38"/>
  <c r="J24" i="38"/>
  <c r="W39" i="38"/>
  <c r="X39" i="38" s="1"/>
  <c r="N39" i="38"/>
  <c r="L39" i="38"/>
  <c r="U39" i="38" s="1"/>
  <c r="J39" i="38"/>
  <c r="W43" i="38"/>
  <c r="X43" i="38" s="1"/>
  <c r="N43" i="38"/>
  <c r="L43" i="38"/>
  <c r="S43" i="38" s="1"/>
  <c r="J43" i="38"/>
  <c r="W33" i="38"/>
  <c r="X33" i="38" s="1"/>
  <c r="N33" i="38"/>
  <c r="L33" i="38"/>
  <c r="U33" i="38" s="1"/>
  <c r="J33" i="38"/>
  <c r="W34" i="38"/>
  <c r="X34" i="38" s="1"/>
  <c r="N34" i="38"/>
  <c r="L34" i="38"/>
  <c r="S34" i="38" s="1"/>
  <c r="J34" i="38"/>
  <c r="W32" i="38"/>
  <c r="X32" i="38" s="1"/>
  <c r="N32" i="38"/>
  <c r="L32" i="38"/>
  <c r="J32" i="38"/>
  <c r="W27" i="38"/>
  <c r="X27" i="38" s="1"/>
  <c r="N27" i="38"/>
  <c r="L27" i="38"/>
  <c r="J27" i="38"/>
  <c r="W38" i="38"/>
  <c r="X38" i="38" s="1"/>
  <c r="N38" i="38"/>
  <c r="L38" i="38"/>
  <c r="U38" i="38" s="1"/>
  <c r="J38" i="38"/>
  <c r="W22" i="38"/>
  <c r="X22" i="38" s="1"/>
  <c r="N22" i="38"/>
  <c r="L22" i="38"/>
  <c r="U22" i="38" s="1"/>
  <c r="J22" i="38"/>
  <c r="W49" i="38"/>
  <c r="X49" i="38" s="1"/>
  <c r="N49" i="38"/>
  <c r="L49" i="38"/>
  <c r="U49" i="38" s="1"/>
  <c r="J49" i="38"/>
  <c r="W25" i="38"/>
  <c r="X25" i="38" s="1"/>
  <c r="N25" i="38"/>
  <c r="L25" i="38"/>
  <c r="U25" i="38" s="1"/>
  <c r="J25" i="38"/>
  <c r="W30" i="38"/>
  <c r="X30" i="38" s="1"/>
  <c r="N30" i="38"/>
  <c r="L30" i="38"/>
  <c r="S30" i="38" s="1"/>
  <c r="J30" i="38"/>
  <c r="W36" i="38"/>
  <c r="X36" i="38" s="1"/>
  <c r="N36" i="38"/>
  <c r="L36" i="38"/>
  <c r="J36" i="38"/>
  <c r="W26" i="38"/>
  <c r="X26" i="38" s="1"/>
  <c r="N26" i="38"/>
  <c r="L26" i="38"/>
  <c r="U26" i="38" s="1"/>
  <c r="J26" i="38"/>
  <c r="W3" i="38"/>
  <c r="X3" i="38" s="1"/>
  <c r="N3" i="38"/>
  <c r="L3" i="38"/>
  <c r="S3" i="38" s="1"/>
  <c r="J3" i="38"/>
  <c r="W31" i="38"/>
  <c r="X31" i="38" s="1"/>
  <c r="N31" i="38"/>
  <c r="L31" i="38"/>
  <c r="J31" i="38"/>
  <c r="W19" i="38"/>
  <c r="X19" i="38" s="1"/>
  <c r="N19" i="38"/>
  <c r="L19" i="38"/>
  <c r="U19" i="38" s="1"/>
  <c r="J19" i="38"/>
  <c r="W17" i="38"/>
  <c r="X17" i="38" s="1"/>
  <c r="N17" i="38"/>
  <c r="L17" i="38"/>
  <c r="U17" i="38" s="1"/>
  <c r="J17" i="38"/>
  <c r="W11" i="38"/>
  <c r="X11" i="38" s="1"/>
  <c r="N11" i="38"/>
  <c r="L11" i="38"/>
  <c r="U11" i="38" s="1"/>
  <c r="J11" i="38"/>
  <c r="W18" i="38"/>
  <c r="X18" i="38" s="1"/>
  <c r="N18" i="38"/>
  <c r="L18" i="38"/>
  <c r="J18" i="38"/>
  <c r="W10" i="38"/>
  <c r="X10" i="38" s="1"/>
  <c r="N10" i="38"/>
  <c r="L10" i="38"/>
  <c r="U10" i="38" s="1"/>
  <c r="J10" i="38"/>
  <c r="W21" i="38"/>
  <c r="X21" i="38" s="1"/>
  <c r="N21" i="38"/>
  <c r="L21" i="38"/>
  <c r="J21" i="38"/>
  <c r="W5" i="38"/>
  <c r="X5" i="38" s="1"/>
  <c r="N5" i="38"/>
  <c r="L5" i="38"/>
  <c r="J5" i="38"/>
  <c r="W23" i="38"/>
  <c r="X23" i="38" s="1"/>
  <c r="N23" i="38"/>
  <c r="L23" i="38"/>
  <c r="S23" i="38" s="1"/>
  <c r="J23" i="38"/>
  <c r="W41" i="38"/>
  <c r="X41" i="38" s="1"/>
  <c r="N41" i="38"/>
  <c r="L41" i="38"/>
  <c r="U41" i="38" s="1"/>
  <c r="J41" i="38"/>
  <c r="W9" i="38"/>
  <c r="X9" i="38" s="1"/>
  <c r="N9" i="38"/>
  <c r="L9" i="38"/>
  <c r="S9" i="38" s="1"/>
  <c r="J9" i="38"/>
  <c r="W28" i="38"/>
  <c r="X28" i="38" s="1"/>
  <c r="N28" i="38"/>
  <c r="L28" i="38"/>
  <c r="J28" i="38"/>
  <c r="W15" i="38"/>
  <c r="X15" i="38" s="1"/>
  <c r="N15" i="38"/>
  <c r="L15" i="38"/>
  <c r="U15" i="38" s="1"/>
  <c r="J15" i="38"/>
  <c r="W8" i="38"/>
  <c r="X8" i="38" s="1"/>
  <c r="N8" i="38"/>
  <c r="L8" i="38"/>
  <c r="J8" i="38"/>
  <c r="W42" i="38"/>
  <c r="X42" i="38" s="1"/>
  <c r="N42" i="38"/>
  <c r="L42" i="38"/>
  <c r="U42" i="38" s="1"/>
  <c r="J42" i="38"/>
  <c r="W4" i="38"/>
  <c r="X4" i="38" s="1"/>
  <c r="N4" i="38"/>
  <c r="L4" i="38"/>
  <c r="U4" i="38" s="1"/>
  <c r="J4" i="38"/>
  <c r="W6" i="38"/>
  <c r="X6" i="38" s="1"/>
  <c r="N6" i="38"/>
  <c r="L6" i="38"/>
  <c r="T6" i="38" s="1"/>
  <c r="J6" i="38"/>
  <c r="W14" i="38"/>
  <c r="X14" i="38" s="1"/>
  <c r="N14" i="38"/>
  <c r="L14" i="38"/>
  <c r="S14" i="38" s="1"/>
  <c r="J14" i="38"/>
  <c r="W35" i="38"/>
  <c r="X35" i="38" s="1"/>
  <c r="N35" i="38"/>
  <c r="L35" i="38"/>
  <c r="J35" i="38"/>
  <c r="W37" i="38"/>
  <c r="X37" i="38" s="1"/>
  <c r="N37" i="38"/>
  <c r="L37" i="38"/>
  <c r="U37" i="38" s="1"/>
  <c r="J37" i="38"/>
  <c r="W16" i="38"/>
  <c r="X16" i="38" s="1"/>
  <c r="N16" i="38"/>
  <c r="L16" i="38"/>
  <c r="U16" i="38" s="1"/>
  <c r="J16" i="38"/>
  <c r="W29" i="38"/>
  <c r="X29" i="38" s="1"/>
  <c r="N29" i="38"/>
  <c r="L29" i="38"/>
  <c r="T29" i="38" s="1"/>
  <c r="J29" i="38"/>
  <c r="W7" i="38"/>
  <c r="X7" i="38" s="1"/>
  <c r="N7" i="38"/>
  <c r="L7" i="38"/>
  <c r="T7" i="38" s="1"/>
  <c r="J7" i="38"/>
  <c r="W20" i="38"/>
  <c r="X20" i="38" s="1"/>
  <c r="N20" i="38"/>
  <c r="L20" i="38"/>
  <c r="U20" i="38" s="1"/>
  <c r="J20" i="38"/>
  <c r="R5" i="36"/>
  <c r="Q5" i="36"/>
  <c r="O5" i="36"/>
  <c r="M5" i="36"/>
  <c r="K5" i="36"/>
  <c r="I5" i="36"/>
  <c r="H5" i="36"/>
  <c r="E5" i="36"/>
  <c r="W4" i="36"/>
  <c r="X4" i="36" s="1"/>
  <c r="N4" i="36"/>
  <c r="L4" i="36"/>
  <c r="S4" i="36" s="1"/>
  <c r="J4" i="36"/>
  <c r="W3" i="36"/>
  <c r="X3" i="36" s="1"/>
  <c r="N3" i="36"/>
  <c r="L3" i="36"/>
  <c r="J3" i="36"/>
  <c r="W2" i="36"/>
  <c r="X2" i="36" s="1"/>
  <c r="N2" i="36"/>
  <c r="L2" i="36"/>
  <c r="T2" i="36" s="1"/>
  <c r="J2" i="36"/>
  <c r="R55" i="34"/>
  <c r="Q55" i="34"/>
  <c r="O55" i="34"/>
  <c r="M55" i="34"/>
  <c r="K55" i="34"/>
  <c r="I55" i="34"/>
  <c r="H55" i="34"/>
  <c r="E55" i="34"/>
  <c r="W49" i="34"/>
  <c r="X49" i="34" s="1"/>
  <c r="N49" i="34"/>
  <c r="L49" i="34"/>
  <c r="J49" i="34"/>
  <c r="W53" i="34"/>
  <c r="X53" i="34" s="1"/>
  <c r="N53" i="34"/>
  <c r="L53" i="34"/>
  <c r="S53" i="34" s="1"/>
  <c r="J53" i="34"/>
  <c r="W51" i="34"/>
  <c r="X51" i="34" s="1"/>
  <c r="N51" i="34"/>
  <c r="L51" i="34"/>
  <c r="T51" i="34" s="1"/>
  <c r="J51" i="34"/>
  <c r="W47" i="34"/>
  <c r="X47" i="34" s="1"/>
  <c r="N47" i="34"/>
  <c r="L47" i="34"/>
  <c r="J47" i="34"/>
  <c r="W46" i="34"/>
  <c r="X46" i="34" s="1"/>
  <c r="N46" i="34"/>
  <c r="L46" i="34"/>
  <c r="U46" i="34" s="1"/>
  <c r="J46" i="34"/>
  <c r="W45" i="34"/>
  <c r="X45" i="34" s="1"/>
  <c r="N45" i="34"/>
  <c r="L45" i="34"/>
  <c r="U45" i="34" s="1"/>
  <c r="J45" i="34"/>
  <c r="W44" i="34"/>
  <c r="X44" i="34" s="1"/>
  <c r="T44" i="34"/>
  <c r="N44" i="34"/>
  <c r="L44" i="34"/>
  <c r="U44" i="34" s="1"/>
  <c r="J44" i="34"/>
  <c r="W38" i="34"/>
  <c r="X38" i="34" s="1"/>
  <c r="N38" i="34"/>
  <c r="L38" i="34"/>
  <c r="S38" i="34" s="1"/>
  <c r="J38" i="34"/>
  <c r="W37" i="34"/>
  <c r="X37" i="34" s="1"/>
  <c r="N37" i="34"/>
  <c r="L37" i="34"/>
  <c r="J37" i="34"/>
  <c r="W14" i="34"/>
  <c r="X14" i="34" s="1"/>
  <c r="N14" i="34"/>
  <c r="L14" i="34"/>
  <c r="U14" i="34" s="1"/>
  <c r="J14" i="34"/>
  <c r="W41" i="34"/>
  <c r="X41" i="34" s="1"/>
  <c r="N41" i="34"/>
  <c r="L41" i="34"/>
  <c r="J41" i="34"/>
  <c r="W54" i="34"/>
  <c r="X54" i="34" s="1"/>
  <c r="N54" i="34"/>
  <c r="L54" i="34"/>
  <c r="S54" i="34" s="1"/>
  <c r="J54" i="34"/>
  <c r="W50" i="34"/>
  <c r="X50" i="34" s="1"/>
  <c r="N50" i="34"/>
  <c r="L50" i="34"/>
  <c r="J50" i="34"/>
  <c r="W36" i="34"/>
  <c r="X36" i="34" s="1"/>
  <c r="N36" i="34"/>
  <c r="L36" i="34"/>
  <c r="U36" i="34" s="1"/>
  <c r="J36" i="34"/>
  <c r="W48" i="34"/>
  <c r="X48" i="34" s="1"/>
  <c r="N48" i="34"/>
  <c r="L48" i="34"/>
  <c r="U48" i="34" s="1"/>
  <c r="J48" i="34"/>
  <c r="W21" i="34"/>
  <c r="X21" i="34" s="1"/>
  <c r="N21" i="34"/>
  <c r="L21" i="34"/>
  <c r="J21" i="34"/>
  <c r="W24" i="34"/>
  <c r="X24" i="34" s="1"/>
  <c r="N24" i="34"/>
  <c r="L24" i="34"/>
  <c r="U24" i="34" s="1"/>
  <c r="J24" i="34"/>
  <c r="W39" i="34"/>
  <c r="X39" i="34" s="1"/>
  <c r="N39" i="34"/>
  <c r="L39" i="34"/>
  <c r="T39" i="34" s="1"/>
  <c r="J39" i="34"/>
  <c r="W52" i="34"/>
  <c r="X52" i="34" s="1"/>
  <c r="N52" i="34"/>
  <c r="L52" i="34"/>
  <c r="J52" i="34"/>
  <c r="W35" i="34"/>
  <c r="X35" i="34" s="1"/>
  <c r="N35" i="34"/>
  <c r="L35" i="34"/>
  <c r="J35" i="34"/>
  <c r="W22" i="34"/>
  <c r="X22" i="34" s="1"/>
  <c r="N22" i="34"/>
  <c r="L22" i="34"/>
  <c r="U22" i="34" s="1"/>
  <c r="J22" i="34"/>
  <c r="W43" i="34"/>
  <c r="X43" i="34" s="1"/>
  <c r="N43" i="34"/>
  <c r="L43" i="34"/>
  <c r="J43" i="34"/>
  <c r="W20" i="34"/>
  <c r="X20" i="34" s="1"/>
  <c r="N20" i="34"/>
  <c r="L20" i="34"/>
  <c r="S20" i="34" s="1"/>
  <c r="J20" i="34"/>
  <c r="W8" i="34"/>
  <c r="X8" i="34" s="1"/>
  <c r="U8" i="34"/>
  <c r="N8" i="34"/>
  <c r="L8" i="34"/>
  <c r="S8" i="34" s="1"/>
  <c r="J8" i="34"/>
  <c r="W34" i="34"/>
  <c r="X34" i="34" s="1"/>
  <c r="N34" i="34"/>
  <c r="L34" i="34"/>
  <c r="J34" i="34"/>
  <c r="W40" i="34"/>
  <c r="X40" i="34" s="1"/>
  <c r="U40" i="34"/>
  <c r="T40" i="34"/>
  <c r="N40" i="34"/>
  <c r="L40" i="34"/>
  <c r="S40" i="34" s="1"/>
  <c r="J40" i="34"/>
  <c r="W11" i="34"/>
  <c r="X11" i="34" s="1"/>
  <c r="N11" i="34"/>
  <c r="L11" i="34"/>
  <c r="J11" i="34"/>
  <c r="W12" i="34"/>
  <c r="X12" i="34" s="1"/>
  <c r="N12" i="34"/>
  <c r="L12" i="34"/>
  <c r="U12" i="34" s="1"/>
  <c r="J12" i="34"/>
  <c r="W18" i="34"/>
  <c r="X18" i="34" s="1"/>
  <c r="N18" i="34"/>
  <c r="L18" i="34"/>
  <c r="T18" i="34" s="1"/>
  <c r="J18" i="34"/>
  <c r="W28" i="34"/>
  <c r="X28" i="34" s="1"/>
  <c r="N28" i="34"/>
  <c r="L28" i="34"/>
  <c r="U28" i="34" s="1"/>
  <c r="J28" i="34"/>
  <c r="W33" i="34"/>
  <c r="X33" i="34" s="1"/>
  <c r="N33" i="34"/>
  <c r="L33" i="34"/>
  <c r="U33" i="34" s="1"/>
  <c r="J33" i="34"/>
  <c r="W29" i="34"/>
  <c r="X29" i="34" s="1"/>
  <c r="N29" i="34"/>
  <c r="L29" i="34"/>
  <c r="J29" i="34"/>
  <c r="W30" i="34"/>
  <c r="X30" i="34" s="1"/>
  <c r="N30" i="34"/>
  <c r="L30" i="34"/>
  <c r="U30" i="34" s="1"/>
  <c r="J30" i="34"/>
  <c r="W13" i="34"/>
  <c r="X13" i="34" s="1"/>
  <c r="T13" i="34"/>
  <c r="N13" i="34"/>
  <c r="L13" i="34"/>
  <c r="U13" i="34" s="1"/>
  <c r="J13" i="34"/>
  <c r="W10" i="34"/>
  <c r="X10" i="34" s="1"/>
  <c r="N10" i="34"/>
  <c r="L10" i="34"/>
  <c r="S10" i="34" s="1"/>
  <c r="J10" i="34"/>
  <c r="W25" i="34"/>
  <c r="X25" i="34" s="1"/>
  <c r="N25" i="34"/>
  <c r="L25" i="34"/>
  <c r="T25" i="34" s="1"/>
  <c r="J25" i="34"/>
  <c r="W23" i="34"/>
  <c r="X23" i="34" s="1"/>
  <c r="N23" i="34"/>
  <c r="L23" i="34"/>
  <c r="J23" i="34"/>
  <c r="W32" i="34"/>
  <c r="X32" i="34" s="1"/>
  <c r="N32" i="34"/>
  <c r="L32" i="34"/>
  <c r="T32" i="34" s="1"/>
  <c r="J32" i="34"/>
  <c r="W27" i="34"/>
  <c r="X27" i="34" s="1"/>
  <c r="N27" i="34"/>
  <c r="L27" i="34"/>
  <c r="J27" i="34"/>
  <c r="W19" i="34"/>
  <c r="X19" i="34" s="1"/>
  <c r="N19" i="34"/>
  <c r="L19" i="34"/>
  <c r="T19" i="34" s="1"/>
  <c r="J19" i="34"/>
  <c r="W26" i="34"/>
  <c r="X26" i="34" s="1"/>
  <c r="N26" i="34"/>
  <c r="L26" i="34"/>
  <c r="U26" i="34" s="1"/>
  <c r="J26" i="34"/>
  <c r="W42" i="34"/>
  <c r="X42" i="34" s="1"/>
  <c r="N42" i="34"/>
  <c r="L42" i="34"/>
  <c r="U42" i="34" s="1"/>
  <c r="J42" i="34"/>
  <c r="W15" i="34"/>
  <c r="X15" i="34" s="1"/>
  <c r="N15" i="34"/>
  <c r="L15" i="34"/>
  <c r="J15" i="34"/>
  <c r="W17" i="34"/>
  <c r="X17" i="34" s="1"/>
  <c r="N17" i="34"/>
  <c r="L17" i="34"/>
  <c r="J17" i="34"/>
  <c r="W31" i="34"/>
  <c r="X31" i="34" s="1"/>
  <c r="N31" i="34"/>
  <c r="L31" i="34"/>
  <c r="J31" i="34"/>
  <c r="W7" i="34"/>
  <c r="X7" i="34" s="1"/>
  <c r="N7" i="34"/>
  <c r="L7" i="34"/>
  <c r="U7" i="34" s="1"/>
  <c r="J7" i="34"/>
  <c r="W3" i="34"/>
  <c r="X3" i="34" s="1"/>
  <c r="N3" i="34"/>
  <c r="L3" i="34"/>
  <c r="J3" i="34"/>
  <c r="W16" i="34"/>
  <c r="X16" i="34" s="1"/>
  <c r="N16" i="34"/>
  <c r="L16" i="34"/>
  <c r="S16" i="34" s="1"/>
  <c r="J16" i="34"/>
  <c r="W5" i="34"/>
  <c r="X5" i="34" s="1"/>
  <c r="N5" i="34"/>
  <c r="L5" i="34"/>
  <c r="J5" i="34"/>
  <c r="W4" i="34"/>
  <c r="X4" i="34" s="1"/>
  <c r="N4" i="34"/>
  <c r="L4" i="34"/>
  <c r="J4" i="34"/>
  <c r="W9" i="34"/>
  <c r="X9" i="34" s="1"/>
  <c r="N9" i="34"/>
  <c r="L9" i="34"/>
  <c r="T9" i="34" s="1"/>
  <c r="J9" i="34"/>
  <c r="W2" i="34"/>
  <c r="X2" i="34" s="1"/>
  <c r="N2" i="34"/>
  <c r="L2" i="34"/>
  <c r="J2" i="34"/>
  <c r="W6" i="34"/>
  <c r="X6" i="34" s="1"/>
  <c r="N6" i="34"/>
  <c r="L6" i="34"/>
  <c r="J6" i="34"/>
  <c r="R5" i="32"/>
  <c r="Q5" i="32"/>
  <c r="O5" i="32"/>
  <c r="M5" i="32"/>
  <c r="K5" i="32"/>
  <c r="I5" i="32"/>
  <c r="H5" i="32"/>
  <c r="E5" i="32"/>
  <c r="W3" i="32"/>
  <c r="X3" i="32" s="1"/>
  <c r="N3" i="32"/>
  <c r="L3" i="32"/>
  <c r="T3" i="32" s="1"/>
  <c r="J3" i="32"/>
  <c r="W4" i="32"/>
  <c r="X4" i="32" s="1"/>
  <c r="N4" i="32"/>
  <c r="L4" i="32"/>
  <c r="T4" i="32" s="1"/>
  <c r="J4" i="32"/>
  <c r="W2" i="32"/>
  <c r="X2" i="32" s="1"/>
  <c r="N2" i="32"/>
  <c r="L2" i="32"/>
  <c r="J2" i="32"/>
  <c r="R9" i="30"/>
  <c r="Q9" i="30"/>
  <c r="O9" i="30"/>
  <c r="M9" i="30"/>
  <c r="K9" i="30"/>
  <c r="I9" i="30"/>
  <c r="H9" i="30"/>
  <c r="E9" i="30"/>
  <c r="W5" i="30"/>
  <c r="X5" i="30" s="1"/>
  <c r="N5" i="30"/>
  <c r="L5" i="30"/>
  <c r="J5" i="30"/>
  <c r="W8" i="30"/>
  <c r="X8" i="30" s="1"/>
  <c r="N8" i="30"/>
  <c r="L8" i="30"/>
  <c r="T8" i="30" s="1"/>
  <c r="J8" i="30"/>
  <c r="W6" i="30"/>
  <c r="X6" i="30" s="1"/>
  <c r="N6" i="30"/>
  <c r="L6" i="30"/>
  <c r="J6" i="30"/>
  <c r="W7" i="30"/>
  <c r="X7" i="30" s="1"/>
  <c r="N7" i="30"/>
  <c r="L7" i="30"/>
  <c r="T7" i="30" s="1"/>
  <c r="J7" i="30"/>
  <c r="W4" i="30"/>
  <c r="X4" i="30" s="1"/>
  <c r="N4" i="30"/>
  <c r="L4" i="30"/>
  <c r="J4" i="30"/>
  <c r="R10" i="29"/>
  <c r="Q10" i="29"/>
  <c r="O10" i="29"/>
  <c r="M10" i="29"/>
  <c r="K10" i="29"/>
  <c r="I10" i="29"/>
  <c r="H10" i="29"/>
  <c r="J11" i="29" s="1"/>
  <c r="E10" i="29"/>
  <c r="W9" i="29"/>
  <c r="X9" i="29" s="1"/>
  <c r="N9" i="29"/>
  <c r="L9" i="29"/>
  <c r="T9" i="29" s="1"/>
  <c r="J9" i="29"/>
  <c r="W7" i="29"/>
  <c r="X7" i="29" s="1"/>
  <c r="N7" i="29"/>
  <c r="L7" i="29"/>
  <c r="T7" i="29" s="1"/>
  <c r="J7" i="29"/>
  <c r="W8" i="29"/>
  <c r="X8" i="29" s="1"/>
  <c r="N8" i="29"/>
  <c r="L8" i="29"/>
  <c r="T8" i="29" s="1"/>
  <c r="J8" i="29"/>
  <c r="W6" i="29"/>
  <c r="X6" i="29" s="1"/>
  <c r="N6" i="29"/>
  <c r="L6" i="29"/>
  <c r="J6" i="29"/>
  <c r="W5" i="29"/>
  <c r="X5" i="29" s="1"/>
  <c r="N5" i="29"/>
  <c r="L5" i="29"/>
  <c r="J5" i="29"/>
  <c r="W4" i="29"/>
  <c r="X4" i="29" s="1"/>
  <c r="N4" i="29"/>
  <c r="L4" i="29"/>
  <c r="J4" i="29"/>
  <c r="W2" i="29"/>
  <c r="X2" i="29" s="1"/>
  <c r="N2" i="29"/>
  <c r="L2" i="29"/>
  <c r="J2" i="29"/>
  <c r="W3" i="29"/>
  <c r="X3" i="29" s="1"/>
  <c r="N3" i="29"/>
  <c r="L3" i="29"/>
  <c r="U3" i="29" s="1"/>
  <c r="J3" i="29"/>
  <c r="R27" i="28"/>
  <c r="Q27" i="28"/>
  <c r="O27" i="28"/>
  <c r="M27" i="28"/>
  <c r="K27" i="28"/>
  <c r="I27" i="28"/>
  <c r="H27" i="28"/>
  <c r="E27" i="28"/>
  <c r="W9" i="28"/>
  <c r="X9" i="28" s="1"/>
  <c r="N9" i="28"/>
  <c r="L9" i="28"/>
  <c r="J9" i="28"/>
  <c r="W21" i="28"/>
  <c r="X21" i="28" s="1"/>
  <c r="N21" i="28"/>
  <c r="L21" i="28"/>
  <c r="S21" i="28" s="1"/>
  <c r="J21" i="28"/>
  <c r="W26" i="28"/>
  <c r="X26" i="28" s="1"/>
  <c r="N26" i="28"/>
  <c r="L26" i="28"/>
  <c r="S26" i="28" s="1"/>
  <c r="J26" i="28"/>
  <c r="W12" i="28"/>
  <c r="X12" i="28" s="1"/>
  <c r="N12" i="28"/>
  <c r="L12" i="28"/>
  <c r="J12" i="28"/>
  <c r="W20" i="28"/>
  <c r="X20" i="28" s="1"/>
  <c r="N20" i="28"/>
  <c r="L20" i="28"/>
  <c r="J20" i="28"/>
  <c r="W24" i="28"/>
  <c r="X24" i="28" s="1"/>
  <c r="N24" i="28"/>
  <c r="L24" i="28"/>
  <c r="U24" i="28" s="1"/>
  <c r="J24" i="28"/>
  <c r="W25" i="28"/>
  <c r="X25" i="28" s="1"/>
  <c r="N25" i="28"/>
  <c r="L25" i="28"/>
  <c r="U25" i="28" s="1"/>
  <c r="J25" i="28"/>
  <c r="W23" i="28"/>
  <c r="X23" i="28" s="1"/>
  <c r="N23" i="28"/>
  <c r="L23" i="28"/>
  <c r="U23" i="28" s="1"/>
  <c r="J23" i="28"/>
  <c r="W19" i="28"/>
  <c r="X19" i="28" s="1"/>
  <c r="N19" i="28"/>
  <c r="L19" i="28"/>
  <c r="J19" i="28"/>
  <c r="W13" i="28"/>
  <c r="X13" i="28" s="1"/>
  <c r="N13" i="28"/>
  <c r="L13" i="28"/>
  <c r="U13" i="28" s="1"/>
  <c r="J13" i="28"/>
  <c r="W6" i="28"/>
  <c r="X6" i="28" s="1"/>
  <c r="N6" i="28"/>
  <c r="L6" i="28"/>
  <c r="J6" i="28"/>
  <c r="W16" i="28"/>
  <c r="X16" i="28" s="1"/>
  <c r="N16" i="28"/>
  <c r="L16" i="28"/>
  <c r="T16" i="28" s="1"/>
  <c r="J16" i="28"/>
  <c r="W11" i="28"/>
  <c r="X11" i="28" s="1"/>
  <c r="N11" i="28"/>
  <c r="L11" i="28"/>
  <c r="U11" i="28" s="1"/>
  <c r="J11" i="28"/>
  <c r="W15" i="28"/>
  <c r="X15" i="28" s="1"/>
  <c r="N15" i="28"/>
  <c r="L15" i="28"/>
  <c r="T15" i="28" s="1"/>
  <c r="J15" i="28"/>
  <c r="W22" i="28"/>
  <c r="X22" i="28" s="1"/>
  <c r="N22" i="28"/>
  <c r="L22" i="28"/>
  <c r="S22" i="28" s="1"/>
  <c r="J22" i="28"/>
  <c r="W17" i="28"/>
  <c r="X17" i="28" s="1"/>
  <c r="N17" i="28"/>
  <c r="L17" i="28"/>
  <c r="J17" i="28"/>
  <c r="W14" i="28"/>
  <c r="X14" i="28" s="1"/>
  <c r="N14" i="28"/>
  <c r="L14" i="28"/>
  <c r="J14" i="28"/>
  <c r="W2" i="28"/>
  <c r="X2" i="28" s="1"/>
  <c r="N2" i="28"/>
  <c r="L2" i="28"/>
  <c r="J2" i="28"/>
  <c r="W8" i="28"/>
  <c r="X8" i="28" s="1"/>
  <c r="N8" i="28"/>
  <c r="L8" i="28"/>
  <c r="U8" i="28" s="1"/>
  <c r="J8" i="28"/>
  <c r="W7" i="28"/>
  <c r="X7" i="28" s="1"/>
  <c r="N7" i="28"/>
  <c r="L7" i="28"/>
  <c r="U7" i="28" s="1"/>
  <c r="J7" i="28"/>
  <c r="W10" i="28"/>
  <c r="X10" i="28" s="1"/>
  <c r="N10" i="28"/>
  <c r="L10" i="28"/>
  <c r="U10" i="28" s="1"/>
  <c r="J10" i="28"/>
  <c r="W4" i="28"/>
  <c r="X4" i="28" s="1"/>
  <c r="N4" i="28"/>
  <c r="L4" i="28"/>
  <c r="J4" i="28"/>
  <c r="W3" i="28"/>
  <c r="X3" i="28" s="1"/>
  <c r="N3" i="28"/>
  <c r="L3" i="28"/>
  <c r="J3" i="28"/>
  <c r="W18" i="28"/>
  <c r="X18" i="28" s="1"/>
  <c r="N18" i="28"/>
  <c r="L18" i="28"/>
  <c r="U18" i="28" s="1"/>
  <c r="J18" i="28"/>
  <c r="W5" i="28"/>
  <c r="X5" i="28" s="1"/>
  <c r="N5" i="28"/>
  <c r="L5" i="28"/>
  <c r="J5" i="28"/>
  <c r="R12" i="27"/>
  <c r="Q12" i="27"/>
  <c r="O12" i="27"/>
  <c r="M12" i="27"/>
  <c r="K12" i="27"/>
  <c r="I12" i="27"/>
  <c r="H12" i="27"/>
  <c r="E12" i="27"/>
  <c r="W11" i="27"/>
  <c r="X11" i="27" s="1"/>
  <c r="N11" i="27"/>
  <c r="L11" i="27"/>
  <c r="U11" i="27" s="1"/>
  <c r="J11" i="27"/>
  <c r="W5" i="27"/>
  <c r="X5" i="27" s="1"/>
  <c r="N5" i="27"/>
  <c r="L5" i="27"/>
  <c r="J5" i="27"/>
  <c r="W10" i="27"/>
  <c r="X10" i="27" s="1"/>
  <c r="N10" i="27"/>
  <c r="L10" i="27"/>
  <c r="T10" i="27" s="1"/>
  <c r="J10" i="27"/>
  <c r="W6" i="27"/>
  <c r="X6" i="27" s="1"/>
  <c r="N6" i="27"/>
  <c r="L6" i="27"/>
  <c r="J6" i="27"/>
  <c r="W9" i="27"/>
  <c r="X9" i="27" s="1"/>
  <c r="N9" i="27"/>
  <c r="L9" i="27"/>
  <c r="J9" i="27"/>
  <c r="W4" i="27"/>
  <c r="X4" i="27" s="1"/>
  <c r="N4" i="27"/>
  <c r="L4" i="27"/>
  <c r="U4" i="27" s="1"/>
  <c r="J4" i="27"/>
  <c r="W2" i="27"/>
  <c r="X2" i="27" s="1"/>
  <c r="N2" i="27"/>
  <c r="L2" i="27"/>
  <c r="J2" i="27"/>
  <c r="W8" i="27"/>
  <c r="X8" i="27" s="1"/>
  <c r="N8" i="27"/>
  <c r="L8" i="27"/>
  <c r="J8" i="27"/>
  <c r="W3" i="27"/>
  <c r="X3" i="27" s="1"/>
  <c r="N3" i="27"/>
  <c r="L3" i="27"/>
  <c r="T3" i="27" s="1"/>
  <c r="J3" i="27"/>
  <c r="W7" i="27"/>
  <c r="X7" i="27" s="1"/>
  <c r="N7" i="27"/>
  <c r="L7" i="27"/>
  <c r="T7" i="27" s="1"/>
  <c r="J7" i="27"/>
  <c r="R8" i="26"/>
  <c r="Q8" i="26"/>
  <c r="O8" i="26"/>
  <c r="M8" i="26"/>
  <c r="K8" i="26"/>
  <c r="I8" i="26"/>
  <c r="H8" i="26"/>
  <c r="E8" i="26"/>
  <c r="W7" i="26"/>
  <c r="X7" i="26" s="1"/>
  <c r="N7" i="26"/>
  <c r="L7" i="26"/>
  <c r="U7" i="26" s="1"/>
  <c r="J7" i="26"/>
  <c r="W5" i="26"/>
  <c r="X5" i="26" s="1"/>
  <c r="N5" i="26"/>
  <c r="L5" i="26"/>
  <c r="S5" i="26" s="1"/>
  <c r="J5" i="26"/>
  <c r="W6" i="26"/>
  <c r="X6" i="26" s="1"/>
  <c r="N6" i="26"/>
  <c r="L6" i="26"/>
  <c r="S6" i="26" s="1"/>
  <c r="J6" i="26"/>
  <c r="W2" i="26"/>
  <c r="X2" i="26" s="1"/>
  <c r="N2" i="26"/>
  <c r="L2" i="26"/>
  <c r="J2" i="26"/>
  <c r="W3" i="26"/>
  <c r="X3" i="26" s="1"/>
  <c r="N3" i="26"/>
  <c r="L3" i="26"/>
  <c r="J3" i="26"/>
  <c r="W4" i="26"/>
  <c r="X4" i="26" s="1"/>
  <c r="N4" i="26"/>
  <c r="L4" i="26"/>
  <c r="U4" i="26" s="1"/>
  <c r="J4" i="26"/>
  <c r="R23" i="25"/>
  <c r="Q23" i="25"/>
  <c r="O23" i="25"/>
  <c r="M23" i="25"/>
  <c r="K23" i="25"/>
  <c r="I23" i="25"/>
  <c r="H23" i="25"/>
  <c r="E23" i="25"/>
  <c r="W14" i="25"/>
  <c r="X14" i="25" s="1"/>
  <c r="N14" i="25"/>
  <c r="L14" i="25"/>
  <c r="J14" i="25"/>
  <c r="W4" i="25"/>
  <c r="X4" i="25" s="1"/>
  <c r="N4" i="25"/>
  <c r="L4" i="25"/>
  <c r="U4" i="25" s="1"/>
  <c r="J4" i="25"/>
  <c r="W21" i="25"/>
  <c r="X21" i="25" s="1"/>
  <c r="N21" i="25"/>
  <c r="L21" i="25"/>
  <c r="T21" i="25" s="1"/>
  <c r="J21" i="25"/>
  <c r="W20" i="25"/>
  <c r="X20" i="25" s="1"/>
  <c r="N20" i="25"/>
  <c r="L20" i="25"/>
  <c r="J20" i="25"/>
  <c r="W17" i="25"/>
  <c r="X17" i="25" s="1"/>
  <c r="N17" i="25"/>
  <c r="L17" i="25"/>
  <c r="J17" i="25"/>
  <c r="W22" i="25"/>
  <c r="X22" i="25" s="1"/>
  <c r="N22" i="25"/>
  <c r="L22" i="25"/>
  <c r="J22" i="25"/>
  <c r="W19" i="25"/>
  <c r="X19" i="25" s="1"/>
  <c r="N19" i="25"/>
  <c r="L19" i="25"/>
  <c r="T19" i="25" s="1"/>
  <c r="J19" i="25"/>
  <c r="W6" i="25"/>
  <c r="X6" i="25" s="1"/>
  <c r="N6" i="25"/>
  <c r="L6" i="25"/>
  <c r="S6" i="25" s="1"/>
  <c r="J6" i="25"/>
  <c r="W18" i="25"/>
  <c r="X18" i="25" s="1"/>
  <c r="N18" i="25"/>
  <c r="L18" i="25"/>
  <c r="J18" i="25"/>
  <c r="W12" i="25"/>
  <c r="X12" i="25" s="1"/>
  <c r="N12" i="25"/>
  <c r="L12" i="25"/>
  <c r="J12" i="25"/>
  <c r="W13" i="25"/>
  <c r="X13" i="25" s="1"/>
  <c r="N13" i="25"/>
  <c r="L13" i="25"/>
  <c r="S13" i="25" s="1"/>
  <c r="J13" i="25"/>
  <c r="W8" i="25"/>
  <c r="X8" i="25" s="1"/>
  <c r="N8" i="25"/>
  <c r="L8" i="25"/>
  <c r="U8" i="25" s="1"/>
  <c r="J8" i="25"/>
  <c r="W11" i="25"/>
  <c r="X11" i="25" s="1"/>
  <c r="N11" i="25"/>
  <c r="L11" i="25"/>
  <c r="T11" i="25" s="1"/>
  <c r="J11" i="25"/>
  <c r="W16" i="25"/>
  <c r="X16" i="25" s="1"/>
  <c r="N16" i="25"/>
  <c r="L16" i="25"/>
  <c r="S16" i="25" s="1"/>
  <c r="J16" i="25"/>
  <c r="W7" i="25"/>
  <c r="X7" i="25" s="1"/>
  <c r="N7" i="25"/>
  <c r="L7" i="25"/>
  <c r="J7" i="25"/>
  <c r="W3" i="25"/>
  <c r="X3" i="25" s="1"/>
  <c r="N3" i="25"/>
  <c r="L3" i="25"/>
  <c r="T3" i="25" s="1"/>
  <c r="J3" i="25"/>
  <c r="W2" i="25"/>
  <c r="X2" i="25" s="1"/>
  <c r="N2" i="25"/>
  <c r="L2" i="25"/>
  <c r="J2" i="25"/>
  <c r="W9" i="25"/>
  <c r="X9" i="25" s="1"/>
  <c r="N9" i="25"/>
  <c r="L9" i="25"/>
  <c r="J9" i="25"/>
  <c r="W10" i="25"/>
  <c r="X10" i="25" s="1"/>
  <c r="N10" i="25"/>
  <c r="L10" i="25"/>
  <c r="U10" i="25" s="1"/>
  <c r="J10" i="25"/>
  <c r="W5" i="25"/>
  <c r="X5" i="25" s="1"/>
  <c r="N5" i="25"/>
  <c r="L5" i="25"/>
  <c r="J5" i="25"/>
  <c r="W15" i="25"/>
  <c r="X15" i="25" s="1"/>
  <c r="N15" i="25"/>
  <c r="L15" i="25"/>
  <c r="J15" i="25"/>
  <c r="R34" i="24"/>
  <c r="Q34" i="24"/>
  <c r="O34" i="24"/>
  <c r="M34" i="24"/>
  <c r="K34" i="24"/>
  <c r="I34" i="24"/>
  <c r="H34" i="24"/>
  <c r="E34" i="24"/>
  <c r="W27" i="24"/>
  <c r="X27" i="24" s="1"/>
  <c r="N27" i="24"/>
  <c r="L27" i="24"/>
  <c r="J27" i="24"/>
  <c r="W32" i="24"/>
  <c r="X32" i="24" s="1"/>
  <c r="N32" i="24"/>
  <c r="L32" i="24"/>
  <c r="T32" i="24" s="1"/>
  <c r="J32" i="24"/>
  <c r="W30" i="24"/>
  <c r="X30" i="24" s="1"/>
  <c r="N30" i="24"/>
  <c r="L30" i="24"/>
  <c r="T30" i="24" s="1"/>
  <c r="J30" i="24"/>
  <c r="W21" i="24"/>
  <c r="X21" i="24" s="1"/>
  <c r="N21" i="24"/>
  <c r="L21" i="24"/>
  <c r="S21" i="24" s="1"/>
  <c r="J21" i="24"/>
  <c r="W10" i="24"/>
  <c r="X10" i="24" s="1"/>
  <c r="N10" i="24"/>
  <c r="L10" i="24"/>
  <c r="S10" i="24" s="1"/>
  <c r="J10" i="24"/>
  <c r="W29" i="24"/>
  <c r="X29" i="24" s="1"/>
  <c r="N29" i="24"/>
  <c r="L29" i="24"/>
  <c r="S29" i="24" s="1"/>
  <c r="J29" i="24"/>
  <c r="W9" i="24"/>
  <c r="X9" i="24" s="1"/>
  <c r="N9" i="24"/>
  <c r="L9" i="24"/>
  <c r="J9" i="24"/>
  <c r="W33" i="24"/>
  <c r="X33" i="24" s="1"/>
  <c r="N33" i="24"/>
  <c r="L33" i="24"/>
  <c r="S33" i="24" s="1"/>
  <c r="J33" i="24"/>
  <c r="W31" i="24"/>
  <c r="X31" i="24" s="1"/>
  <c r="N31" i="24"/>
  <c r="L31" i="24"/>
  <c r="J31" i="24"/>
  <c r="W11" i="24"/>
  <c r="X11" i="24" s="1"/>
  <c r="N11" i="24"/>
  <c r="L11" i="24"/>
  <c r="J11" i="24"/>
  <c r="W15" i="24"/>
  <c r="X15" i="24" s="1"/>
  <c r="N15" i="24"/>
  <c r="L15" i="24"/>
  <c r="U15" i="24" s="1"/>
  <c r="J15" i="24"/>
  <c r="W24" i="24"/>
  <c r="X24" i="24" s="1"/>
  <c r="N24" i="24"/>
  <c r="L24" i="24"/>
  <c r="U24" i="24" s="1"/>
  <c r="J24" i="24"/>
  <c r="W23" i="24"/>
  <c r="X23" i="24" s="1"/>
  <c r="N23" i="24"/>
  <c r="L23" i="24"/>
  <c r="S23" i="24" s="1"/>
  <c r="J23" i="24"/>
  <c r="W25" i="24"/>
  <c r="X25" i="24" s="1"/>
  <c r="N25" i="24"/>
  <c r="L25" i="24"/>
  <c r="U25" i="24" s="1"/>
  <c r="J25" i="24"/>
  <c r="W14" i="24"/>
  <c r="X14" i="24" s="1"/>
  <c r="N14" i="24"/>
  <c r="L14" i="24"/>
  <c r="J14" i="24"/>
  <c r="W20" i="24"/>
  <c r="X20" i="24" s="1"/>
  <c r="N20" i="24"/>
  <c r="L20" i="24"/>
  <c r="J20" i="24"/>
  <c r="W26" i="24"/>
  <c r="X26" i="24" s="1"/>
  <c r="N26" i="24"/>
  <c r="L26" i="24"/>
  <c r="U26" i="24" s="1"/>
  <c r="J26" i="24"/>
  <c r="W17" i="24"/>
  <c r="X17" i="24" s="1"/>
  <c r="N17" i="24"/>
  <c r="L17" i="24"/>
  <c r="T17" i="24" s="1"/>
  <c r="J17" i="24"/>
  <c r="W22" i="24"/>
  <c r="X22" i="24" s="1"/>
  <c r="N22" i="24"/>
  <c r="L22" i="24"/>
  <c r="S22" i="24" s="1"/>
  <c r="J22" i="24"/>
  <c r="W3" i="24"/>
  <c r="X3" i="24" s="1"/>
  <c r="N3" i="24"/>
  <c r="L3" i="24"/>
  <c r="J3" i="24"/>
  <c r="W28" i="24"/>
  <c r="X28" i="24" s="1"/>
  <c r="N28" i="24"/>
  <c r="L28" i="24"/>
  <c r="J28" i="24"/>
  <c r="W5" i="24"/>
  <c r="X5" i="24" s="1"/>
  <c r="N5" i="24"/>
  <c r="L5" i="24"/>
  <c r="J5" i="24"/>
  <c r="W6" i="24"/>
  <c r="X6" i="24" s="1"/>
  <c r="N6" i="24"/>
  <c r="L6" i="24"/>
  <c r="J6" i="24"/>
  <c r="W16" i="24"/>
  <c r="X16" i="24" s="1"/>
  <c r="N16" i="24"/>
  <c r="L16" i="24"/>
  <c r="T16" i="24" s="1"/>
  <c r="J16" i="24"/>
  <c r="W2" i="24"/>
  <c r="X2" i="24" s="1"/>
  <c r="N2" i="24"/>
  <c r="L2" i="24"/>
  <c r="J2" i="24"/>
  <c r="W13" i="24"/>
  <c r="X13" i="24" s="1"/>
  <c r="N13" i="24"/>
  <c r="L13" i="24"/>
  <c r="T13" i="24" s="1"/>
  <c r="J13" i="24"/>
  <c r="W12" i="24"/>
  <c r="X12" i="24" s="1"/>
  <c r="N12" i="24"/>
  <c r="L12" i="24"/>
  <c r="U12" i="24" s="1"/>
  <c r="J12" i="24"/>
  <c r="W4" i="24"/>
  <c r="X4" i="24" s="1"/>
  <c r="N4" i="24"/>
  <c r="L4" i="24"/>
  <c r="J4" i="24"/>
  <c r="W7" i="24"/>
  <c r="X7" i="24" s="1"/>
  <c r="N7" i="24"/>
  <c r="L7" i="24"/>
  <c r="S7" i="24" s="1"/>
  <c r="J7" i="24"/>
  <c r="W8" i="24"/>
  <c r="X8" i="24" s="1"/>
  <c r="N8" i="24"/>
  <c r="L8" i="24"/>
  <c r="T8" i="24" s="1"/>
  <c r="J8" i="24"/>
  <c r="W18" i="24"/>
  <c r="X18" i="24" s="1"/>
  <c r="N18" i="24"/>
  <c r="L18" i="24"/>
  <c r="U18" i="24" s="1"/>
  <c r="J18" i="24"/>
  <c r="W19" i="24"/>
  <c r="X19" i="24" s="1"/>
  <c r="N19" i="24"/>
  <c r="L19" i="24"/>
  <c r="U19" i="24" s="1"/>
  <c r="J19" i="24"/>
  <c r="R11" i="22"/>
  <c r="Q11" i="22"/>
  <c r="O11" i="22"/>
  <c r="M11" i="22"/>
  <c r="K11" i="22"/>
  <c r="I11" i="22"/>
  <c r="H11" i="22"/>
  <c r="E11" i="22"/>
  <c r="W4" i="22"/>
  <c r="X4" i="22" s="1"/>
  <c r="N4" i="22"/>
  <c r="L4" i="22"/>
  <c r="J4" i="22"/>
  <c r="W8" i="22"/>
  <c r="X8" i="22" s="1"/>
  <c r="N8" i="22"/>
  <c r="L8" i="22"/>
  <c r="U8" i="22" s="1"/>
  <c r="J8" i="22"/>
  <c r="W9" i="22"/>
  <c r="X9" i="22" s="1"/>
  <c r="N9" i="22"/>
  <c r="L9" i="22"/>
  <c r="J9" i="22"/>
  <c r="W10" i="22"/>
  <c r="X10" i="22" s="1"/>
  <c r="N10" i="22"/>
  <c r="L10" i="22"/>
  <c r="T10" i="22" s="1"/>
  <c r="J10" i="22"/>
  <c r="W5" i="22"/>
  <c r="X5" i="22" s="1"/>
  <c r="N5" i="22"/>
  <c r="L5" i="22"/>
  <c r="U5" i="22" s="1"/>
  <c r="J5" i="22"/>
  <c r="W6" i="22"/>
  <c r="X6" i="22" s="1"/>
  <c r="N6" i="22"/>
  <c r="L6" i="22"/>
  <c r="S6" i="22" s="1"/>
  <c r="J6" i="22"/>
  <c r="W7" i="22"/>
  <c r="X7" i="22" s="1"/>
  <c r="N7" i="22"/>
  <c r="L7" i="22"/>
  <c r="U7" i="22" s="1"/>
  <c r="J7" i="22"/>
  <c r="W3" i="22"/>
  <c r="X3" i="22" s="1"/>
  <c r="N3" i="22"/>
  <c r="L3" i="22"/>
  <c r="T3" i="22" s="1"/>
  <c r="J3" i="22"/>
  <c r="W2" i="22"/>
  <c r="X2" i="22" s="1"/>
  <c r="N2" i="22"/>
  <c r="L2" i="22"/>
  <c r="J2" i="22"/>
  <c r="R12" i="20"/>
  <c r="Q12" i="20"/>
  <c r="O12" i="20"/>
  <c r="M12" i="20"/>
  <c r="K12" i="20"/>
  <c r="I12" i="20"/>
  <c r="H12" i="20"/>
  <c r="E12" i="20"/>
  <c r="W4" i="20"/>
  <c r="X4" i="20" s="1"/>
  <c r="N4" i="20"/>
  <c r="L4" i="20"/>
  <c r="S4" i="20" s="1"/>
  <c r="J4" i="20"/>
  <c r="W6" i="20"/>
  <c r="X6" i="20" s="1"/>
  <c r="N6" i="20"/>
  <c r="L6" i="20"/>
  <c r="J6" i="20"/>
  <c r="W7" i="20"/>
  <c r="X7" i="20" s="1"/>
  <c r="N7" i="20"/>
  <c r="L7" i="20"/>
  <c r="S7" i="20" s="1"/>
  <c r="J7" i="20"/>
  <c r="W8" i="20"/>
  <c r="X8" i="20" s="1"/>
  <c r="N8" i="20"/>
  <c r="L8" i="20"/>
  <c r="S8" i="20" s="1"/>
  <c r="J8" i="20"/>
  <c r="W9" i="20"/>
  <c r="X9" i="20" s="1"/>
  <c r="N9" i="20"/>
  <c r="L9" i="20"/>
  <c r="T9" i="20" s="1"/>
  <c r="J9" i="20"/>
  <c r="W10" i="20"/>
  <c r="X10" i="20" s="1"/>
  <c r="N10" i="20"/>
  <c r="L10" i="20"/>
  <c r="U10" i="20" s="1"/>
  <c r="J10" i="20"/>
  <c r="W11" i="20"/>
  <c r="X11" i="20" s="1"/>
  <c r="N11" i="20"/>
  <c r="L11" i="20"/>
  <c r="T11" i="20" s="1"/>
  <c r="J11" i="20"/>
  <c r="W5" i="20"/>
  <c r="X5" i="20" s="1"/>
  <c r="N5" i="20"/>
  <c r="L5" i="20"/>
  <c r="S5" i="20" s="1"/>
  <c r="J5" i="20"/>
  <c r="R4" i="19"/>
  <c r="Q4" i="19"/>
  <c r="O4" i="19"/>
  <c r="M4" i="19"/>
  <c r="K4" i="19"/>
  <c r="I4" i="19"/>
  <c r="H4" i="19"/>
  <c r="E4" i="19"/>
  <c r="W3" i="19"/>
  <c r="X3" i="19" s="1"/>
  <c r="N3" i="19"/>
  <c r="L3" i="19"/>
  <c r="J3" i="19"/>
  <c r="W2" i="19"/>
  <c r="X2" i="19" s="1"/>
  <c r="N2" i="19"/>
  <c r="L2" i="19"/>
  <c r="T2" i="19" s="1"/>
  <c r="J2" i="19"/>
  <c r="R23" i="18"/>
  <c r="Q23" i="18"/>
  <c r="O23" i="18"/>
  <c r="M23" i="18"/>
  <c r="I23" i="18"/>
  <c r="H23" i="18"/>
  <c r="E23" i="18"/>
  <c r="W14" i="18"/>
  <c r="X14" i="18" s="1"/>
  <c r="N14" i="18"/>
  <c r="L14" i="18"/>
  <c r="U14" i="18" s="1"/>
  <c r="J14" i="18"/>
  <c r="W22" i="18"/>
  <c r="X22" i="18" s="1"/>
  <c r="N22" i="18"/>
  <c r="L22" i="18"/>
  <c r="U22" i="18" s="1"/>
  <c r="J22" i="18"/>
  <c r="W10" i="18"/>
  <c r="X10" i="18" s="1"/>
  <c r="N10" i="18"/>
  <c r="L10" i="18"/>
  <c r="T10" i="18" s="1"/>
  <c r="J10" i="18"/>
  <c r="W2" i="18"/>
  <c r="X2" i="18" s="1"/>
  <c r="N2" i="18"/>
  <c r="L2" i="18"/>
  <c r="U2" i="18" s="1"/>
  <c r="J2" i="18"/>
  <c r="W11" i="18"/>
  <c r="X11" i="18" s="1"/>
  <c r="N11" i="18"/>
  <c r="L11" i="18"/>
  <c r="S11" i="18" s="1"/>
  <c r="J11" i="18"/>
  <c r="W6" i="18"/>
  <c r="X6" i="18" s="1"/>
  <c r="N6" i="18"/>
  <c r="L6" i="18"/>
  <c r="J6" i="18"/>
  <c r="W12" i="18"/>
  <c r="X12" i="18" s="1"/>
  <c r="N12" i="18"/>
  <c r="L12" i="18"/>
  <c r="U12" i="18" s="1"/>
  <c r="J12" i="18"/>
  <c r="W20" i="18"/>
  <c r="X20" i="18" s="1"/>
  <c r="N20" i="18"/>
  <c r="L20" i="18"/>
  <c r="U20" i="18" s="1"/>
  <c r="J20" i="18"/>
  <c r="W5" i="18"/>
  <c r="X5" i="18" s="1"/>
  <c r="N5" i="18"/>
  <c r="L5" i="18"/>
  <c r="J5" i="18"/>
  <c r="W21" i="18"/>
  <c r="X21" i="18" s="1"/>
  <c r="N21" i="18"/>
  <c r="L21" i="18"/>
  <c r="J21" i="18"/>
  <c r="W17" i="18"/>
  <c r="X17" i="18" s="1"/>
  <c r="N17" i="18"/>
  <c r="L17" i="18"/>
  <c r="J17" i="18"/>
  <c r="W15" i="18"/>
  <c r="X15" i="18" s="1"/>
  <c r="N15" i="18"/>
  <c r="L15" i="18"/>
  <c r="J15" i="18"/>
  <c r="W7" i="18"/>
  <c r="X7" i="18" s="1"/>
  <c r="N7" i="18"/>
  <c r="L7" i="18"/>
  <c r="T7" i="18" s="1"/>
  <c r="J7" i="18"/>
  <c r="W16" i="18"/>
  <c r="X16" i="18" s="1"/>
  <c r="N16" i="18"/>
  <c r="L16" i="18"/>
  <c r="U16" i="18" s="1"/>
  <c r="J16" i="18"/>
  <c r="W18" i="18"/>
  <c r="X18" i="18" s="1"/>
  <c r="N18" i="18"/>
  <c r="L18" i="18"/>
  <c r="S18" i="18" s="1"/>
  <c r="J18" i="18"/>
  <c r="W13" i="18"/>
  <c r="X13" i="18" s="1"/>
  <c r="N13" i="18"/>
  <c r="L13" i="18"/>
  <c r="J13" i="18"/>
  <c r="W3" i="18"/>
  <c r="X3" i="18" s="1"/>
  <c r="N3" i="18"/>
  <c r="L3" i="18"/>
  <c r="T3" i="18" s="1"/>
  <c r="J3" i="18"/>
  <c r="W9" i="18"/>
  <c r="X9" i="18" s="1"/>
  <c r="N9" i="18"/>
  <c r="L9" i="18"/>
  <c r="J9" i="18"/>
  <c r="W4" i="18"/>
  <c r="X4" i="18" s="1"/>
  <c r="N4" i="18"/>
  <c r="L4" i="18"/>
  <c r="U4" i="18" s="1"/>
  <c r="J4" i="18"/>
  <c r="W19" i="18"/>
  <c r="X19" i="18" s="1"/>
  <c r="N19" i="18"/>
  <c r="L19" i="18"/>
  <c r="S19" i="18" s="1"/>
  <c r="J19" i="18"/>
  <c r="W8" i="18"/>
  <c r="X8" i="18" s="1"/>
  <c r="N8" i="18"/>
  <c r="L8" i="18"/>
  <c r="S8" i="18" s="1"/>
  <c r="J8" i="18"/>
  <c r="R33" i="16"/>
  <c r="Q33" i="16"/>
  <c r="O33" i="16"/>
  <c r="M33" i="16"/>
  <c r="K33" i="16"/>
  <c r="I33" i="16"/>
  <c r="H33" i="16"/>
  <c r="E33" i="16"/>
  <c r="W32" i="16"/>
  <c r="X32" i="16" s="1"/>
  <c r="N32" i="16"/>
  <c r="L32" i="16"/>
  <c r="U32" i="16" s="1"/>
  <c r="J32" i="16"/>
  <c r="W31" i="16"/>
  <c r="X31" i="16" s="1"/>
  <c r="N31" i="16"/>
  <c r="L31" i="16"/>
  <c r="T31" i="16" s="1"/>
  <c r="J31" i="16"/>
  <c r="W27" i="16"/>
  <c r="X27" i="16" s="1"/>
  <c r="N27" i="16"/>
  <c r="L27" i="16"/>
  <c r="T27" i="16" s="1"/>
  <c r="J27" i="16"/>
  <c r="W28" i="16"/>
  <c r="X28" i="16" s="1"/>
  <c r="N28" i="16"/>
  <c r="L28" i="16"/>
  <c r="T28" i="16" s="1"/>
  <c r="J28" i="16"/>
  <c r="W20" i="16"/>
  <c r="X20" i="16" s="1"/>
  <c r="N20" i="16"/>
  <c r="L20" i="16"/>
  <c r="J20" i="16"/>
  <c r="W22" i="16"/>
  <c r="X22" i="16" s="1"/>
  <c r="N22" i="16"/>
  <c r="L22" i="16"/>
  <c r="U22" i="16" s="1"/>
  <c r="J22" i="16"/>
  <c r="W23" i="16"/>
  <c r="X23" i="16" s="1"/>
  <c r="N23" i="16"/>
  <c r="L23" i="16"/>
  <c r="S23" i="16" s="1"/>
  <c r="J23" i="16"/>
  <c r="W30" i="16"/>
  <c r="X30" i="16" s="1"/>
  <c r="N30" i="16"/>
  <c r="L30" i="16"/>
  <c r="S30" i="16" s="1"/>
  <c r="J30" i="16"/>
  <c r="W24" i="16"/>
  <c r="X24" i="16" s="1"/>
  <c r="N24" i="16"/>
  <c r="L24" i="16"/>
  <c r="J24" i="16"/>
  <c r="W17" i="16"/>
  <c r="X17" i="16" s="1"/>
  <c r="N17" i="16"/>
  <c r="L17" i="16"/>
  <c r="T17" i="16" s="1"/>
  <c r="J17" i="16"/>
  <c r="W29" i="16"/>
  <c r="X29" i="16" s="1"/>
  <c r="N29" i="16"/>
  <c r="L29" i="16"/>
  <c r="T29" i="16" s="1"/>
  <c r="J29" i="16"/>
  <c r="W14" i="16"/>
  <c r="X14" i="16" s="1"/>
  <c r="N14" i="16"/>
  <c r="L14" i="16"/>
  <c r="J14" i="16"/>
  <c r="W5" i="16"/>
  <c r="X5" i="16" s="1"/>
  <c r="N5" i="16"/>
  <c r="L5" i="16"/>
  <c r="J5" i="16"/>
  <c r="W26" i="16"/>
  <c r="X26" i="16" s="1"/>
  <c r="N26" i="16"/>
  <c r="L26" i="16"/>
  <c r="S26" i="16" s="1"/>
  <c r="J26" i="16"/>
  <c r="W18" i="16"/>
  <c r="X18" i="16" s="1"/>
  <c r="N18" i="16"/>
  <c r="L18" i="16"/>
  <c r="U18" i="16" s="1"/>
  <c r="J18" i="16"/>
  <c r="W8" i="16"/>
  <c r="X8" i="16" s="1"/>
  <c r="N8" i="16"/>
  <c r="L8" i="16"/>
  <c r="S8" i="16" s="1"/>
  <c r="J8" i="16"/>
  <c r="W13" i="16"/>
  <c r="X13" i="16" s="1"/>
  <c r="N13" i="16"/>
  <c r="L13" i="16"/>
  <c r="U13" i="16" s="1"/>
  <c r="J13" i="16"/>
  <c r="W25" i="16"/>
  <c r="X25" i="16" s="1"/>
  <c r="N25" i="16"/>
  <c r="L25" i="16"/>
  <c r="U25" i="16" s="1"/>
  <c r="J25" i="16"/>
  <c r="W6" i="16"/>
  <c r="X6" i="16" s="1"/>
  <c r="N6" i="16"/>
  <c r="L6" i="16"/>
  <c r="U6" i="16" s="1"/>
  <c r="J6" i="16"/>
  <c r="W19" i="16"/>
  <c r="X19" i="16" s="1"/>
  <c r="N19" i="16"/>
  <c r="L19" i="16"/>
  <c r="T19" i="16" s="1"/>
  <c r="J19" i="16"/>
  <c r="W7" i="16"/>
  <c r="X7" i="16" s="1"/>
  <c r="N7" i="16"/>
  <c r="L7" i="16"/>
  <c r="S7" i="16" s="1"/>
  <c r="J7" i="16"/>
  <c r="W16" i="16"/>
  <c r="X16" i="16" s="1"/>
  <c r="N16" i="16"/>
  <c r="L16" i="16"/>
  <c r="T16" i="16" s="1"/>
  <c r="J16" i="16"/>
  <c r="W11" i="16"/>
  <c r="X11" i="16" s="1"/>
  <c r="N11" i="16"/>
  <c r="L11" i="16"/>
  <c r="S11" i="16" s="1"/>
  <c r="J11" i="16"/>
  <c r="W4" i="16"/>
  <c r="X4" i="16" s="1"/>
  <c r="N4" i="16"/>
  <c r="L4" i="16"/>
  <c r="S4" i="16" s="1"/>
  <c r="J4" i="16"/>
  <c r="W9" i="16"/>
  <c r="X9" i="16" s="1"/>
  <c r="N9" i="16"/>
  <c r="L9" i="16"/>
  <c r="T9" i="16" s="1"/>
  <c r="J9" i="16"/>
  <c r="W15" i="16"/>
  <c r="X15" i="16" s="1"/>
  <c r="N15" i="16"/>
  <c r="L15" i="16"/>
  <c r="S15" i="16" s="1"/>
  <c r="J15" i="16"/>
  <c r="W21" i="16"/>
  <c r="X21" i="16" s="1"/>
  <c r="N21" i="16"/>
  <c r="L21" i="16"/>
  <c r="J21" i="16"/>
  <c r="W12" i="16"/>
  <c r="X12" i="16" s="1"/>
  <c r="N12" i="16"/>
  <c r="L12" i="16"/>
  <c r="S12" i="16" s="1"/>
  <c r="J12" i="16"/>
  <c r="W10" i="16"/>
  <c r="X10" i="16" s="1"/>
  <c r="N10" i="16"/>
  <c r="L10" i="16"/>
  <c r="T10" i="16" s="1"/>
  <c r="J10" i="16"/>
  <c r="R88" i="15"/>
  <c r="Q88" i="15"/>
  <c r="O88" i="15"/>
  <c r="M88" i="15"/>
  <c r="K88" i="15"/>
  <c r="I88" i="15"/>
  <c r="H88" i="15"/>
  <c r="E88" i="15"/>
  <c r="W78" i="15"/>
  <c r="X78" i="15" s="1"/>
  <c r="N78" i="15"/>
  <c r="L78" i="15"/>
  <c r="J78" i="15"/>
  <c r="W86" i="15"/>
  <c r="X86" i="15" s="1"/>
  <c r="N86" i="15"/>
  <c r="L86" i="15"/>
  <c r="U86" i="15" s="1"/>
  <c r="J86" i="15"/>
  <c r="W44" i="15"/>
  <c r="X44" i="15" s="1"/>
  <c r="N44" i="15"/>
  <c r="L44" i="15"/>
  <c r="S44" i="15" s="1"/>
  <c r="J44" i="15"/>
  <c r="W73" i="15"/>
  <c r="X73" i="15" s="1"/>
  <c r="N73" i="15"/>
  <c r="L73" i="15"/>
  <c r="J73" i="15"/>
  <c r="W59" i="15"/>
  <c r="X59" i="15" s="1"/>
  <c r="N59" i="15"/>
  <c r="L59" i="15"/>
  <c r="S59" i="15" s="1"/>
  <c r="J59" i="15"/>
  <c r="W65" i="15"/>
  <c r="X65" i="15" s="1"/>
  <c r="N65" i="15"/>
  <c r="L65" i="15"/>
  <c r="T65" i="15" s="1"/>
  <c r="J65" i="15"/>
  <c r="W80" i="15"/>
  <c r="X80" i="15" s="1"/>
  <c r="N80" i="15"/>
  <c r="L80" i="15"/>
  <c r="J80" i="15"/>
  <c r="W77" i="15"/>
  <c r="X77" i="15" s="1"/>
  <c r="N77" i="15"/>
  <c r="L77" i="15"/>
  <c r="U77" i="15" s="1"/>
  <c r="J77" i="15"/>
  <c r="W76" i="15"/>
  <c r="X76" i="15" s="1"/>
  <c r="N76" i="15"/>
  <c r="L76" i="15"/>
  <c r="J76" i="15"/>
  <c r="W61" i="15"/>
  <c r="X61" i="15" s="1"/>
  <c r="N61" i="15"/>
  <c r="L61" i="15"/>
  <c r="J61" i="15"/>
  <c r="W81" i="15"/>
  <c r="X81" i="15" s="1"/>
  <c r="N81" i="15"/>
  <c r="L81" i="15"/>
  <c r="U81" i="15" s="1"/>
  <c r="J81" i="15"/>
  <c r="W84" i="15"/>
  <c r="X84" i="15" s="1"/>
  <c r="N84" i="15"/>
  <c r="L84" i="15"/>
  <c r="T84" i="15" s="1"/>
  <c r="J84" i="15"/>
  <c r="W70" i="15"/>
  <c r="X70" i="15" s="1"/>
  <c r="N70" i="15"/>
  <c r="L70" i="15"/>
  <c r="S70" i="15" s="1"/>
  <c r="J70" i="15"/>
  <c r="W83" i="15"/>
  <c r="X83" i="15" s="1"/>
  <c r="N83" i="15"/>
  <c r="L83" i="15"/>
  <c r="U83" i="15" s="1"/>
  <c r="J83" i="15"/>
  <c r="W87" i="15"/>
  <c r="X87" i="15" s="1"/>
  <c r="N87" i="15"/>
  <c r="L87" i="15"/>
  <c r="J87" i="15"/>
  <c r="W14" i="15"/>
  <c r="X14" i="15" s="1"/>
  <c r="N14" i="15"/>
  <c r="L14" i="15"/>
  <c r="J14" i="15"/>
  <c r="W58" i="15"/>
  <c r="X58" i="15" s="1"/>
  <c r="N58" i="15"/>
  <c r="L58" i="15"/>
  <c r="J58" i="15"/>
  <c r="W82" i="15"/>
  <c r="X82" i="15" s="1"/>
  <c r="N82" i="15"/>
  <c r="L82" i="15"/>
  <c r="S82" i="15" s="1"/>
  <c r="J82" i="15"/>
  <c r="W56" i="15"/>
  <c r="X56" i="15" s="1"/>
  <c r="N56" i="15"/>
  <c r="L56" i="15"/>
  <c r="J56" i="15"/>
  <c r="W52" i="15"/>
  <c r="X52" i="15" s="1"/>
  <c r="N52" i="15"/>
  <c r="L52" i="15"/>
  <c r="J52" i="15"/>
  <c r="W72" i="15"/>
  <c r="X72" i="15" s="1"/>
  <c r="N72" i="15"/>
  <c r="L72" i="15"/>
  <c r="J72" i="15"/>
  <c r="W60" i="15"/>
  <c r="X60" i="15" s="1"/>
  <c r="N60" i="15"/>
  <c r="L60" i="15"/>
  <c r="J60" i="15"/>
  <c r="W68" i="15"/>
  <c r="X68" i="15" s="1"/>
  <c r="N68" i="15"/>
  <c r="L68" i="15"/>
  <c r="S68" i="15" s="1"/>
  <c r="J68" i="15"/>
  <c r="W12" i="15"/>
  <c r="X12" i="15" s="1"/>
  <c r="N12" i="15"/>
  <c r="L12" i="15"/>
  <c r="T12" i="15" s="1"/>
  <c r="J12" i="15"/>
  <c r="W79" i="15"/>
  <c r="X79" i="15" s="1"/>
  <c r="N79" i="15"/>
  <c r="L79" i="15"/>
  <c r="U79" i="15" s="1"/>
  <c r="J79" i="15"/>
  <c r="W67" i="15"/>
  <c r="X67" i="15" s="1"/>
  <c r="N67" i="15"/>
  <c r="L67" i="15"/>
  <c r="U67" i="15" s="1"/>
  <c r="J67" i="15"/>
  <c r="W41" i="15"/>
  <c r="X41" i="15" s="1"/>
  <c r="N41" i="15"/>
  <c r="L41" i="15"/>
  <c r="S41" i="15" s="1"/>
  <c r="J41" i="15"/>
  <c r="W50" i="15"/>
  <c r="X50" i="15" s="1"/>
  <c r="N50" i="15"/>
  <c r="L50" i="15"/>
  <c r="J50" i="15"/>
  <c r="W74" i="15"/>
  <c r="X74" i="15" s="1"/>
  <c r="N74" i="15"/>
  <c r="L74" i="15"/>
  <c r="U74" i="15" s="1"/>
  <c r="J74" i="15"/>
  <c r="W42" i="15"/>
  <c r="X42" i="15" s="1"/>
  <c r="N42" i="15"/>
  <c r="L42" i="15"/>
  <c r="J42" i="15"/>
  <c r="W24" i="15"/>
  <c r="X24" i="15" s="1"/>
  <c r="N24" i="15"/>
  <c r="L24" i="15"/>
  <c r="U24" i="15" s="1"/>
  <c r="J24" i="15"/>
  <c r="W71" i="15"/>
  <c r="X71" i="15" s="1"/>
  <c r="N71" i="15"/>
  <c r="L71" i="15"/>
  <c r="U71" i="15" s="1"/>
  <c r="J71" i="15"/>
  <c r="W31" i="15"/>
  <c r="X31" i="15" s="1"/>
  <c r="N31" i="15"/>
  <c r="L31" i="15"/>
  <c r="J31" i="15"/>
  <c r="W13" i="15"/>
  <c r="X13" i="15" s="1"/>
  <c r="N13" i="15"/>
  <c r="L13" i="15"/>
  <c r="J13" i="15"/>
  <c r="W29" i="15"/>
  <c r="X29" i="15" s="1"/>
  <c r="N29" i="15"/>
  <c r="L29" i="15"/>
  <c r="J29" i="15"/>
  <c r="W39" i="15"/>
  <c r="X39" i="15" s="1"/>
  <c r="N39" i="15"/>
  <c r="L39" i="15"/>
  <c r="U39" i="15" s="1"/>
  <c r="J39" i="15"/>
  <c r="W37" i="15"/>
  <c r="X37" i="15" s="1"/>
  <c r="N37" i="15"/>
  <c r="L37" i="15"/>
  <c r="U37" i="15" s="1"/>
  <c r="J37" i="15"/>
  <c r="W30" i="15"/>
  <c r="X30" i="15" s="1"/>
  <c r="N30" i="15"/>
  <c r="L30" i="15"/>
  <c r="S30" i="15" s="1"/>
  <c r="J30" i="15"/>
  <c r="W48" i="15"/>
  <c r="X48" i="15" s="1"/>
  <c r="N48" i="15"/>
  <c r="L48" i="15"/>
  <c r="J48" i="15"/>
  <c r="W2" i="15"/>
  <c r="X2" i="15" s="1"/>
  <c r="N2" i="15"/>
  <c r="L2" i="15"/>
  <c r="U2" i="15" s="1"/>
  <c r="J2" i="15"/>
  <c r="W57" i="15"/>
  <c r="X57" i="15" s="1"/>
  <c r="N57" i="15"/>
  <c r="L57" i="15"/>
  <c r="J57" i="15"/>
  <c r="W75" i="15"/>
  <c r="X75" i="15" s="1"/>
  <c r="N75" i="15"/>
  <c r="L75" i="15"/>
  <c r="J75" i="15"/>
  <c r="W7" i="15"/>
  <c r="X7" i="15" s="1"/>
  <c r="N7" i="15"/>
  <c r="L7" i="15"/>
  <c r="S7" i="15" s="1"/>
  <c r="J7" i="15"/>
  <c r="W34" i="15"/>
  <c r="X34" i="15" s="1"/>
  <c r="N34" i="15"/>
  <c r="L34" i="15"/>
  <c r="U34" i="15" s="1"/>
  <c r="J34" i="15"/>
  <c r="W9" i="15"/>
  <c r="X9" i="15" s="1"/>
  <c r="N9" i="15"/>
  <c r="L9" i="15"/>
  <c r="J9" i="15"/>
  <c r="W64" i="15"/>
  <c r="X64" i="15" s="1"/>
  <c r="N64" i="15"/>
  <c r="L64" i="15"/>
  <c r="T64" i="15" s="1"/>
  <c r="J64" i="15"/>
  <c r="W69" i="15"/>
  <c r="X69" i="15" s="1"/>
  <c r="N69" i="15"/>
  <c r="L69" i="15"/>
  <c r="J69" i="15"/>
  <c r="W20" i="15"/>
  <c r="X20" i="15" s="1"/>
  <c r="N20" i="15"/>
  <c r="L20" i="15"/>
  <c r="U20" i="15" s="1"/>
  <c r="J20" i="15"/>
  <c r="W43" i="15"/>
  <c r="X43" i="15" s="1"/>
  <c r="N43" i="15"/>
  <c r="L43" i="15"/>
  <c r="J43" i="15"/>
  <c r="W63" i="15"/>
  <c r="X63" i="15" s="1"/>
  <c r="N63" i="15"/>
  <c r="L63" i="15"/>
  <c r="J63" i="15"/>
  <c r="W62" i="15"/>
  <c r="X62" i="15" s="1"/>
  <c r="N62" i="15"/>
  <c r="L62" i="15"/>
  <c r="T62" i="15" s="1"/>
  <c r="J62" i="15"/>
  <c r="W4" i="15"/>
  <c r="X4" i="15" s="1"/>
  <c r="N4" i="15"/>
  <c r="L4" i="15"/>
  <c r="S4" i="15" s="1"/>
  <c r="J4" i="15"/>
  <c r="W53" i="15"/>
  <c r="X53" i="15" s="1"/>
  <c r="N53" i="15"/>
  <c r="L53" i="15"/>
  <c r="U53" i="15" s="1"/>
  <c r="J53" i="15"/>
  <c r="W54" i="15"/>
  <c r="X54" i="15" s="1"/>
  <c r="N54" i="15"/>
  <c r="L54" i="15"/>
  <c r="U54" i="15" s="1"/>
  <c r="J54" i="15"/>
  <c r="W66" i="15"/>
  <c r="X66" i="15" s="1"/>
  <c r="N66" i="15"/>
  <c r="L66" i="15"/>
  <c r="U66" i="15" s="1"/>
  <c r="J66" i="15"/>
  <c r="W26" i="15"/>
  <c r="X26" i="15" s="1"/>
  <c r="N26" i="15"/>
  <c r="L26" i="15"/>
  <c r="S26" i="15" s="1"/>
  <c r="J26" i="15"/>
  <c r="W3" i="15"/>
  <c r="X3" i="15" s="1"/>
  <c r="N3" i="15"/>
  <c r="L3" i="15"/>
  <c r="U3" i="15" s="1"/>
  <c r="J3" i="15"/>
  <c r="W19" i="15"/>
  <c r="X19" i="15" s="1"/>
  <c r="N19" i="15"/>
  <c r="L19" i="15"/>
  <c r="J19" i="15"/>
  <c r="W85" i="15"/>
  <c r="X85" i="15" s="1"/>
  <c r="N85" i="15"/>
  <c r="L85" i="15"/>
  <c r="S85" i="15" s="1"/>
  <c r="J85" i="15"/>
  <c r="W38" i="15"/>
  <c r="X38" i="15" s="1"/>
  <c r="N38" i="15"/>
  <c r="L38" i="15"/>
  <c r="U38" i="15" s="1"/>
  <c r="J38" i="15"/>
  <c r="W16" i="15"/>
  <c r="X16" i="15" s="1"/>
  <c r="N16" i="15"/>
  <c r="L16" i="15"/>
  <c r="S16" i="15" s="1"/>
  <c r="J16" i="15"/>
  <c r="W25" i="15"/>
  <c r="X25" i="15" s="1"/>
  <c r="N25" i="15"/>
  <c r="L25" i="15"/>
  <c r="U25" i="15" s="1"/>
  <c r="J25" i="15"/>
  <c r="W5" i="15"/>
  <c r="X5" i="15" s="1"/>
  <c r="N5" i="15"/>
  <c r="L5" i="15"/>
  <c r="U5" i="15" s="1"/>
  <c r="J5" i="15"/>
  <c r="W49" i="15"/>
  <c r="X49" i="15" s="1"/>
  <c r="N49" i="15"/>
  <c r="L49" i="15"/>
  <c r="J49" i="15"/>
  <c r="W27" i="15"/>
  <c r="X27" i="15" s="1"/>
  <c r="N27" i="15"/>
  <c r="L27" i="15"/>
  <c r="S27" i="15" s="1"/>
  <c r="J27" i="15"/>
  <c r="W36" i="15"/>
  <c r="X36" i="15" s="1"/>
  <c r="N36" i="15"/>
  <c r="L36" i="15"/>
  <c r="S36" i="15" s="1"/>
  <c r="J36" i="15"/>
  <c r="W8" i="15"/>
  <c r="X8" i="15" s="1"/>
  <c r="N8" i="15"/>
  <c r="L8" i="15"/>
  <c r="U8" i="15" s="1"/>
  <c r="J8" i="15"/>
  <c r="W55" i="15"/>
  <c r="X55" i="15" s="1"/>
  <c r="N55" i="15"/>
  <c r="L55" i="15"/>
  <c r="J55" i="15"/>
  <c r="W45" i="15"/>
  <c r="X45" i="15" s="1"/>
  <c r="N45" i="15"/>
  <c r="L45" i="15"/>
  <c r="U45" i="15" s="1"/>
  <c r="J45" i="15"/>
  <c r="W22" i="15"/>
  <c r="X22" i="15" s="1"/>
  <c r="N22" i="15"/>
  <c r="L22" i="15"/>
  <c r="J22" i="15"/>
  <c r="W18" i="15"/>
  <c r="X18" i="15" s="1"/>
  <c r="N18" i="15"/>
  <c r="L18" i="15"/>
  <c r="S18" i="15" s="1"/>
  <c r="J18" i="15"/>
  <c r="W6" i="15"/>
  <c r="X6" i="15" s="1"/>
  <c r="N6" i="15"/>
  <c r="L6" i="15"/>
  <c r="J6" i="15"/>
  <c r="W47" i="15"/>
  <c r="X47" i="15" s="1"/>
  <c r="N47" i="15"/>
  <c r="L47" i="15"/>
  <c r="T47" i="15" s="1"/>
  <c r="J47" i="15"/>
  <c r="W35" i="15"/>
  <c r="X35" i="15" s="1"/>
  <c r="N35" i="15"/>
  <c r="L35" i="15"/>
  <c r="U35" i="15" s="1"/>
  <c r="J35" i="15"/>
  <c r="W10" i="15"/>
  <c r="X10" i="15" s="1"/>
  <c r="N10" i="15"/>
  <c r="L10" i="15"/>
  <c r="J10" i="15"/>
  <c r="W51" i="15"/>
  <c r="X51" i="15" s="1"/>
  <c r="N51" i="15"/>
  <c r="L51" i="15"/>
  <c r="J51" i="15"/>
  <c r="W40" i="15"/>
  <c r="X40" i="15" s="1"/>
  <c r="N40" i="15"/>
  <c r="L40" i="15"/>
  <c r="J40" i="15"/>
  <c r="W11" i="15"/>
  <c r="X11" i="15" s="1"/>
  <c r="N11" i="15"/>
  <c r="L11" i="15"/>
  <c r="S11" i="15" s="1"/>
  <c r="J11" i="15"/>
  <c r="W33" i="15"/>
  <c r="X33" i="15" s="1"/>
  <c r="N33" i="15"/>
  <c r="L33" i="15"/>
  <c r="J33" i="15"/>
  <c r="W32" i="15"/>
  <c r="X32" i="15" s="1"/>
  <c r="N32" i="15"/>
  <c r="L32" i="15"/>
  <c r="T32" i="15" s="1"/>
  <c r="J32" i="15"/>
  <c r="W15" i="15"/>
  <c r="X15" i="15" s="1"/>
  <c r="N15" i="15"/>
  <c r="L15" i="15"/>
  <c r="S15" i="15" s="1"/>
  <c r="J15" i="15"/>
  <c r="W17" i="15"/>
  <c r="X17" i="15" s="1"/>
  <c r="N17" i="15"/>
  <c r="L17" i="15"/>
  <c r="J17" i="15"/>
  <c r="W28" i="15"/>
  <c r="X28" i="15" s="1"/>
  <c r="N28" i="15"/>
  <c r="L28" i="15"/>
  <c r="U28" i="15" s="1"/>
  <c r="J28" i="15"/>
  <c r="W23" i="15"/>
  <c r="X23" i="15" s="1"/>
  <c r="N23" i="15"/>
  <c r="L23" i="15"/>
  <c r="U23" i="15" s="1"/>
  <c r="J23" i="15"/>
  <c r="W21" i="15"/>
  <c r="X21" i="15" s="1"/>
  <c r="N21" i="15"/>
  <c r="L21" i="15"/>
  <c r="T21" i="15" s="1"/>
  <c r="J21" i="15"/>
  <c r="W46" i="15"/>
  <c r="X46" i="15" s="1"/>
  <c r="N46" i="15"/>
  <c r="L46" i="15"/>
  <c r="U46" i="15" s="1"/>
  <c r="J46" i="15"/>
  <c r="R9" i="14"/>
  <c r="Q9" i="14"/>
  <c r="O9" i="14"/>
  <c r="M9" i="14"/>
  <c r="K9" i="14"/>
  <c r="I9" i="14"/>
  <c r="H9" i="14"/>
  <c r="E9" i="14"/>
  <c r="W2" i="14"/>
  <c r="X2" i="14" s="1"/>
  <c r="N2" i="14"/>
  <c r="L2" i="14"/>
  <c r="T2" i="14" s="1"/>
  <c r="J2" i="14"/>
  <c r="W8" i="14"/>
  <c r="X8" i="14" s="1"/>
  <c r="N8" i="14"/>
  <c r="L8" i="14"/>
  <c r="J8" i="14"/>
  <c r="W7" i="14"/>
  <c r="X7" i="14" s="1"/>
  <c r="N7" i="14"/>
  <c r="L7" i="14"/>
  <c r="T7" i="14" s="1"/>
  <c r="J7" i="14"/>
  <c r="W3" i="14"/>
  <c r="X3" i="14" s="1"/>
  <c r="N3" i="14"/>
  <c r="L3" i="14"/>
  <c r="T3" i="14" s="1"/>
  <c r="J3" i="14"/>
  <c r="W4" i="14"/>
  <c r="X4" i="14" s="1"/>
  <c r="N4" i="14"/>
  <c r="L4" i="14"/>
  <c r="U4" i="14" s="1"/>
  <c r="J4" i="14"/>
  <c r="W6" i="14"/>
  <c r="X6" i="14" s="1"/>
  <c r="N6" i="14"/>
  <c r="L6" i="14"/>
  <c r="T6" i="14" s="1"/>
  <c r="J6" i="14"/>
  <c r="W5" i="14"/>
  <c r="X5" i="14" s="1"/>
  <c r="N5" i="14"/>
  <c r="L5" i="14"/>
  <c r="T5" i="14" s="1"/>
  <c r="J5" i="14"/>
  <c r="R20" i="12"/>
  <c r="Q20" i="12"/>
  <c r="O20" i="12"/>
  <c r="M20" i="12"/>
  <c r="K20" i="12"/>
  <c r="I20" i="12"/>
  <c r="H20" i="12"/>
  <c r="E20" i="12"/>
  <c r="W19" i="12"/>
  <c r="X19" i="12" s="1"/>
  <c r="N19" i="12"/>
  <c r="L19" i="12"/>
  <c r="J19" i="12"/>
  <c r="W10" i="12"/>
  <c r="X10" i="12" s="1"/>
  <c r="N10" i="12"/>
  <c r="L10" i="12"/>
  <c r="U10" i="12" s="1"/>
  <c r="J10" i="12"/>
  <c r="W4" i="12"/>
  <c r="X4" i="12" s="1"/>
  <c r="N4" i="12"/>
  <c r="L4" i="12"/>
  <c r="U4" i="12" s="1"/>
  <c r="J4" i="12"/>
  <c r="W16" i="12"/>
  <c r="X16" i="12" s="1"/>
  <c r="N16" i="12"/>
  <c r="L16" i="12"/>
  <c r="T16" i="12" s="1"/>
  <c r="J16" i="12"/>
  <c r="W6" i="12"/>
  <c r="X6" i="12" s="1"/>
  <c r="N6" i="12"/>
  <c r="L6" i="12"/>
  <c r="J6" i="12"/>
  <c r="W15" i="12"/>
  <c r="X15" i="12" s="1"/>
  <c r="N15" i="12"/>
  <c r="L15" i="12"/>
  <c r="S15" i="12" s="1"/>
  <c r="J15" i="12"/>
  <c r="W14" i="12"/>
  <c r="X14" i="12" s="1"/>
  <c r="N14" i="12"/>
  <c r="L14" i="12"/>
  <c r="U14" i="12" s="1"/>
  <c r="J14" i="12"/>
  <c r="W7" i="12"/>
  <c r="X7" i="12" s="1"/>
  <c r="N7" i="12"/>
  <c r="L7" i="12"/>
  <c r="T7" i="12" s="1"/>
  <c r="J7" i="12"/>
  <c r="W5" i="12"/>
  <c r="X5" i="12" s="1"/>
  <c r="N5" i="12"/>
  <c r="L5" i="12"/>
  <c r="U5" i="12" s="1"/>
  <c r="J5" i="12"/>
  <c r="W12" i="12"/>
  <c r="X12" i="12" s="1"/>
  <c r="N12" i="12"/>
  <c r="L12" i="12"/>
  <c r="J12" i="12"/>
  <c r="W3" i="12"/>
  <c r="X3" i="12" s="1"/>
  <c r="N3" i="12"/>
  <c r="L3" i="12"/>
  <c r="T3" i="12" s="1"/>
  <c r="J3" i="12"/>
  <c r="W17" i="12"/>
  <c r="X17" i="12" s="1"/>
  <c r="N17" i="12"/>
  <c r="L17" i="12"/>
  <c r="U17" i="12" s="1"/>
  <c r="J17" i="12"/>
  <c r="W8" i="12"/>
  <c r="X8" i="12" s="1"/>
  <c r="N8" i="12"/>
  <c r="L8" i="12"/>
  <c r="J8" i="12"/>
  <c r="W13" i="12"/>
  <c r="X13" i="12" s="1"/>
  <c r="N13" i="12"/>
  <c r="L13" i="12"/>
  <c r="S13" i="12" s="1"/>
  <c r="J13" i="12"/>
  <c r="W18" i="12"/>
  <c r="X18" i="12" s="1"/>
  <c r="N18" i="12"/>
  <c r="L18" i="12"/>
  <c r="U18" i="12" s="1"/>
  <c r="J18" i="12"/>
  <c r="W2" i="12"/>
  <c r="X2" i="12" s="1"/>
  <c r="N2" i="12"/>
  <c r="L2" i="12"/>
  <c r="S2" i="12" s="1"/>
  <c r="J2" i="12"/>
  <c r="W11" i="12"/>
  <c r="X11" i="12" s="1"/>
  <c r="N11" i="12"/>
  <c r="L11" i="12"/>
  <c r="T11" i="12" s="1"/>
  <c r="J11" i="12"/>
  <c r="W9" i="12"/>
  <c r="X9" i="12" s="1"/>
  <c r="N9" i="12"/>
  <c r="L9" i="12"/>
  <c r="S9" i="12" s="1"/>
  <c r="J9" i="12"/>
  <c r="J8" i="56" l="1"/>
  <c r="S2" i="118"/>
  <c r="S5" i="118"/>
  <c r="U5" i="118"/>
  <c r="J10" i="113"/>
  <c r="J13" i="61"/>
  <c r="J10" i="58"/>
  <c r="J5" i="94"/>
  <c r="S3" i="51"/>
  <c r="S11" i="142"/>
  <c r="J12" i="140"/>
  <c r="S24" i="65"/>
  <c r="U2" i="63"/>
  <c r="S2" i="63"/>
  <c r="S12" i="52"/>
  <c r="S20" i="47"/>
  <c r="U20" i="47"/>
  <c r="U25" i="47"/>
  <c r="J13" i="46"/>
  <c r="T7" i="39"/>
  <c r="S7" i="27"/>
  <c r="J17" i="139"/>
  <c r="J13" i="20"/>
  <c r="U22" i="28"/>
  <c r="J28" i="28"/>
  <c r="J15" i="109"/>
  <c r="J5" i="106"/>
  <c r="J16" i="88"/>
  <c r="T8" i="88"/>
  <c r="J8" i="80"/>
  <c r="U3" i="78"/>
  <c r="S5" i="76"/>
  <c r="J7" i="67"/>
  <c r="S2" i="66"/>
  <c r="T18" i="65"/>
  <c r="U15" i="65"/>
  <c r="S18" i="65"/>
  <c r="T5" i="63"/>
  <c r="J11" i="63"/>
  <c r="T2" i="62"/>
  <c r="J6" i="60"/>
  <c r="U8" i="52"/>
  <c r="J6" i="51"/>
  <c r="J29" i="47"/>
  <c r="U4" i="44"/>
  <c r="J18" i="44"/>
  <c r="U8" i="44"/>
  <c r="U2" i="43"/>
  <c r="S2" i="42"/>
  <c r="U2" i="42"/>
  <c r="J5" i="41"/>
  <c r="T4" i="38"/>
  <c r="T22" i="38"/>
  <c r="U14" i="38"/>
  <c r="U43" i="38"/>
  <c r="S16" i="38"/>
  <c r="T2" i="38"/>
  <c r="U2" i="38"/>
  <c r="U34" i="38"/>
  <c r="S20" i="38"/>
  <c r="T20" i="38"/>
  <c r="S39" i="38"/>
  <c r="J6" i="32"/>
  <c r="T18" i="28"/>
  <c r="S11" i="28"/>
  <c r="T11" i="28"/>
  <c r="T26" i="28"/>
  <c r="S19" i="25"/>
  <c r="U19" i="25"/>
  <c r="U5" i="139"/>
  <c r="S10" i="139"/>
  <c r="S8" i="139"/>
  <c r="T8" i="139"/>
  <c r="U82" i="15"/>
  <c r="J89" i="15"/>
  <c r="U29" i="16"/>
  <c r="U10" i="16"/>
  <c r="U11" i="16"/>
  <c r="U9" i="16"/>
  <c r="X20" i="12"/>
  <c r="N20" i="12"/>
  <c r="S10" i="12"/>
  <c r="T82" i="15"/>
  <c r="T77" i="15"/>
  <c r="T5" i="15"/>
  <c r="S5" i="15"/>
  <c r="J4" i="119"/>
  <c r="T2" i="119"/>
  <c r="U2" i="119"/>
  <c r="T2" i="118"/>
  <c r="T6" i="118"/>
  <c r="T7" i="118"/>
  <c r="U8" i="118"/>
  <c r="S8" i="118"/>
  <c r="U10" i="118"/>
  <c r="S10" i="118"/>
  <c r="T4" i="118"/>
  <c r="U4" i="118"/>
  <c r="S4" i="118"/>
  <c r="J12" i="118"/>
  <c r="U5" i="117"/>
  <c r="S3" i="117"/>
  <c r="T3" i="117"/>
  <c r="T5" i="117"/>
  <c r="J7" i="117"/>
  <c r="U2" i="117"/>
  <c r="T2" i="117"/>
  <c r="S2" i="117"/>
  <c r="S4" i="117"/>
  <c r="T4" i="117"/>
  <c r="U3" i="116"/>
  <c r="J6" i="116"/>
  <c r="S3" i="116"/>
  <c r="T2" i="116"/>
  <c r="U2" i="116"/>
  <c r="S4" i="116"/>
  <c r="T4" i="116"/>
  <c r="U4" i="116"/>
  <c r="U3" i="115"/>
  <c r="S3" i="115"/>
  <c r="J6" i="115"/>
  <c r="N5" i="115"/>
  <c r="S4" i="115"/>
  <c r="T4" i="115"/>
  <c r="T3" i="114"/>
  <c r="U3" i="114"/>
  <c r="W4" i="114"/>
  <c r="U2" i="114"/>
  <c r="S2" i="114"/>
  <c r="S9" i="110"/>
  <c r="S19" i="110"/>
  <c r="S15" i="110"/>
  <c r="U19" i="110"/>
  <c r="U15" i="110"/>
  <c r="U10" i="110"/>
  <c r="S2" i="110"/>
  <c r="T21" i="110"/>
  <c r="U21" i="110"/>
  <c r="S16" i="110"/>
  <c r="S10" i="110"/>
  <c r="U2" i="110"/>
  <c r="T11" i="110"/>
  <c r="U17" i="110"/>
  <c r="J25" i="110"/>
  <c r="U3" i="110"/>
  <c r="T3" i="110"/>
  <c r="S3" i="110"/>
  <c r="S7" i="110"/>
  <c r="T7" i="110"/>
  <c r="U7" i="110"/>
  <c r="S17" i="110"/>
  <c r="S11" i="110"/>
  <c r="T7" i="109"/>
  <c r="U7" i="109"/>
  <c r="T11" i="109"/>
  <c r="U12" i="109"/>
  <c r="S13" i="109"/>
  <c r="T13" i="109"/>
  <c r="U11" i="109"/>
  <c r="T3" i="109"/>
  <c r="T12" i="109"/>
  <c r="U3" i="109"/>
  <c r="S5" i="109"/>
  <c r="U5" i="109"/>
  <c r="T5" i="109"/>
  <c r="T10" i="109"/>
  <c r="S10" i="109"/>
  <c r="U10" i="109"/>
  <c r="S9" i="109"/>
  <c r="T9" i="109"/>
  <c r="S3" i="106"/>
  <c r="U3" i="106"/>
  <c r="T2" i="106"/>
  <c r="S2" i="106"/>
  <c r="U2" i="103"/>
  <c r="U4" i="103"/>
  <c r="S3" i="103"/>
  <c r="T3" i="103"/>
  <c r="S4" i="103"/>
  <c r="J13" i="101"/>
  <c r="S6" i="101"/>
  <c r="T6" i="101"/>
  <c r="S9" i="101"/>
  <c r="T5" i="101"/>
  <c r="T9" i="101"/>
  <c r="S4" i="101"/>
  <c r="T4" i="101"/>
  <c r="U4" i="101"/>
  <c r="S10" i="101"/>
  <c r="U10" i="101"/>
  <c r="T10" i="101"/>
  <c r="U11" i="101"/>
  <c r="S11" i="101"/>
  <c r="S2" i="101"/>
  <c r="T2" i="101"/>
  <c r="U2" i="101"/>
  <c r="S3" i="98"/>
  <c r="T3" i="98"/>
  <c r="J9" i="98"/>
  <c r="U4" i="98"/>
  <c r="T4" i="98"/>
  <c r="T7" i="98"/>
  <c r="U7" i="98"/>
  <c r="S7" i="98"/>
  <c r="T5" i="98"/>
  <c r="U5" i="98"/>
  <c r="S5" i="98"/>
  <c r="S2" i="96"/>
  <c r="J4" i="96"/>
  <c r="J6" i="95"/>
  <c r="T3" i="94"/>
  <c r="U3" i="94"/>
  <c r="S3" i="94"/>
  <c r="T2" i="94"/>
  <c r="S2" i="94"/>
  <c r="U2" i="94"/>
  <c r="S3" i="92"/>
  <c r="T3" i="92"/>
  <c r="J4" i="91"/>
  <c r="S2" i="90"/>
  <c r="S13" i="88"/>
  <c r="T13" i="88"/>
  <c r="S8" i="88"/>
  <c r="U7" i="88"/>
  <c r="T7" i="88"/>
  <c r="S7" i="88"/>
  <c r="U5" i="88"/>
  <c r="S5" i="88"/>
  <c r="T4" i="87"/>
  <c r="U4" i="87"/>
  <c r="U12" i="86"/>
  <c r="U13" i="86"/>
  <c r="U2" i="86"/>
  <c r="S13" i="86"/>
  <c r="T12" i="86"/>
  <c r="T10" i="86"/>
  <c r="U10" i="86"/>
  <c r="S6" i="86"/>
  <c r="T6" i="86"/>
  <c r="T7" i="86"/>
  <c r="U7" i="86"/>
  <c r="S7" i="86"/>
  <c r="S5" i="86"/>
  <c r="U5" i="86"/>
  <c r="T5" i="86"/>
  <c r="T11" i="86"/>
  <c r="U11" i="86"/>
  <c r="S11" i="86"/>
  <c r="S3" i="86"/>
  <c r="U6" i="85"/>
  <c r="T6" i="85"/>
  <c r="S6" i="85"/>
  <c r="J5" i="84"/>
  <c r="S2" i="84"/>
  <c r="T2" i="84"/>
  <c r="J4" i="83"/>
  <c r="N3" i="83"/>
  <c r="T6" i="80"/>
  <c r="S6" i="80"/>
  <c r="T4" i="80"/>
  <c r="S4" i="80"/>
  <c r="U4" i="80"/>
  <c r="U2" i="79"/>
  <c r="J4" i="79"/>
  <c r="S2" i="79"/>
  <c r="T2" i="78"/>
  <c r="U2" i="78"/>
  <c r="T3" i="78"/>
  <c r="T5" i="77"/>
  <c r="S9" i="77"/>
  <c r="U9" i="77"/>
  <c r="S8" i="77"/>
  <c r="U8" i="77"/>
  <c r="T8" i="77"/>
  <c r="T4" i="77"/>
  <c r="U4" i="77"/>
  <c r="S4" i="77"/>
  <c r="U5" i="77"/>
  <c r="T14" i="76"/>
  <c r="T12" i="76"/>
  <c r="S14" i="76"/>
  <c r="S2" i="76"/>
  <c r="S17" i="76"/>
  <c r="T2" i="76"/>
  <c r="T17" i="76"/>
  <c r="T4" i="76"/>
  <c r="S4" i="76"/>
  <c r="J19" i="76"/>
  <c r="T16" i="76"/>
  <c r="U16" i="76"/>
  <c r="U7" i="76"/>
  <c r="T7" i="76"/>
  <c r="S7" i="76"/>
  <c r="S8" i="76"/>
  <c r="U8" i="76"/>
  <c r="T13" i="76"/>
  <c r="U13" i="76"/>
  <c r="T8" i="76"/>
  <c r="S15" i="76"/>
  <c r="U15" i="76"/>
  <c r="T10" i="76"/>
  <c r="U10" i="76"/>
  <c r="J7" i="75"/>
  <c r="U5" i="75"/>
  <c r="U2" i="75"/>
  <c r="T2" i="75"/>
  <c r="T14" i="142"/>
  <c r="U6" i="142"/>
  <c r="J20" i="142"/>
  <c r="S13" i="142"/>
  <c r="U2" i="142"/>
  <c r="T5" i="142"/>
  <c r="U15" i="142"/>
  <c r="S5" i="142"/>
  <c r="S15" i="142"/>
  <c r="S9" i="142"/>
  <c r="T2" i="142"/>
  <c r="T9" i="142"/>
  <c r="T11" i="142"/>
  <c r="S6" i="142"/>
  <c r="S14" i="142"/>
  <c r="S12" i="142"/>
  <c r="U12" i="142"/>
  <c r="U4" i="142"/>
  <c r="T4" i="142"/>
  <c r="S4" i="142"/>
  <c r="U17" i="142"/>
  <c r="S17" i="142"/>
  <c r="S10" i="142"/>
  <c r="T10" i="142"/>
  <c r="T5" i="140"/>
  <c r="S10" i="140"/>
  <c r="S8" i="140"/>
  <c r="U8" i="140"/>
  <c r="U2" i="140"/>
  <c r="T7" i="140"/>
  <c r="U7" i="140"/>
  <c r="T3" i="140"/>
  <c r="S3" i="140"/>
  <c r="U3" i="140"/>
  <c r="J13" i="140"/>
  <c r="T2" i="140"/>
  <c r="U9" i="140"/>
  <c r="T9" i="140"/>
  <c r="T3" i="71"/>
  <c r="U3" i="71"/>
  <c r="J5" i="71"/>
  <c r="T3" i="70"/>
  <c r="S3" i="70"/>
  <c r="J5" i="70"/>
  <c r="T11" i="69"/>
  <c r="U11" i="69"/>
  <c r="T10" i="69"/>
  <c r="N12" i="69"/>
  <c r="S2" i="69"/>
  <c r="U2" i="69"/>
  <c r="T9" i="69"/>
  <c r="U9" i="69"/>
  <c r="S9" i="69"/>
  <c r="S4" i="69"/>
  <c r="T4" i="69"/>
  <c r="J13" i="69"/>
  <c r="S6" i="69"/>
  <c r="U6" i="69"/>
  <c r="U3" i="69"/>
  <c r="T3" i="69"/>
  <c r="S3" i="69"/>
  <c r="U3" i="68"/>
  <c r="T3" i="68"/>
  <c r="S3" i="68"/>
  <c r="J6" i="68"/>
  <c r="U2" i="68"/>
  <c r="T2" i="68"/>
  <c r="S2" i="68"/>
  <c r="U5" i="67"/>
  <c r="U3" i="67"/>
  <c r="T3" i="67"/>
  <c r="S5" i="66"/>
  <c r="U18" i="66"/>
  <c r="T5" i="66"/>
  <c r="T2" i="66"/>
  <c r="T15" i="66"/>
  <c r="T10" i="66"/>
  <c r="S23" i="66"/>
  <c r="U13" i="66"/>
  <c r="T23" i="66"/>
  <c r="T17" i="66"/>
  <c r="S21" i="66"/>
  <c r="U21" i="66"/>
  <c r="S10" i="66"/>
  <c r="S15" i="66"/>
  <c r="U20" i="66"/>
  <c r="T20" i="66"/>
  <c r="J25" i="66"/>
  <c r="T7" i="66"/>
  <c r="U7" i="66"/>
  <c r="U19" i="66"/>
  <c r="T19" i="66"/>
  <c r="S19" i="66"/>
  <c r="U11" i="66"/>
  <c r="T11" i="66"/>
  <c r="S11" i="66"/>
  <c r="U9" i="66"/>
  <c r="T9" i="66"/>
  <c r="S9" i="66"/>
  <c r="T6" i="66"/>
  <c r="U6" i="66"/>
  <c r="S17" i="66"/>
  <c r="S6" i="65"/>
  <c r="U17" i="65"/>
  <c r="T21" i="65"/>
  <c r="U6" i="65"/>
  <c r="T24" i="65"/>
  <c r="S5" i="65"/>
  <c r="T5" i="65"/>
  <c r="U19" i="65"/>
  <c r="U21" i="65"/>
  <c r="T11" i="65"/>
  <c r="U11" i="65"/>
  <c r="S23" i="65"/>
  <c r="U23" i="65"/>
  <c r="T23" i="65"/>
  <c r="S3" i="65"/>
  <c r="T3" i="65"/>
  <c r="S8" i="65"/>
  <c r="U8" i="65"/>
  <c r="T8" i="65"/>
  <c r="U22" i="65"/>
  <c r="T22" i="65"/>
  <c r="S22" i="65"/>
  <c r="S14" i="65"/>
  <c r="T14" i="65"/>
  <c r="J26" i="65"/>
  <c r="T10" i="64"/>
  <c r="S10" i="64"/>
  <c r="W15" i="64"/>
  <c r="X15" i="64"/>
  <c r="U12" i="64"/>
  <c r="T12" i="64"/>
  <c r="S12" i="64"/>
  <c r="J16" i="64"/>
  <c r="T2" i="63"/>
  <c r="L10" i="63"/>
  <c r="R12" i="63" s="1"/>
  <c r="S9" i="63"/>
  <c r="U9" i="63"/>
  <c r="T9" i="63"/>
  <c r="J12" i="63"/>
  <c r="N10" i="63"/>
  <c r="S4" i="63"/>
  <c r="U4" i="63"/>
  <c r="T4" i="63"/>
  <c r="U2" i="62"/>
  <c r="S4" i="62"/>
  <c r="T3" i="62"/>
  <c r="U3" i="62"/>
  <c r="S3" i="62"/>
  <c r="T4" i="62"/>
  <c r="J7" i="62"/>
  <c r="J21" i="142"/>
  <c r="L19" i="142"/>
  <c r="X19" i="142"/>
  <c r="T7" i="142"/>
  <c r="S7" i="142"/>
  <c r="U7" i="142"/>
  <c r="U18" i="142"/>
  <c r="T18" i="142"/>
  <c r="S18" i="142"/>
  <c r="T13" i="142"/>
  <c r="S8" i="142"/>
  <c r="T8" i="142"/>
  <c r="U8" i="142"/>
  <c r="T3" i="142"/>
  <c r="U3" i="142"/>
  <c r="S3" i="142"/>
  <c r="N19" i="142"/>
  <c r="W19" i="142"/>
  <c r="U16" i="142"/>
  <c r="S16" i="142"/>
  <c r="T12" i="142"/>
  <c r="S4" i="140"/>
  <c r="U4" i="140"/>
  <c r="T4" i="140"/>
  <c r="W11" i="140"/>
  <c r="X11" i="140"/>
  <c r="L11" i="140"/>
  <c r="N11" i="140"/>
  <c r="U5" i="140"/>
  <c r="T10" i="140"/>
  <c r="U6" i="140"/>
  <c r="T6" i="140"/>
  <c r="S3" i="61"/>
  <c r="T3" i="61"/>
  <c r="U9" i="61"/>
  <c r="S9" i="61"/>
  <c r="U2" i="60"/>
  <c r="T2" i="60"/>
  <c r="S4" i="60"/>
  <c r="U4" i="60"/>
  <c r="T4" i="60"/>
  <c r="S2" i="59"/>
  <c r="U2" i="59"/>
  <c r="T2" i="59"/>
  <c r="T5" i="59"/>
  <c r="U3" i="57"/>
  <c r="X4" i="57"/>
  <c r="J5" i="57"/>
  <c r="U5" i="56"/>
  <c r="T5" i="56"/>
  <c r="T4" i="56"/>
  <c r="S6" i="56"/>
  <c r="U6" i="56"/>
  <c r="T3" i="55"/>
  <c r="U3" i="55"/>
  <c r="N5" i="55"/>
  <c r="J6" i="55"/>
  <c r="S3" i="54"/>
  <c r="T3" i="54"/>
  <c r="S2" i="54"/>
  <c r="J5" i="54"/>
  <c r="J8" i="53"/>
  <c r="S5" i="53"/>
  <c r="T5" i="53"/>
  <c r="U5" i="53"/>
  <c r="T8" i="52"/>
  <c r="T12" i="52"/>
  <c r="T4" i="52"/>
  <c r="S4" i="52"/>
  <c r="J14" i="52"/>
  <c r="T3" i="51"/>
  <c r="T6" i="50"/>
  <c r="U4" i="50"/>
  <c r="U6" i="50"/>
  <c r="U5" i="50"/>
  <c r="S2" i="50"/>
  <c r="T5" i="50"/>
  <c r="T2" i="50"/>
  <c r="S4" i="50"/>
  <c r="J8" i="50"/>
  <c r="L7" i="50"/>
  <c r="U9" i="50" s="1"/>
  <c r="U3" i="50"/>
  <c r="T3" i="50"/>
  <c r="S3" i="50"/>
  <c r="U3" i="49"/>
  <c r="T5" i="49"/>
  <c r="U5" i="49"/>
  <c r="S3" i="49"/>
  <c r="J10" i="48"/>
  <c r="U6" i="48"/>
  <c r="U5" i="48"/>
  <c r="T5" i="48"/>
  <c r="T6" i="48"/>
  <c r="T25" i="47"/>
  <c r="S27" i="47"/>
  <c r="T27" i="47"/>
  <c r="U21" i="47"/>
  <c r="S21" i="47"/>
  <c r="U14" i="47"/>
  <c r="T14" i="47"/>
  <c r="S14" i="47"/>
  <c r="S16" i="47"/>
  <c r="T19" i="47"/>
  <c r="T7" i="46"/>
  <c r="U7" i="46"/>
  <c r="T5" i="46"/>
  <c r="S8" i="46"/>
  <c r="T8" i="46"/>
  <c r="U2" i="46"/>
  <c r="S2" i="46"/>
  <c r="S9" i="46"/>
  <c r="T9" i="46"/>
  <c r="T2" i="46"/>
  <c r="U5" i="46"/>
  <c r="J4" i="45"/>
  <c r="S4" i="44"/>
  <c r="T16" i="44"/>
  <c r="S16" i="44"/>
  <c r="T15" i="44"/>
  <c r="U15" i="44"/>
  <c r="U16" i="44"/>
  <c r="S7" i="44"/>
  <c r="U7" i="44"/>
  <c r="T7" i="44"/>
  <c r="U12" i="44"/>
  <c r="T12" i="44"/>
  <c r="S12" i="44"/>
  <c r="T9" i="44"/>
  <c r="S9" i="44"/>
  <c r="U9" i="44"/>
  <c r="T2" i="43"/>
  <c r="J5" i="43"/>
  <c r="U3" i="43"/>
  <c r="T3" i="43"/>
  <c r="S3" i="43"/>
  <c r="T3" i="42"/>
  <c r="U3" i="42"/>
  <c r="S4" i="42"/>
  <c r="U4" i="42"/>
  <c r="J7" i="42"/>
  <c r="T3" i="41"/>
  <c r="S3" i="41"/>
  <c r="U2" i="41"/>
  <c r="T2" i="41"/>
  <c r="S2" i="40"/>
  <c r="T2" i="40"/>
  <c r="J7" i="40"/>
  <c r="T3" i="40"/>
  <c r="S5" i="40"/>
  <c r="U3" i="40"/>
  <c r="T4" i="40"/>
  <c r="S11" i="39"/>
  <c r="S4" i="39"/>
  <c r="T4" i="39"/>
  <c r="T11" i="39"/>
  <c r="T8" i="39"/>
  <c r="S8" i="39"/>
  <c r="J14" i="39"/>
  <c r="S7" i="38"/>
  <c r="U7" i="38"/>
  <c r="U6" i="38"/>
  <c r="T44" i="38"/>
  <c r="U44" i="38"/>
  <c r="U29" i="38"/>
  <c r="S4" i="38"/>
  <c r="T43" i="38"/>
  <c r="S15" i="38"/>
  <c r="S25" i="38"/>
  <c r="T15" i="38"/>
  <c r="T25" i="38"/>
  <c r="T34" i="38"/>
  <c r="S37" i="38"/>
  <c r="S42" i="38"/>
  <c r="S41" i="38"/>
  <c r="S48" i="38"/>
  <c r="S29" i="38"/>
  <c r="T37" i="38"/>
  <c r="S6" i="38"/>
  <c r="T42" i="38"/>
  <c r="T41" i="38"/>
  <c r="T48" i="38"/>
  <c r="T17" i="38"/>
  <c r="T39" i="38"/>
  <c r="U21" i="38"/>
  <c r="T21" i="38"/>
  <c r="S21" i="38"/>
  <c r="U31" i="38"/>
  <c r="T31" i="38"/>
  <c r="S31" i="38"/>
  <c r="S33" i="38"/>
  <c r="S22" i="38"/>
  <c r="T33" i="38"/>
  <c r="T5" i="38"/>
  <c r="S5" i="38"/>
  <c r="U5" i="38"/>
  <c r="T19" i="38"/>
  <c r="S19" i="38"/>
  <c r="U46" i="38"/>
  <c r="S46" i="38"/>
  <c r="T16" i="38"/>
  <c r="T10" i="38"/>
  <c r="S17" i="38"/>
  <c r="U23" i="38"/>
  <c r="T23" i="38"/>
  <c r="T49" i="38"/>
  <c r="S49" i="38"/>
  <c r="T4" i="36"/>
  <c r="U4" i="36"/>
  <c r="S3" i="36"/>
  <c r="U3" i="36"/>
  <c r="T3" i="36"/>
  <c r="T54" i="34"/>
  <c r="U54" i="34"/>
  <c r="U16" i="34"/>
  <c r="S44" i="34"/>
  <c r="T20" i="34"/>
  <c r="U20" i="34"/>
  <c r="T38" i="34"/>
  <c r="S14" i="34"/>
  <c r="S46" i="34"/>
  <c r="U38" i="34"/>
  <c r="T14" i="34"/>
  <c r="T46" i="34"/>
  <c r="U25" i="34"/>
  <c r="T30" i="34"/>
  <c r="T42" i="34"/>
  <c r="J56" i="34"/>
  <c r="S36" i="34"/>
  <c r="S17" i="34"/>
  <c r="U17" i="34"/>
  <c r="T17" i="34"/>
  <c r="T36" i="34"/>
  <c r="S52" i="34"/>
  <c r="U52" i="34"/>
  <c r="S4" i="34"/>
  <c r="U4" i="34"/>
  <c r="T4" i="34"/>
  <c r="S12" i="34"/>
  <c r="S21" i="34"/>
  <c r="U21" i="34"/>
  <c r="T21" i="34"/>
  <c r="U6" i="34"/>
  <c r="T6" i="34"/>
  <c r="T12" i="34"/>
  <c r="U43" i="34"/>
  <c r="T43" i="34"/>
  <c r="S43" i="34"/>
  <c r="T52" i="34"/>
  <c r="S30" i="34"/>
  <c r="S28" i="34"/>
  <c r="T28" i="34"/>
  <c r="T53" i="34"/>
  <c r="S26" i="34"/>
  <c r="U53" i="34"/>
  <c r="U10" i="34"/>
  <c r="T10" i="34"/>
  <c r="T26" i="34"/>
  <c r="U15" i="34"/>
  <c r="T15" i="34"/>
  <c r="U35" i="34"/>
  <c r="T35" i="34"/>
  <c r="S35" i="34"/>
  <c r="S15" i="34"/>
  <c r="S37" i="34"/>
  <c r="U37" i="34"/>
  <c r="T37" i="34"/>
  <c r="S23" i="34"/>
  <c r="T23" i="34"/>
  <c r="S7" i="34"/>
  <c r="S22" i="34"/>
  <c r="T7" i="34"/>
  <c r="U23" i="34"/>
  <c r="T22" i="34"/>
  <c r="U50" i="34"/>
  <c r="T50" i="34"/>
  <c r="T16" i="34"/>
  <c r="S42" i="34"/>
  <c r="T8" i="34"/>
  <c r="T45" i="34"/>
  <c r="U4" i="32"/>
  <c r="U3" i="32"/>
  <c r="S3" i="32"/>
  <c r="J13" i="27"/>
  <c r="T11" i="27"/>
  <c r="U7" i="27"/>
  <c r="U9" i="27"/>
  <c r="T9" i="27"/>
  <c r="S9" i="27"/>
  <c r="T2" i="27"/>
  <c r="S2" i="27"/>
  <c r="U2" i="27"/>
  <c r="T6" i="27"/>
  <c r="S6" i="27"/>
  <c r="U6" i="27"/>
  <c r="T4" i="27"/>
  <c r="S4" i="27"/>
  <c r="S11" i="27"/>
  <c r="J9" i="26"/>
  <c r="T6" i="26"/>
  <c r="S3" i="26"/>
  <c r="T3" i="26"/>
  <c r="U3" i="26"/>
  <c r="U6" i="26"/>
  <c r="U16" i="25"/>
  <c r="U3" i="25"/>
  <c r="S4" i="25"/>
  <c r="S10" i="25"/>
  <c r="T10" i="25"/>
  <c r="T4" i="25"/>
  <c r="S8" i="25"/>
  <c r="S3" i="25"/>
  <c r="T16" i="25"/>
  <c r="T8" i="25"/>
  <c r="S21" i="25"/>
  <c r="U21" i="25"/>
  <c r="J24" i="25"/>
  <c r="T20" i="25"/>
  <c r="S20" i="25"/>
  <c r="U15" i="25"/>
  <c r="T15" i="25"/>
  <c r="S15" i="25"/>
  <c r="U17" i="25"/>
  <c r="T17" i="25"/>
  <c r="S17" i="25"/>
  <c r="S11" i="25"/>
  <c r="U11" i="25"/>
  <c r="T7" i="139"/>
  <c r="U7" i="139"/>
  <c r="T10" i="139"/>
  <c r="S5" i="139"/>
  <c r="U9" i="139"/>
  <c r="S9" i="139"/>
  <c r="T9" i="139"/>
  <c r="T3" i="139"/>
  <c r="U3" i="139"/>
  <c r="S3" i="139"/>
  <c r="U2" i="139"/>
  <c r="T2" i="139"/>
  <c r="S2" i="139"/>
  <c r="U15" i="139"/>
  <c r="T15" i="139"/>
  <c r="S15" i="139"/>
  <c r="T4" i="139"/>
  <c r="S4" i="139"/>
  <c r="U6" i="139"/>
  <c r="T6" i="139"/>
  <c r="X16" i="139"/>
  <c r="L16" i="139"/>
  <c r="N16" i="139"/>
  <c r="T13" i="139"/>
  <c r="S13" i="139"/>
  <c r="T11" i="139"/>
  <c r="S11" i="139"/>
  <c r="W16" i="139"/>
  <c r="S12" i="139"/>
  <c r="T14" i="139"/>
  <c r="T12" i="139"/>
  <c r="U14" i="139"/>
  <c r="J18" i="139"/>
  <c r="S30" i="24"/>
  <c r="U32" i="24"/>
  <c r="T19" i="24"/>
  <c r="T23" i="24"/>
  <c r="U17" i="24"/>
  <c r="J35" i="24"/>
  <c r="T26" i="24"/>
  <c r="T22" i="24"/>
  <c r="U29" i="24"/>
  <c r="U16" i="24"/>
  <c r="U22" i="24"/>
  <c r="S25" i="24"/>
  <c r="T25" i="24"/>
  <c r="S15" i="24"/>
  <c r="S6" i="24"/>
  <c r="T6" i="24"/>
  <c r="U6" i="24"/>
  <c r="U20" i="24"/>
  <c r="T20" i="24"/>
  <c r="S20" i="24"/>
  <c r="T11" i="24"/>
  <c r="U11" i="24"/>
  <c r="U9" i="24"/>
  <c r="T9" i="24"/>
  <c r="S9" i="24"/>
  <c r="S11" i="24"/>
  <c r="S24" i="24"/>
  <c r="T24" i="24"/>
  <c r="T4" i="24"/>
  <c r="S4" i="24"/>
  <c r="U4" i="24"/>
  <c r="S28" i="24"/>
  <c r="U28" i="24"/>
  <c r="U30" i="24"/>
  <c r="T18" i="24"/>
  <c r="S18" i="24"/>
  <c r="S8" i="24"/>
  <c r="S13" i="24"/>
  <c r="T21" i="24"/>
  <c r="U8" i="24"/>
  <c r="U13" i="24"/>
  <c r="S16" i="24"/>
  <c r="T29" i="24"/>
  <c r="U21" i="24"/>
  <c r="S26" i="24"/>
  <c r="U23" i="24"/>
  <c r="S32" i="24"/>
  <c r="S17" i="24"/>
  <c r="S19" i="24"/>
  <c r="U4" i="138"/>
  <c r="S10" i="138"/>
  <c r="U10" i="138"/>
  <c r="J13" i="138"/>
  <c r="T7" i="138"/>
  <c r="U7" i="138"/>
  <c r="S6" i="138"/>
  <c r="T6" i="138"/>
  <c r="T4" i="138"/>
  <c r="T8" i="138"/>
  <c r="S8" i="138"/>
  <c r="U8" i="138"/>
  <c r="N12" i="138"/>
  <c r="J14" i="138"/>
  <c r="U2" i="138"/>
  <c r="S2" i="138"/>
  <c r="W12" i="138"/>
  <c r="X12" i="138"/>
  <c r="S5" i="138"/>
  <c r="S3" i="138"/>
  <c r="U5" i="138"/>
  <c r="T3" i="138"/>
  <c r="L12" i="138"/>
  <c r="O14" i="138" s="1"/>
  <c r="T6" i="22"/>
  <c r="U3" i="22"/>
  <c r="U6" i="22"/>
  <c r="U10" i="22"/>
  <c r="J12" i="22"/>
  <c r="S3" i="22"/>
  <c r="S5" i="22"/>
  <c r="T5" i="22"/>
  <c r="T7" i="22"/>
  <c r="S7" i="22"/>
  <c r="S10" i="22"/>
  <c r="U26" i="28"/>
  <c r="U16" i="28"/>
  <c r="U15" i="28"/>
  <c r="T7" i="28"/>
  <c r="T22" i="28"/>
  <c r="S13" i="28"/>
  <c r="T13" i="28"/>
  <c r="S25" i="28"/>
  <c r="S18" i="28"/>
  <c r="S15" i="28"/>
  <c r="T14" i="28"/>
  <c r="S14" i="28"/>
  <c r="S17" i="28"/>
  <c r="U17" i="28"/>
  <c r="T17" i="28"/>
  <c r="U20" i="28"/>
  <c r="T20" i="28"/>
  <c r="S20" i="28"/>
  <c r="T5" i="28"/>
  <c r="S5" i="28"/>
  <c r="U5" i="28"/>
  <c r="S7" i="28"/>
  <c r="S16" i="28"/>
  <c r="T25" i="28"/>
  <c r="T23" i="28"/>
  <c r="S23" i="28"/>
  <c r="U7" i="29"/>
  <c r="S9" i="29"/>
  <c r="S8" i="29"/>
  <c r="S7" i="29"/>
  <c r="T5" i="29"/>
  <c r="S5" i="29"/>
  <c r="S4" i="29"/>
  <c r="U4" i="29"/>
  <c r="T4" i="29"/>
  <c r="U6" i="29"/>
  <c r="T6" i="29"/>
  <c r="S6" i="29"/>
  <c r="S7" i="30"/>
  <c r="U7" i="30"/>
  <c r="J10" i="30"/>
  <c r="U8" i="30"/>
  <c r="S8" i="30"/>
  <c r="U4" i="20"/>
  <c r="S9" i="20"/>
  <c r="U9" i="20"/>
  <c r="U7" i="20"/>
  <c r="T4" i="20"/>
  <c r="N12" i="20"/>
  <c r="T7" i="20"/>
  <c r="J5" i="19"/>
  <c r="U3" i="18"/>
  <c r="T18" i="18"/>
  <c r="U18" i="18"/>
  <c r="U8" i="18"/>
  <c r="U11" i="18"/>
  <c r="T14" i="18"/>
  <c r="T15" i="18"/>
  <c r="S15" i="18"/>
  <c r="U5" i="18"/>
  <c r="T5" i="18"/>
  <c r="T17" i="18"/>
  <c r="U17" i="18"/>
  <c r="S17" i="18"/>
  <c r="T8" i="18"/>
  <c r="T16" i="18"/>
  <c r="U7" i="18"/>
  <c r="U10" i="18"/>
  <c r="S20" i="18"/>
  <c r="T20" i="18"/>
  <c r="S2" i="18"/>
  <c r="U19" i="18"/>
  <c r="T2" i="18"/>
  <c r="S3" i="18"/>
  <c r="S16" i="18"/>
  <c r="S4" i="18"/>
  <c r="T4" i="18"/>
  <c r="S10" i="18"/>
  <c r="S14" i="18"/>
  <c r="S7" i="18"/>
  <c r="T11" i="16"/>
  <c r="S29" i="16"/>
  <c r="T23" i="16"/>
  <c r="U23" i="16"/>
  <c r="S31" i="16"/>
  <c r="U31" i="16"/>
  <c r="U19" i="16"/>
  <c r="S27" i="16"/>
  <c r="U27" i="16"/>
  <c r="S10" i="16"/>
  <c r="T20" i="16"/>
  <c r="U20" i="16"/>
  <c r="S20" i="16"/>
  <c r="U5" i="16"/>
  <c r="T5" i="16"/>
  <c r="S5" i="16"/>
  <c r="T24" i="16"/>
  <c r="U24" i="16"/>
  <c r="S24" i="16"/>
  <c r="T18" i="16"/>
  <c r="S18" i="16"/>
  <c r="S25" i="16"/>
  <c r="T15" i="16"/>
  <c r="U15" i="16"/>
  <c r="T25" i="16"/>
  <c r="J34" i="16"/>
  <c r="T2" i="12"/>
  <c r="U2" i="12"/>
  <c r="J21" i="12"/>
  <c r="S18" i="12"/>
  <c r="S4" i="12"/>
  <c r="T4" i="12"/>
  <c r="S17" i="12"/>
  <c r="T17" i="12"/>
  <c r="U9" i="12"/>
  <c r="S7" i="12"/>
  <c r="U13" i="12"/>
  <c r="U7" i="12"/>
  <c r="S3" i="12"/>
  <c r="S16" i="12"/>
  <c r="U3" i="12"/>
  <c r="S5" i="12"/>
  <c r="T15" i="12"/>
  <c r="U16" i="12"/>
  <c r="T10" i="12"/>
  <c r="T5" i="12"/>
  <c r="U15" i="12"/>
  <c r="U12" i="15"/>
  <c r="T41" i="15"/>
  <c r="S12" i="15"/>
  <c r="U41" i="15"/>
  <c r="T7" i="15"/>
  <c r="S2" i="15"/>
  <c r="S66" i="15"/>
  <c r="U7" i="15"/>
  <c r="T2" i="15"/>
  <c r="S71" i="15"/>
  <c r="T66" i="15"/>
  <c r="T71" i="15"/>
  <c r="S74" i="15"/>
  <c r="T74" i="15"/>
  <c r="T15" i="15"/>
  <c r="S86" i="15"/>
  <c r="T38" i="15"/>
  <c r="S83" i="15"/>
  <c r="T39" i="15"/>
  <c r="S79" i="15"/>
  <c r="U21" i="15"/>
  <c r="U32" i="15"/>
  <c r="S37" i="15"/>
  <c r="S24" i="15"/>
  <c r="S84" i="15"/>
  <c r="U85" i="15"/>
  <c r="T37" i="15"/>
  <c r="T24" i="15"/>
  <c r="U68" i="15"/>
  <c r="S25" i="15"/>
  <c r="T79" i="15"/>
  <c r="T83" i="15"/>
  <c r="T16" i="15"/>
  <c r="T26" i="15"/>
  <c r="U62" i="15"/>
  <c r="S81" i="15"/>
  <c r="T53" i="15"/>
  <c r="T81" i="15"/>
  <c r="S77" i="15"/>
  <c r="S35" i="15"/>
  <c r="T86" i="15"/>
  <c r="T70" i="15"/>
  <c r="U72" i="15"/>
  <c r="T72" i="15"/>
  <c r="S72" i="15"/>
  <c r="U15" i="15"/>
  <c r="T35" i="15"/>
  <c r="S45" i="15"/>
  <c r="T27" i="15"/>
  <c r="U16" i="15"/>
  <c r="S3" i="15"/>
  <c r="U61" i="15"/>
  <c r="T61" i="15"/>
  <c r="S61" i="15"/>
  <c r="U73" i="15"/>
  <c r="T73" i="15"/>
  <c r="S73" i="15"/>
  <c r="T45" i="15"/>
  <c r="U27" i="15"/>
  <c r="T3" i="15"/>
  <c r="S28" i="15"/>
  <c r="T4" i="15"/>
  <c r="T28" i="15"/>
  <c r="T18" i="15"/>
  <c r="U4" i="15"/>
  <c r="S34" i="15"/>
  <c r="T78" i="15"/>
  <c r="U78" i="15"/>
  <c r="S78" i="15"/>
  <c r="U18" i="15"/>
  <c r="S54" i="15"/>
  <c r="T34" i="15"/>
  <c r="U44" i="15"/>
  <c r="T44" i="15"/>
  <c r="S38" i="15"/>
  <c r="T54" i="15"/>
  <c r="U58" i="15"/>
  <c r="T58" i="15"/>
  <c r="T25" i="15"/>
  <c r="U26" i="15"/>
  <c r="S23" i="15"/>
  <c r="U56" i="15"/>
  <c r="T56" i="15"/>
  <c r="S56" i="15"/>
  <c r="S21" i="15"/>
  <c r="T23" i="15"/>
  <c r="S32" i="15"/>
  <c r="U14" i="15"/>
  <c r="T14" i="15"/>
  <c r="S14" i="15"/>
  <c r="U59" i="15"/>
  <c r="T59" i="15"/>
  <c r="S53" i="15"/>
  <c r="S39" i="15"/>
  <c r="S62" i="15"/>
  <c r="T68" i="15"/>
  <c r="U84" i="15"/>
  <c r="U3" i="14"/>
  <c r="U6" i="14"/>
  <c r="U2" i="14"/>
  <c r="J11" i="14"/>
  <c r="T4" i="14"/>
  <c r="S4" i="14"/>
  <c r="T8" i="14"/>
  <c r="U8" i="14"/>
  <c r="S8" i="14"/>
  <c r="U5" i="14"/>
  <c r="S3" i="14"/>
  <c r="X4" i="114"/>
  <c r="J7" i="116"/>
  <c r="J6" i="114"/>
  <c r="L4" i="114"/>
  <c r="N4" i="114"/>
  <c r="J7" i="115"/>
  <c r="L5" i="115"/>
  <c r="X5" i="115"/>
  <c r="W5" i="116"/>
  <c r="X5" i="116"/>
  <c r="W5" i="115"/>
  <c r="W6" i="117"/>
  <c r="L5" i="116"/>
  <c r="N5" i="116"/>
  <c r="S2" i="115"/>
  <c r="U2" i="115"/>
  <c r="J8" i="117"/>
  <c r="N6" i="117"/>
  <c r="N11" i="118"/>
  <c r="X6" i="117"/>
  <c r="J13" i="118"/>
  <c r="S3" i="118"/>
  <c r="U3" i="118"/>
  <c r="T3" i="118"/>
  <c r="L6" i="117"/>
  <c r="W11" i="118"/>
  <c r="X11" i="118"/>
  <c r="L11" i="118"/>
  <c r="L3" i="119"/>
  <c r="U9" i="118"/>
  <c r="U6" i="118"/>
  <c r="T9" i="118"/>
  <c r="U7" i="118"/>
  <c r="N3" i="119"/>
  <c r="X3" i="119"/>
  <c r="J5" i="119"/>
  <c r="W3" i="119"/>
  <c r="J6" i="106"/>
  <c r="L4" i="106"/>
  <c r="N4" i="106"/>
  <c r="W4" i="106"/>
  <c r="X4" i="106"/>
  <c r="T8" i="110"/>
  <c r="S8" i="110"/>
  <c r="U8" i="110"/>
  <c r="J16" i="109"/>
  <c r="W14" i="109"/>
  <c r="U8" i="109"/>
  <c r="T8" i="109"/>
  <c r="S8" i="109"/>
  <c r="S13" i="110"/>
  <c r="U13" i="110"/>
  <c r="T13" i="110"/>
  <c r="U2" i="109"/>
  <c r="S2" i="109"/>
  <c r="T2" i="109"/>
  <c r="N14" i="109"/>
  <c r="U4" i="109"/>
  <c r="T4" i="109"/>
  <c r="S4" i="109"/>
  <c r="S6" i="109"/>
  <c r="T6" i="109"/>
  <c r="V14" i="109"/>
  <c r="U5" i="110"/>
  <c r="T5" i="110"/>
  <c r="S5" i="110"/>
  <c r="N23" i="110"/>
  <c r="T18" i="110"/>
  <c r="U18" i="110"/>
  <c r="L14" i="109"/>
  <c r="X23" i="110"/>
  <c r="L23" i="110"/>
  <c r="T22" i="110"/>
  <c r="U22" i="110"/>
  <c r="S22" i="110"/>
  <c r="T4" i="110"/>
  <c r="U4" i="110"/>
  <c r="S4" i="110"/>
  <c r="T20" i="110"/>
  <c r="U20" i="110"/>
  <c r="W23" i="110"/>
  <c r="U14" i="110"/>
  <c r="S14" i="110"/>
  <c r="T16" i="110"/>
  <c r="T12" i="110"/>
  <c r="S12" i="110"/>
  <c r="T14" i="110"/>
  <c r="U12" i="110"/>
  <c r="T6" i="110"/>
  <c r="S6" i="110"/>
  <c r="U9" i="110"/>
  <c r="J11" i="113"/>
  <c r="W9" i="113"/>
  <c r="X9" i="113"/>
  <c r="L9" i="113"/>
  <c r="N9" i="113"/>
  <c r="U8" i="113"/>
  <c r="S8" i="113"/>
  <c r="S3" i="113"/>
  <c r="T8" i="113"/>
  <c r="T3" i="113"/>
  <c r="U2" i="113"/>
  <c r="T2" i="113"/>
  <c r="S7" i="113"/>
  <c r="U7" i="113"/>
  <c r="T7" i="113"/>
  <c r="T6" i="113"/>
  <c r="S6" i="113"/>
  <c r="U6" i="113"/>
  <c r="N5" i="103"/>
  <c r="U6" i="98"/>
  <c r="T6" i="98"/>
  <c r="S6" i="98"/>
  <c r="W8" i="98"/>
  <c r="X8" i="98"/>
  <c r="J14" i="101"/>
  <c r="T2" i="100"/>
  <c r="U2" i="100"/>
  <c r="S2" i="100"/>
  <c r="L8" i="98"/>
  <c r="N8" i="98"/>
  <c r="U7" i="101"/>
  <c r="T7" i="101"/>
  <c r="J6" i="100"/>
  <c r="W12" i="101"/>
  <c r="X12" i="101"/>
  <c r="U5" i="101"/>
  <c r="T8" i="101"/>
  <c r="S8" i="101"/>
  <c r="U8" i="101"/>
  <c r="U2" i="98"/>
  <c r="S2" i="98"/>
  <c r="T2" i="98"/>
  <c r="J5" i="100"/>
  <c r="L4" i="100"/>
  <c r="T3" i="100"/>
  <c r="S3" i="100"/>
  <c r="U3" i="100"/>
  <c r="J10" i="98"/>
  <c r="W4" i="100"/>
  <c r="X4" i="100"/>
  <c r="L12" i="101"/>
  <c r="N12" i="101"/>
  <c r="J7" i="103"/>
  <c r="U3" i="101"/>
  <c r="T3" i="101"/>
  <c r="S3" i="101"/>
  <c r="N4" i="100"/>
  <c r="L5" i="103"/>
  <c r="X5" i="103"/>
  <c r="J6" i="103"/>
  <c r="S2" i="103"/>
  <c r="W5" i="103"/>
  <c r="U3" i="90"/>
  <c r="S3" i="90"/>
  <c r="T3" i="90"/>
  <c r="J6" i="90"/>
  <c r="L4" i="90"/>
  <c r="N4" i="90"/>
  <c r="W4" i="90"/>
  <c r="J5" i="91"/>
  <c r="X4" i="90"/>
  <c r="L3" i="91"/>
  <c r="W3" i="91"/>
  <c r="X3" i="91"/>
  <c r="T2" i="90"/>
  <c r="N3" i="91"/>
  <c r="J6" i="92"/>
  <c r="J5" i="90"/>
  <c r="J5" i="92"/>
  <c r="X4" i="92"/>
  <c r="U2" i="91"/>
  <c r="T2" i="91"/>
  <c r="N4" i="95"/>
  <c r="U2" i="92"/>
  <c r="S2" i="92"/>
  <c r="T2" i="92"/>
  <c r="L4" i="92"/>
  <c r="L4" i="94"/>
  <c r="W4" i="92"/>
  <c r="N3" i="96"/>
  <c r="N4" i="92"/>
  <c r="N4" i="94"/>
  <c r="X4" i="94"/>
  <c r="W4" i="94"/>
  <c r="L4" i="95"/>
  <c r="J5" i="96"/>
  <c r="J5" i="95"/>
  <c r="X3" i="96"/>
  <c r="W3" i="96"/>
  <c r="S2" i="95"/>
  <c r="U2" i="95"/>
  <c r="X4" i="95"/>
  <c r="J6" i="94"/>
  <c r="W4" i="95"/>
  <c r="L3" i="96"/>
  <c r="U3" i="95"/>
  <c r="S3" i="95"/>
  <c r="X4" i="84"/>
  <c r="J5" i="83"/>
  <c r="N4" i="84"/>
  <c r="L3" i="83"/>
  <c r="W3" i="83"/>
  <c r="X3" i="83"/>
  <c r="S2" i="83"/>
  <c r="T2" i="83"/>
  <c r="X7" i="85"/>
  <c r="W4" i="84"/>
  <c r="W7" i="85"/>
  <c r="J6" i="84"/>
  <c r="L4" i="84"/>
  <c r="U3" i="84"/>
  <c r="T3" i="84"/>
  <c r="S3" i="84"/>
  <c r="U2" i="84"/>
  <c r="N7" i="85"/>
  <c r="L7" i="85"/>
  <c r="J9" i="85"/>
  <c r="W5" i="87"/>
  <c r="L14" i="86"/>
  <c r="J16" i="86"/>
  <c r="N14" i="86"/>
  <c r="J8" i="85"/>
  <c r="X14" i="86"/>
  <c r="W14" i="86"/>
  <c r="U9" i="86"/>
  <c r="T9" i="86"/>
  <c r="S9" i="86"/>
  <c r="U8" i="86"/>
  <c r="S8" i="86"/>
  <c r="N5" i="87"/>
  <c r="T8" i="86"/>
  <c r="T3" i="86"/>
  <c r="S4" i="86"/>
  <c r="T4" i="86"/>
  <c r="S2" i="86"/>
  <c r="U2" i="87"/>
  <c r="T2" i="87"/>
  <c r="S2" i="87"/>
  <c r="L5" i="87"/>
  <c r="W15" i="88"/>
  <c r="X15" i="88"/>
  <c r="J7" i="87"/>
  <c r="J17" i="88"/>
  <c r="T14" i="88"/>
  <c r="S14" i="88"/>
  <c r="U14" i="88"/>
  <c r="J6" i="87"/>
  <c r="U3" i="88"/>
  <c r="T3" i="88"/>
  <c r="S3" i="88"/>
  <c r="U3" i="87"/>
  <c r="S3" i="87"/>
  <c r="T3" i="87"/>
  <c r="X5" i="87"/>
  <c r="T11" i="88"/>
  <c r="S11" i="88"/>
  <c r="S9" i="88"/>
  <c r="T9" i="88"/>
  <c r="U9" i="88"/>
  <c r="U2" i="88"/>
  <c r="T2" i="88"/>
  <c r="U11" i="88"/>
  <c r="N15" i="88"/>
  <c r="S2" i="88"/>
  <c r="S6" i="88"/>
  <c r="U6" i="88"/>
  <c r="L15" i="88"/>
  <c r="U10" i="88"/>
  <c r="S10" i="88"/>
  <c r="T4" i="88"/>
  <c r="S4" i="88"/>
  <c r="T12" i="88"/>
  <c r="S12" i="88"/>
  <c r="X10" i="63"/>
  <c r="U8" i="63"/>
  <c r="W10" i="63"/>
  <c r="L25" i="65"/>
  <c r="S9" i="64"/>
  <c r="S13" i="64"/>
  <c r="N5" i="68"/>
  <c r="S7" i="63"/>
  <c r="S7" i="64"/>
  <c r="T9" i="64"/>
  <c r="T13" i="64"/>
  <c r="T7" i="63"/>
  <c r="T7" i="64"/>
  <c r="J26" i="66"/>
  <c r="J17" i="64"/>
  <c r="N25" i="65"/>
  <c r="U12" i="65"/>
  <c r="T12" i="65"/>
  <c r="S12" i="65"/>
  <c r="U2" i="65"/>
  <c r="T2" i="65"/>
  <c r="S2" i="65"/>
  <c r="L24" i="66"/>
  <c r="T8" i="64"/>
  <c r="S8" i="64"/>
  <c r="U8" i="66"/>
  <c r="T8" i="66"/>
  <c r="S8" i="66"/>
  <c r="S6" i="63"/>
  <c r="S3" i="63"/>
  <c r="L15" i="64"/>
  <c r="T11" i="64"/>
  <c r="S11" i="64"/>
  <c r="T14" i="64"/>
  <c r="S14" i="64"/>
  <c r="U7" i="65"/>
  <c r="T7" i="65"/>
  <c r="S7" i="65"/>
  <c r="N24" i="66"/>
  <c r="U16" i="66"/>
  <c r="T16" i="66"/>
  <c r="S16" i="66"/>
  <c r="T6" i="63"/>
  <c r="T3" i="63"/>
  <c r="N15" i="64"/>
  <c r="W25" i="65"/>
  <c r="S5" i="63"/>
  <c r="S3" i="64"/>
  <c r="U11" i="64"/>
  <c r="S6" i="64"/>
  <c r="U14" i="64"/>
  <c r="X25" i="65"/>
  <c r="U4" i="65"/>
  <c r="T4" i="65"/>
  <c r="U16" i="65"/>
  <c r="T16" i="65"/>
  <c r="S5" i="64"/>
  <c r="T3" i="64"/>
  <c r="S2" i="64"/>
  <c r="S4" i="64"/>
  <c r="T6" i="64"/>
  <c r="U10" i="65"/>
  <c r="T10" i="65"/>
  <c r="U9" i="65"/>
  <c r="T9" i="65"/>
  <c r="U20" i="65"/>
  <c r="T20" i="65"/>
  <c r="S8" i="63"/>
  <c r="U5" i="64"/>
  <c r="T2" i="64"/>
  <c r="T4" i="64"/>
  <c r="S4" i="65"/>
  <c r="S16" i="65"/>
  <c r="U4" i="66"/>
  <c r="T4" i="66"/>
  <c r="S4" i="66"/>
  <c r="W24" i="66"/>
  <c r="X24" i="66"/>
  <c r="U4" i="67"/>
  <c r="T4" i="67"/>
  <c r="S4" i="67"/>
  <c r="S19" i="65"/>
  <c r="S15" i="65"/>
  <c r="S17" i="65"/>
  <c r="J27" i="65"/>
  <c r="J8" i="67"/>
  <c r="S13" i="65"/>
  <c r="T13" i="65"/>
  <c r="U3" i="66"/>
  <c r="T3" i="66"/>
  <c r="S3" i="66"/>
  <c r="U14" i="66"/>
  <c r="U22" i="66"/>
  <c r="U12" i="66"/>
  <c r="S6" i="66"/>
  <c r="S7" i="66"/>
  <c r="S13" i="66"/>
  <c r="S18" i="66"/>
  <c r="L6" i="67"/>
  <c r="N6" i="67"/>
  <c r="W6" i="67"/>
  <c r="S5" i="67"/>
  <c r="U7" i="69"/>
  <c r="T7" i="69"/>
  <c r="S7" i="69"/>
  <c r="S14" i="66"/>
  <c r="S22" i="66"/>
  <c r="S12" i="66"/>
  <c r="X6" i="67"/>
  <c r="J14" i="69"/>
  <c r="N4" i="70"/>
  <c r="J7" i="68"/>
  <c r="L5" i="68"/>
  <c r="W12" i="69"/>
  <c r="X12" i="69"/>
  <c r="U5" i="69"/>
  <c r="T5" i="69"/>
  <c r="S5" i="69"/>
  <c r="U4" i="68"/>
  <c r="S4" i="68"/>
  <c r="W5" i="68"/>
  <c r="X5" i="68"/>
  <c r="J6" i="70"/>
  <c r="W4" i="70"/>
  <c r="X4" i="70"/>
  <c r="T8" i="69"/>
  <c r="U10" i="69"/>
  <c r="T6" i="69"/>
  <c r="U8" i="69"/>
  <c r="L12" i="69"/>
  <c r="T2" i="69"/>
  <c r="U4" i="69"/>
  <c r="J6" i="71"/>
  <c r="L4" i="70"/>
  <c r="X4" i="71"/>
  <c r="W4" i="71"/>
  <c r="L4" i="71"/>
  <c r="S2" i="70"/>
  <c r="U2" i="70"/>
  <c r="N4" i="71"/>
  <c r="U2" i="71"/>
  <c r="T2" i="71"/>
  <c r="S2" i="71"/>
  <c r="U7" i="77"/>
  <c r="S7" i="77"/>
  <c r="T7" i="77"/>
  <c r="T4" i="75"/>
  <c r="S4" i="75"/>
  <c r="U4" i="75"/>
  <c r="L6" i="75"/>
  <c r="N6" i="75"/>
  <c r="W6" i="75"/>
  <c r="U6" i="76"/>
  <c r="S6" i="76"/>
  <c r="T6" i="76"/>
  <c r="X6" i="75"/>
  <c r="J20" i="76"/>
  <c r="N18" i="76"/>
  <c r="W7" i="80"/>
  <c r="X7" i="80"/>
  <c r="T3" i="75"/>
  <c r="S3" i="75"/>
  <c r="W10" i="77"/>
  <c r="X10" i="77"/>
  <c r="J8" i="75"/>
  <c r="U6" i="77"/>
  <c r="T6" i="77"/>
  <c r="J12" i="77"/>
  <c r="S5" i="75"/>
  <c r="L18" i="76"/>
  <c r="J6" i="78"/>
  <c r="X18" i="76"/>
  <c r="W18" i="76"/>
  <c r="S3" i="76"/>
  <c r="U3" i="76"/>
  <c r="S11" i="76"/>
  <c r="U11" i="76"/>
  <c r="S2" i="77"/>
  <c r="U2" i="77"/>
  <c r="U3" i="77"/>
  <c r="T3" i="77"/>
  <c r="S3" i="77"/>
  <c r="N4" i="78"/>
  <c r="S12" i="76"/>
  <c r="S9" i="76"/>
  <c r="U4" i="76"/>
  <c r="T5" i="76"/>
  <c r="N10" i="77"/>
  <c r="L10" i="77"/>
  <c r="T9" i="76"/>
  <c r="S16" i="76"/>
  <c r="X4" i="78"/>
  <c r="W4" i="78"/>
  <c r="J11" i="77"/>
  <c r="L4" i="78"/>
  <c r="J9" i="80"/>
  <c r="W3" i="79"/>
  <c r="J5" i="79"/>
  <c r="N3" i="79"/>
  <c r="X3" i="79"/>
  <c r="L7" i="80"/>
  <c r="N7" i="80"/>
  <c r="L3" i="79"/>
  <c r="T5" i="80"/>
  <c r="U5" i="80"/>
  <c r="X5" i="51"/>
  <c r="N5" i="51"/>
  <c r="J7" i="51"/>
  <c r="U3" i="52"/>
  <c r="T3" i="52"/>
  <c r="S3" i="52"/>
  <c r="T9" i="52"/>
  <c r="U9" i="52"/>
  <c r="S9" i="52"/>
  <c r="W7" i="53"/>
  <c r="U4" i="51"/>
  <c r="T4" i="51"/>
  <c r="W5" i="51"/>
  <c r="U5" i="52"/>
  <c r="S5" i="52"/>
  <c r="T5" i="52"/>
  <c r="J15" i="52"/>
  <c r="U10" i="52"/>
  <c r="T10" i="52"/>
  <c r="L5" i="51"/>
  <c r="N13" i="52"/>
  <c r="W4" i="54"/>
  <c r="X13" i="52"/>
  <c r="W13" i="52"/>
  <c r="U11" i="52"/>
  <c r="T11" i="52"/>
  <c r="S11" i="52"/>
  <c r="N7" i="53"/>
  <c r="S2" i="51"/>
  <c r="T2" i="51"/>
  <c r="L13" i="52"/>
  <c r="U3" i="53"/>
  <c r="S3" i="53"/>
  <c r="J9" i="53"/>
  <c r="L7" i="53"/>
  <c r="T7" i="52"/>
  <c r="S2" i="52"/>
  <c r="U7" i="52"/>
  <c r="T2" i="52"/>
  <c r="T6" i="52"/>
  <c r="U6" i="52"/>
  <c r="U6" i="53"/>
  <c r="S6" i="53"/>
  <c r="T6" i="53"/>
  <c r="X4" i="54"/>
  <c r="L5" i="55"/>
  <c r="J6" i="54"/>
  <c r="N4" i="54"/>
  <c r="X7" i="53"/>
  <c r="S4" i="53"/>
  <c r="T4" i="53"/>
  <c r="J7" i="55"/>
  <c r="T4" i="55"/>
  <c r="S4" i="55"/>
  <c r="U4" i="55"/>
  <c r="X5" i="55"/>
  <c r="L4" i="54"/>
  <c r="N7" i="56"/>
  <c r="X7" i="56"/>
  <c r="W7" i="56"/>
  <c r="L4" i="57"/>
  <c r="W5" i="55"/>
  <c r="S2" i="57"/>
  <c r="U2" i="57"/>
  <c r="U2" i="54"/>
  <c r="J6" i="57"/>
  <c r="T2" i="56"/>
  <c r="S2" i="56"/>
  <c r="J9" i="56"/>
  <c r="N4" i="57"/>
  <c r="L7" i="56"/>
  <c r="W4" i="57"/>
  <c r="J11" i="58"/>
  <c r="S3" i="56"/>
  <c r="T3" i="56"/>
  <c r="S4" i="56"/>
  <c r="N9" i="58"/>
  <c r="W6" i="59"/>
  <c r="X6" i="59"/>
  <c r="W9" i="58"/>
  <c r="X9" i="58"/>
  <c r="S3" i="57"/>
  <c r="U4" i="59"/>
  <c r="S4" i="59"/>
  <c r="T4" i="59"/>
  <c r="T3" i="59"/>
  <c r="S3" i="59"/>
  <c r="U3" i="59"/>
  <c r="L9" i="58"/>
  <c r="J8" i="59"/>
  <c r="J7" i="60"/>
  <c r="L6" i="59"/>
  <c r="U3" i="60"/>
  <c r="T3" i="60"/>
  <c r="S3" i="60"/>
  <c r="N12" i="61"/>
  <c r="N5" i="60"/>
  <c r="N6" i="59"/>
  <c r="S5" i="59"/>
  <c r="X12" i="61"/>
  <c r="S8" i="61"/>
  <c r="U8" i="61"/>
  <c r="T8" i="61"/>
  <c r="J7" i="59"/>
  <c r="L5" i="60"/>
  <c r="X5" i="60"/>
  <c r="W5" i="60"/>
  <c r="W12" i="61"/>
  <c r="U7" i="61"/>
  <c r="S7" i="61"/>
  <c r="T7" i="61"/>
  <c r="L12" i="61"/>
  <c r="T2" i="61"/>
  <c r="S2" i="61"/>
  <c r="U11" i="61"/>
  <c r="T11" i="61"/>
  <c r="S11" i="61"/>
  <c r="W6" i="62"/>
  <c r="X6" i="62"/>
  <c r="U4" i="61"/>
  <c r="T4" i="61"/>
  <c r="S4" i="61"/>
  <c r="J14" i="61"/>
  <c r="T5" i="61"/>
  <c r="S5" i="61"/>
  <c r="T10" i="61"/>
  <c r="S10" i="61"/>
  <c r="L6" i="62"/>
  <c r="J8" i="62"/>
  <c r="U5" i="62"/>
  <c r="S5" i="62"/>
  <c r="N6" i="62"/>
  <c r="T5" i="62"/>
  <c r="U24" i="38"/>
  <c r="T24" i="38"/>
  <c r="T3" i="39"/>
  <c r="S3" i="39"/>
  <c r="U3" i="39"/>
  <c r="U27" i="38"/>
  <c r="S27" i="38"/>
  <c r="S24" i="38"/>
  <c r="J52" i="38"/>
  <c r="U12" i="39"/>
  <c r="T12" i="39"/>
  <c r="S12" i="39"/>
  <c r="L6" i="40"/>
  <c r="L50" i="38"/>
  <c r="T27" i="38"/>
  <c r="N50" i="38"/>
  <c r="U28" i="38"/>
  <c r="T28" i="38"/>
  <c r="S28" i="38"/>
  <c r="J15" i="39"/>
  <c r="L13" i="39"/>
  <c r="U8" i="38"/>
  <c r="T8" i="38"/>
  <c r="S8" i="38"/>
  <c r="U36" i="38"/>
  <c r="T36" i="38"/>
  <c r="S36" i="38"/>
  <c r="N13" i="39"/>
  <c r="W50" i="38"/>
  <c r="X50" i="38"/>
  <c r="S11" i="38"/>
  <c r="T11" i="38"/>
  <c r="U3" i="38"/>
  <c r="T3" i="38"/>
  <c r="U40" i="38"/>
  <c r="T40" i="38"/>
  <c r="S40" i="38"/>
  <c r="T6" i="39"/>
  <c r="S6" i="39"/>
  <c r="J51" i="38"/>
  <c r="U10" i="39"/>
  <c r="T10" i="39"/>
  <c r="T14" i="38"/>
  <c r="S10" i="38"/>
  <c r="W13" i="39"/>
  <c r="X13" i="39"/>
  <c r="S10" i="39"/>
  <c r="U32" i="38"/>
  <c r="T32" i="38"/>
  <c r="S32" i="38"/>
  <c r="S47" i="38"/>
  <c r="T30" i="38"/>
  <c r="S45" i="38"/>
  <c r="T47" i="38"/>
  <c r="S2" i="39"/>
  <c r="S9" i="39"/>
  <c r="U18" i="38"/>
  <c r="T18" i="38"/>
  <c r="S18" i="38"/>
  <c r="U30" i="38"/>
  <c r="S38" i="38"/>
  <c r="T45" i="38"/>
  <c r="U2" i="39"/>
  <c r="U9" i="39"/>
  <c r="W6" i="40"/>
  <c r="T9" i="38"/>
  <c r="S26" i="38"/>
  <c r="T38" i="38"/>
  <c r="T5" i="39"/>
  <c r="S5" i="39"/>
  <c r="S7" i="39"/>
  <c r="U35" i="38"/>
  <c r="T35" i="38"/>
  <c r="S35" i="38"/>
  <c r="U9" i="38"/>
  <c r="T26" i="38"/>
  <c r="U5" i="39"/>
  <c r="J8" i="40"/>
  <c r="X6" i="40"/>
  <c r="N4" i="41"/>
  <c r="S4" i="40"/>
  <c r="N6" i="40"/>
  <c r="W6" i="42"/>
  <c r="X6" i="42"/>
  <c r="J6" i="41"/>
  <c r="N6" i="42"/>
  <c r="U5" i="40"/>
  <c r="W4" i="41"/>
  <c r="X4" i="41"/>
  <c r="X4" i="43"/>
  <c r="L4" i="41"/>
  <c r="S2" i="41"/>
  <c r="J8" i="42"/>
  <c r="U5" i="42"/>
  <c r="T5" i="42"/>
  <c r="S5" i="42"/>
  <c r="L4" i="43"/>
  <c r="N4" i="43"/>
  <c r="W4" i="43"/>
  <c r="L6" i="42"/>
  <c r="J6" i="43"/>
  <c r="W17" i="44"/>
  <c r="X17" i="44"/>
  <c r="L17" i="44"/>
  <c r="T10" i="44"/>
  <c r="S10" i="44"/>
  <c r="U10" i="44"/>
  <c r="L3" i="45"/>
  <c r="U6" i="44"/>
  <c r="T6" i="44"/>
  <c r="W3" i="45"/>
  <c r="X3" i="45"/>
  <c r="J14" i="46"/>
  <c r="J19" i="44"/>
  <c r="T5" i="44"/>
  <c r="S5" i="44"/>
  <c r="U5" i="44"/>
  <c r="N17" i="44"/>
  <c r="U14" i="44"/>
  <c r="T14" i="44"/>
  <c r="T3" i="44"/>
  <c r="S3" i="44"/>
  <c r="T11" i="44"/>
  <c r="S11" i="44"/>
  <c r="T8" i="44"/>
  <c r="S14" i="44"/>
  <c r="U3" i="44"/>
  <c r="N3" i="45"/>
  <c r="T13" i="44"/>
  <c r="S13" i="44"/>
  <c r="J5" i="45"/>
  <c r="W28" i="47"/>
  <c r="X28" i="47"/>
  <c r="S2" i="45"/>
  <c r="U2" i="45"/>
  <c r="W12" i="46"/>
  <c r="X12" i="46"/>
  <c r="T6" i="46"/>
  <c r="S6" i="46"/>
  <c r="U6" i="46"/>
  <c r="L28" i="47"/>
  <c r="L12" i="46"/>
  <c r="U10" i="46"/>
  <c r="T10" i="46"/>
  <c r="S10" i="46"/>
  <c r="N12" i="46"/>
  <c r="T4" i="46"/>
  <c r="S4" i="46"/>
  <c r="U3" i="46"/>
  <c r="S3" i="46"/>
  <c r="T3" i="46"/>
  <c r="U4" i="46"/>
  <c r="T7" i="48"/>
  <c r="S7" i="48"/>
  <c r="U7" i="48"/>
  <c r="S24" i="47"/>
  <c r="T24" i="47"/>
  <c r="U24" i="47"/>
  <c r="U22" i="47"/>
  <c r="S22" i="47"/>
  <c r="T22" i="47"/>
  <c r="L9" i="48"/>
  <c r="S26" i="47"/>
  <c r="U26" i="47"/>
  <c r="T18" i="47"/>
  <c r="S18" i="47"/>
  <c r="S17" i="47"/>
  <c r="U17" i="47"/>
  <c r="T15" i="47"/>
  <c r="U15" i="47"/>
  <c r="S15" i="47"/>
  <c r="T17" i="47"/>
  <c r="U23" i="47"/>
  <c r="S23" i="47"/>
  <c r="J30" i="47"/>
  <c r="U16" i="47"/>
  <c r="U19" i="47"/>
  <c r="T21" i="47"/>
  <c r="N28" i="47"/>
  <c r="J11" i="48"/>
  <c r="X9" i="48"/>
  <c r="U4" i="48"/>
  <c r="T4" i="48"/>
  <c r="T3" i="48"/>
  <c r="U3" i="48"/>
  <c r="S3" i="48"/>
  <c r="N6" i="49"/>
  <c r="N9" i="48"/>
  <c r="W9" i="48"/>
  <c r="W6" i="49"/>
  <c r="T2" i="49"/>
  <c r="U2" i="49"/>
  <c r="S2" i="49"/>
  <c r="J8" i="49"/>
  <c r="N7" i="50"/>
  <c r="L6" i="49"/>
  <c r="J7" i="49"/>
  <c r="U4" i="49"/>
  <c r="S4" i="49"/>
  <c r="T4" i="49"/>
  <c r="X6" i="49"/>
  <c r="J9" i="50"/>
  <c r="X7" i="50"/>
  <c r="W7" i="50"/>
  <c r="X27" i="28"/>
  <c r="L10" i="29"/>
  <c r="J29" i="28"/>
  <c r="U2" i="28"/>
  <c r="T2" i="28"/>
  <c r="S2" i="28"/>
  <c r="L27" i="28"/>
  <c r="O29" i="28" s="1"/>
  <c r="T21" i="28"/>
  <c r="U21" i="28"/>
  <c r="W9" i="30"/>
  <c r="X9" i="30"/>
  <c r="N27" i="28"/>
  <c r="W27" i="28"/>
  <c r="U12" i="28"/>
  <c r="T12" i="28"/>
  <c r="S12" i="28"/>
  <c r="W10" i="29"/>
  <c r="X10" i="29"/>
  <c r="T10" i="28"/>
  <c r="S10" i="28"/>
  <c r="U5" i="30"/>
  <c r="T5" i="30"/>
  <c r="S5" i="30"/>
  <c r="S19" i="28"/>
  <c r="T19" i="28"/>
  <c r="U19" i="28"/>
  <c r="N10" i="29"/>
  <c r="U2" i="29"/>
  <c r="S2" i="29"/>
  <c r="T2" i="29"/>
  <c r="T24" i="28"/>
  <c r="S24" i="28"/>
  <c r="T8" i="28"/>
  <c r="S8" i="28"/>
  <c r="T9" i="28"/>
  <c r="S9" i="28"/>
  <c r="U3" i="28"/>
  <c r="T3" i="28"/>
  <c r="S3" i="28"/>
  <c r="U9" i="28"/>
  <c r="S4" i="28"/>
  <c r="U4" i="28"/>
  <c r="T4" i="28"/>
  <c r="L9" i="30"/>
  <c r="U6" i="28"/>
  <c r="T6" i="28"/>
  <c r="S6" i="28"/>
  <c r="T6" i="30"/>
  <c r="S6" i="30"/>
  <c r="U6" i="30"/>
  <c r="U14" i="28"/>
  <c r="J11" i="30"/>
  <c r="T4" i="30"/>
  <c r="U4" i="30"/>
  <c r="S4" i="30"/>
  <c r="J12" i="29"/>
  <c r="U5" i="29"/>
  <c r="U8" i="29"/>
  <c r="U9" i="29"/>
  <c r="T3" i="29"/>
  <c r="S3" i="29"/>
  <c r="N9" i="30"/>
  <c r="L5" i="32"/>
  <c r="X5" i="36"/>
  <c r="U2" i="34"/>
  <c r="S2" i="34"/>
  <c r="T2" i="34"/>
  <c r="J57" i="34"/>
  <c r="U2" i="32"/>
  <c r="S2" i="32"/>
  <c r="T2" i="32"/>
  <c r="T24" i="34"/>
  <c r="S24" i="34"/>
  <c r="U51" i="34"/>
  <c r="S51" i="34"/>
  <c r="X5" i="32"/>
  <c r="N5" i="32"/>
  <c r="W55" i="34"/>
  <c r="X55" i="34"/>
  <c r="J7" i="36"/>
  <c r="U34" i="34"/>
  <c r="S34" i="34"/>
  <c r="T34" i="34"/>
  <c r="W5" i="32"/>
  <c r="U31" i="34"/>
  <c r="S31" i="34"/>
  <c r="T31" i="34"/>
  <c r="J7" i="32"/>
  <c r="S4" i="32"/>
  <c r="U3" i="34"/>
  <c r="S3" i="34"/>
  <c r="T3" i="34"/>
  <c r="T5" i="34"/>
  <c r="U5" i="34"/>
  <c r="S5" i="34"/>
  <c r="U11" i="34"/>
  <c r="T11" i="34"/>
  <c r="S11" i="34"/>
  <c r="L55" i="34"/>
  <c r="U18" i="34"/>
  <c r="S18" i="34"/>
  <c r="T48" i="34"/>
  <c r="S48" i="34"/>
  <c r="N55" i="34"/>
  <c r="U32" i="34"/>
  <c r="S32" i="34"/>
  <c r="S25" i="34"/>
  <c r="T33" i="34"/>
  <c r="S33" i="34"/>
  <c r="T49" i="34"/>
  <c r="U49" i="34"/>
  <c r="S49" i="34"/>
  <c r="U19" i="34"/>
  <c r="S19" i="34"/>
  <c r="U41" i="34"/>
  <c r="S41" i="34"/>
  <c r="U9" i="34"/>
  <c r="S9" i="34"/>
  <c r="S50" i="34"/>
  <c r="T41" i="34"/>
  <c r="U47" i="34"/>
  <c r="S47" i="34"/>
  <c r="T47" i="34"/>
  <c r="U2" i="36"/>
  <c r="S2" i="36"/>
  <c r="W5" i="36"/>
  <c r="U27" i="34"/>
  <c r="S27" i="34"/>
  <c r="S6" i="34"/>
  <c r="T27" i="34"/>
  <c r="S45" i="34"/>
  <c r="U29" i="34"/>
  <c r="S29" i="34"/>
  <c r="N5" i="36"/>
  <c r="S13" i="34"/>
  <c r="T29" i="34"/>
  <c r="U39" i="34"/>
  <c r="S39" i="34"/>
  <c r="L5" i="36"/>
  <c r="J6" i="36"/>
  <c r="W11" i="22"/>
  <c r="J13" i="22"/>
  <c r="L12" i="20"/>
  <c r="O14" i="20" s="1"/>
  <c r="X12" i="20"/>
  <c r="U4" i="22"/>
  <c r="T4" i="22"/>
  <c r="S4" i="22"/>
  <c r="S11" i="20"/>
  <c r="S10" i="20"/>
  <c r="J14" i="20"/>
  <c r="T5" i="20"/>
  <c r="U11" i="20"/>
  <c r="L12" i="27"/>
  <c r="O14" i="27" s="1"/>
  <c r="S6" i="20"/>
  <c r="U6" i="20"/>
  <c r="T6" i="20"/>
  <c r="L34" i="24"/>
  <c r="U5" i="20"/>
  <c r="W12" i="20"/>
  <c r="N11" i="22"/>
  <c r="U9" i="22"/>
  <c r="T9" i="22"/>
  <c r="S9" i="22"/>
  <c r="U8" i="20"/>
  <c r="T8" i="20"/>
  <c r="X11" i="22"/>
  <c r="T10" i="20"/>
  <c r="S2" i="26"/>
  <c r="U2" i="26"/>
  <c r="T2" i="26"/>
  <c r="W34" i="24"/>
  <c r="X34" i="24"/>
  <c r="L11" i="22"/>
  <c r="J36" i="24"/>
  <c r="U31" i="24"/>
  <c r="T31" i="24"/>
  <c r="S31" i="24"/>
  <c r="S2" i="22"/>
  <c r="U2" i="22"/>
  <c r="T2" i="22"/>
  <c r="S8" i="22"/>
  <c r="T8" i="22"/>
  <c r="U2" i="24"/>
  <c r="T2" i="24"/>
  <c r="S2" i="24"/>
  <c r="T3" i="24"/>
  <c r="U3" i="24"/>
  <c r="S3" i="24"/>
  <c r="T27" i="24"/>
  <c r="S27" i="24"/>
  <c r="U27" i="24"/>
  <c r="U6" i="25"/>
  <c r="T6" i="25"/>
  <c r="T10" i="24"/>
  <c r="U10" i="24"/>
  <c r="N23" i="25"/>
  <c r="U22" i="25"/>
  <c r="T22" i="25"/>
  <c r="S22" i="25"/>
  <c r="U33" i="24"/>
  <c r="T33" i="24"/>
  <c r="U14" i="25"/>
  <c r="T14" i="25"/>
  <c r="S14" i="25"/>
  <c r="T14" i="24"/>
  <c r="S14" i="24"/>
  <c r="X23" i="25"/>
  <c r="T12" i="24"/>
  <c r="S12" i="24"/>
  <c r="U7" i="24"/>
  <c r="T7" i="24"/>
  <c r="U14" i="24"/>
  <c r="T15" i="24"/>
  <c r="N34" i="24"/>
  <c r="U9" i="25"/>
  <c r="T9" i="25"/>
  <c r="S9" i="25"/>
  <c r="T5" i="25"/>
  <c r="U5" i="25"/>
  <c r="T12" i="25"/>
  <c r="S12" i="25"/>
  <c r="T5" i="24"/>
  <c r="U5" i="24"/>
  <c r="S5" i="24"/>
  <c r="T28" i="24"/>
  <c r="S5" i="25"/>
  <c r="U12" i="25"/>
  <c r="W8" i="26"/>
  <c r="X8" i="26"/>
  <c r="U5" i="26"/>
  <c r="T5" i="26"/>
  <c r="U7" i="25"/>
  <c r="T7" i="25"/>
  <c r="S7" i="25"/>
  <c r="W23" i="25"/>
  <c r="J10" i="26"/>
  <c r="S4" i="26"/>
  <c r="T4" i="26"/>
  <c r="J25" i="25"/>
  <c r="L23" i="25"/>
  <c r="S2" i="25"/>
  <c r="U2" i="25"/>
  <c r="T2" i="25"/>
  <c r="S18" i="25"/>
  <c r="U18" i="25"/>
  <c r="T18" i="25"/>
  <c r="T13" i="25"/>
  <c r="U13" i="25"/>
  <c r="L8" i="26"/>
  <c r="U20" i="25"/>
  <c r="T7" i="26"/>
  <c r="S7" i="26"/>
  <c r="N8" i="26"/>
  <c r="N12" i="27"/>
  <c r="T8" i="27"/>
  <c r="S8" i="27"/>
  <c r="U8" i="27"/>
  <c r="J14" i="27"/>
  <c r="W12" i="27"/>
  <c r="X12" i="27"/>
  <c r="T5" i="27"/>
  <c r="S5" i="27"/>
  <c r="S3" i="27"/>
  <c r="U3" i="27"/>
  <c r="U5" i="27"/>
  <c r="U10" i="27"/>
  <c r="S10" i="27"/>
  <c r="T21" i="16"/>
  <c r="U21" i="16"/>
  <c r="S21" i="16"/>
  <c r="T26" i="16"/>
  <c r="U26" i="16"/>
  <c r="T14" i="16"/>
  <c r="U14" i="16"/>
  <c r="S14" i="16"/>
  <c r="W33" i="16"/>
  <c r="J24" i="18"/>
  <c r="X33" i="16"/>
  <c r="U12" i="16"/>
  <c r="T12" i="16"/>
  <c r="U8" i="16"/>
  <c r="T8" i="16"/>
  <c r="J35" i="16"/>
  <c r="L33" i="16"/>
  <c r="S17" i="16"/>
  <c r="S6" i="16"/>
  <c r="U17" i="16"/>
  <c r="T30" i="16"/>
  <c r="T4" i="16"/>
  <c r="T6" i="16"/>
  <c r="U30" i="16"/>
  <c r="S22" i="16"/>
  <c r="S22" i="18"/>
  <c r="U4" i="16"/>
  <c r="S16" i="16"/>
  <c r="S13" i="16"/>
  <c r="T22" i="16"/>
  <c r="S28" i="16"/>
  <c r="S32" i="16"/>
  <c r="T22" i="18"/>
  <c r="U16" i="16"/>
  <c r="T13" i="16"/>
  <c r="U28" i="16"/>
  <c r="T32" i="16"/>
  <c r="T6" i="18"/>
  <c r="U6" i="18"/>
  <c r="S6" i="18"/>
  <c r="S9" i="16"/>
  <c r="U9" i="18"/>
  <c r="T9" i="18"/>
  <c r="S9" i="18"/>
  <c r="T7" i="16"/>
  <c r="U7" i="16"/>
  <c r="S19" i="16"/>
  <c r="N33" i="16"/>
  <c r="L23" i="18"/>
  <c r="X23" i="18"/>
  <c r="W23" i="18"/>
  <c r="X4" i="19"/>
  <c r="U21" i="18"/>
  <c r="S21" i="18"/>
  <c r="J25" i="18"/>
  <c r="T21" i="18"/>
  <c r="N23" i="18"/>
  <c r="U13" i="18"/>
  <c r="S13" i="18"/>
  <c r="T12" i="18"/>
  <c r="S12" i="18"/>
  <c r="T19" i="18"/>
  <c r="T13" i="18"/>
  <c r="S5" i="18"/>
  <c r="T11" i="18"/>
  <c r="L4" i="19"/>
  <c r="U15" i="18"/>
  <c r="S2" i="19"/>
  <c r="U2" i="19"/>
  <c r="W4" i="19"/>
  <c r="J6" i="19"/>
  <c r="T3" i="19"/>
  <c r="U3" i="19"/>
  <c r="N4" i="19"/>
  <c r="S3" i="19"/>
  <c r="S48" i="15"/>
  <c r="T48" i="15"/>
  <c r="U48" i="15"/>
  <c r="U33" i="15"/>
  <c r="T33" i="15"/>
  <c r="S33" i="15"/>
  <c r="S40" i="15"/>
  <c r="U40" i="15"/>
  <c r="T40" i="15"/>
  <c r="W9" i="14"/>
  <c r="X9" i="14"/>
  <c r="L9" i="14"/>
  <c r="S5" i="14"/>
  <c r="S7" i="14"/>
  <c r="S2" i="14"/>
  <c r="S51" i="15"/>
  <c r="T51" i="15"/>
  <c r="U51" i="15"/>
  <c r="U7" i="14"/>
  <c r="U17" i="15"/>
  <c r="T17" i="15"/>
  <c r="S17" i="15"/>
  <c r="S76" i="15"/>
  <c r="U76" i="15"/>
  <c r="T76" i="15"/>
  <c r="S6" i="14"/>
  <c r="S52" i="15"/>
  <c r="T52" i="15"/>
  <c r="U52" i="15"/>
  <c r="U57" i="15"/>
  <c r="S57" i="15"/>
  <c r="S20" i="15"/>
  <c r="T57" i="15"/>
  <c r="U29" i="15"/>
  <c r="S29" i="15"/>
  <c r="T29" i="15"/>
  <c r="U19" i="15"/>
  <c r="S19" i="15"/>
  <c r="T19" i="15"/>
  <c r="T20" i="15"/>
  <c r="S9" i="15"/>
  <c r="U9" i="15"/>
  <c r="T9" i="15"/>
  <c r="J90" i="15"/>
  <c r="U6" i="15"/>
  <c r="T6" i="15"/>
  <c r="S6" i="15"/>
  <c r="U63" i="15"/>
  <c r="T63" i="15"/>
  <c r="S63" i="15"/>
  <c r="U80" i="15"/>
  <c r="T80" i="15"/>
  <c r="S80" i="15"/>
  <c r="N9" i="14"/>
  <c r="S31" i="15"/>
  <c r="T31" i="15"/>
  <c r="U31" i="15"/>
  <c r="U10" i="15"/>
  <c r="T10" i="15"/>
  <c r="T50" i="15"/>
  <c r="S50" i="15"/>
  <c r="J10" i="14"/>
  <c r="S49" i="15"/>
  <c r="U49" i="15"/>
  <c r="S10" i="15"/>
  <c r="U22" i="15"/>
  <c r="T22" i="15"/>
  <c r="S55" i="15"/>
  <c r="U55" i="15"/>
  <c r="T55" i="15"/>
  <c r="T42" i="15"/>
  <c r="S42" i="15"/>
  <c r="U50" i="15"/>
  <c r="U87" i="15"/>
  <c r="T87" i="15"/>
  <c r="U70" i="15"/>
  <c r="T49" i="15"/>
  <c r="U43" i="15"/>
  <c r="T43" i="15"/>
  <c r="S43" i="15"/>
  <c r="U75" i="15"/>
  <c r="T75" i="15"/>
  <c r="S75" i="15"/>
  <c r="S22" i="15"/>
  <c r="U42" i="15"/>
  <c r="S58" i="15"/>
  <c r="S87" i="15"/>
  <c r="T8" i="15"/>
  <c r="S8" i="15"/>
  <c r="T69" i="15"/>
  <c r="U69" i="15"/>
  <c r="S69" i="15"/>
  <c r="S65" i="15"/>
  <c r="U65" i="15"/>
  <c r="W88" i="15"/>
  <c r="X88" i="15"/>
  <c r="S46" i="15"/>
  <c r="T46" i="15"/>
  <c r="U30" i="15"/>
  <c r="T30" i="15"/>
  <c r="T13" i="15"/>
  <c r="S13" i="15"/>
  <c r="U60" i="15"/>
  <c r="S60" i="15"/>
  <c r="T60" i="15"/>
  <c r="U11" i="15"/>
  <c r="T11" i="15"/>
  <c r="S64" i="15"/>
  <c r="U64" i="15"/>
  <c r="T67" i="15"/>
  <c r="S67" i="15"/>
  <c r="U47" i="15"/>
  <c r="S47" i="15"/>
  <c r="U36" i="15"/>
  <c r="T36" i="15"/>
  <c r="T85" i="15"/>
  <c r="U13" i="15"/>
  <c r="N88" i="15"/>
  <c r="L88" i="15"/>
  <c r="U8" i="12"/>
  <c r="S8" i="12"/>
  <c r="T12" i="12"/>
  <c r="U12" i="12"/>
  <c r="S12" i="12"/>
  <c r="W20" i="12"/>
  <c r="T8" i="12"/>
  <c r="U19" i="12"/>
  <c r="T19" i="12"/>
  <c r="S19" i="12"/>
  <c r="U11" i="12"/>
  <c r="S11" i="12"/>
  <c r="U6" i="12"/>
  <c r="S6" i="12"/>
  <c r="T6" i="12"/>
  <c r="T9" i="12"/>
  <c r="T13" i="12"/>
  <c r="T14" i="12"/>
  <c r="J22" i="12"/>
  <c r="T18" i="12"/>
  <c r="L20" i="12"/>
  <c r="S14" i="12"/>
  <c r="O12" i="63" l="1"/>
  <c r="U12" i="63"/>
  <c r="S12" i="20"/>
  <c r="R9" i="50"/>
  <c r="O9" i="50"/>
  <c r="S12" i="138"/>
  <c r="U21" i="142"/>
  <c r="O21" i="142"/>
  <c r="R21" i="142"/>
  <c r="U13" i="140"/>
  <c r="O13" i="140"/>
  <c r="R13" i="140"/>
  <c r="U18" i="139"/>
  <c r="O18" i="139"/>
  <c r="R18" i="139"/>
  <c r="U14" i="138"/>
  <c r="R14" i="138"/>
  <c r="R13" i="118"/>
  <c r="O13" i="118"/>
  <c r="U13" i="118"/>
  <c r="U5" i="119"/>
  <c r="R5" i="119"/>
  <c r="O5" i="119"/>
  <c r="R6" i="114"/>
  <c r="U6" i="114"/>
  <c r="O6" i="114"/>
  <c r="R8" i="117"/>
  <c r="O8" i="117"/>
  <c r="U8" i="117"/>
  <c r="O7" i="115"/>
  <c r="U7" i="115"/>
  <c r="R7" i="115"/>
  <c r="O7" i="116"/>
  <c r="R7" i="116"/>
  <c r="U7" i="116"/>
  <c r="U25" i="110"/>
  <c r="O25" i="110"/>
  <c r="R25" i="110"/>
  <c r="R16" i="109"/>
  <c r="U16" i="109"/>
  <c r="O16" i="109"/>
  <c r="U6" i="106"/>
  <c r="R6" i="106"/>
  <c r="O6" i="106"/>
  <c r="U11" i="113"/>
  <c r="O11" i="113"/>
  <c r="R11" i="113"/>
  <c r="U7" i="103"/>
  <c r="O7" i="103"/>
  <c r="R7" i="103"/>
  <c r="U14" i="101"/>
  <c r="R14" i="101"/>
  <c r="O14" i="101"/>
  <c r="R10" i="98"/>
  <c r="U10" i="98"/>
  <c r="O10" i="98"/>
  <c r="R6" i="100"/>
  <c r="O6" i="100"/>
  <c r="U6" i="100"/>
  <c r="U6" i="95"/>
  <c r="O6" i="95"/>
  <c r="R6" i="95"/>
  <c r="O6" i="94"/>
  <c r="R6" i="94"/>
  <c r="U6" i="94"/>
  <c r="U5" i="91"/>
  <c r="O5" i="91"/>
  <c r="R5" i="91"/>
  <c r="R6" i="92"/>
  <c r="U6" i="92"/>
  <c r="O6" i="92"/>
  <c r="O6" i="90"/>
  <c r="R6" i="90"/>
  <c r="U6" i="90"/>
  <c r="R5" i="96"/>
  <c r="U5" i="96"/>
  <c r="O5" i="96"/>
  <c r="U7" i="87"/>
  <c r="R7" i="87"/>
  <c r="O7" i="87"/>
  <c r="U17" i="88"/>
  <c r="R17" i="88"/>
  <c r="O17" i="88"/>
  <c r="U5" i="83"/>
  <c r="R5" i="83"/>
  <c r="O5" i="83"/>
  <c r="R16" i="86"/>
  <c r="O16" i="86"/>
  <c r="U16" i="86"/>
  <c r="R6" i="84"/>
  <c r="U6" i="84"/>
  <c r="O6" i="84"/>
  <c r="U9" i="85"/>
  <c r="R9" i="85"/>
  <c r="O9" i="85"/>
  <c r="O27" i="65"/>
  <c r="U27" i="65"/>
  <c r="R27" i="65"/>
  <c r="U8" i="75"/>
  <c r="R8" i="75"/>
  <c r="O8" i="75"/>
  <c r="R6" i="71"/>
  <c r="O6" i="71"/>
  <c r="U6" i="71"/>
  <c r="U26" i="66"/>
  <c r="R26" i="66"/>
  <c r="O26" i="66"/>
  <c r="U6" i="78"/>
  <c r="R6" i="78"/>
  <c r="O6" i="78"/>
  <c r="R9" i="80"/>
  <c r="O9" i="80"/>
  <c r="U9" i="80"/>
  <c r="O5" i="79"/>
  <c r="U5" i="79"/>
  <c r="R5" i="79"/>
  <c r="U7" i="68"/>
  <c r="R7" i="68"/>
  <c r="O7" i="68"/>
  <c r="O14" i="69"/>
  <c r="U14" i="69"/>
  <c r="R14" i="69"/>
  <c r="R8" i="67"/>
  <c r="U8" i="67"/>
  <c r="O8" i="67"/>
  <c r="U6" i="70"/>
  <c r="R6" i="70"/>
  <c r="O6" i="70"/>
  <c r="O12" i="77"/>
  <c r="U12" i="77"/>
  <c r="R12" i="77"/>
  <c r="O20" i="76"/>
  <c r="R20" i="76"/>
  <c r="U20" i="76"/>
  <c r="U17" i="64"/>
  <c r="R17" i="64"/>
  <c r="O17" i="64"/>
  <c r="U7" i="55"/>
  <c r="O7" i="55"/>
  <c r="R7" i="55"/>
  <c r="R11" i="58"/>
  <c r="U11" i="58"/>
  <c r="O11" i="58"/>
  <c r="R15" i="52"/>
  <c r="O15" i="52"/>
  <c r="U15" i="52"/>
  <c r="R14" i="61"/>
  <c r="U14" i="61"/>
  <c r="O14" i="61"/>
  <c r="O9" i="56"/>
  <c r="U9" i="56"/>
  <c r="R9" i="56"/>
  <c r="U9" i="53"/>
  <c r="R9" i="53"/>
  <c r="O9" i="53"/>
  <c r="U8" i="59"/>
  <c r="O8" i="59"/>
  <c r="R8" i="59"/>
  <c r="U8" i="62"/>
  <c r="O8" i="62"/>
  <c r="R8" i="62"/>
  <c r="U7" i="60"/>
  <c r="O7" i="60"/>
  <c r="R7" i="60"/>
  <c r="R6" i="57"/>
  <c r="O6" i="57"/>
  <c r="U6" i="57"/>
  <c r="R6" i="54"/>
  <c r="U6" i="54"/>
  <c r="O6" i="54"/>
  <c r="R7" i="51"/>
  <c r="O7" i="51"/>
  <c r="U7" i="51"/>
  <c r="R8" i="49"/>
  <c r="U8" i="49"/>
  <c r="O8" i="49"/>
  <c r="O19" i="44"/>
  <c r="R19" i="44"/>
  <c r="U19" i="44"/>
  <c r="R30" i="47"/>
  <c r="U30" i="47"/>
  <c r="O30" i="47"/>
  <c r="O11" i="48"/>
  <c r="R11" i="48"/>
  <c r="U11" i="48"/>
  <c r="U15" i="39"/>
  <c r="R15" i="39"/>
  <c r="O15" i="39"/>
  <c r="U6" i="41"/>
  <c r="R6" i="41"/>
  <c r="O6" i="41"/>
  <c r="O52" i="38"/>
  <c r="U52" i="38"/>
  <c r="R52" i="38"/>
  <c r="U6" i="43"/>
  <c r="R6" i="43"/>
  <c r="O6" i="43"/>
  <c r="U14" i="46"/>
  <c r="O14" i="46"/>
  <c r="R14" i="46"/>
  <c r="O8" i="42"/>
  <c r="U8" i="42"/>
  <c r="R8" i="42"/>
  <c r="R5" i="45"/>
  <c r="U5" i="45"/>
  <c r="O5" i="45"/>
  <c r="O8" i="40"/>
  <c r="U8" i="40"/>
  <c r="R8" i="40"/>
  <c r="U7" i="36"/>
  <c r="R7" i="36"/>
  <c r="O7" i="36"/>
  <c r="U57" i="34"/>
  <c r="O57" i="34"/>
  <c r="R57" i="34"/>
  <c r="R11" i="30"/>
  <c r="U11" i="30"/>
  <c r="O11" i="30"/>
  <c r="R29" i="28"/>
  <c r="U29" i="28"/>
  <c r="U12" i="29"/>
  <c r="R12" i="29"/>
  <c r="O12" i="29"/>
  <c r="U7" i="32"/>
  <c r="O7" i="32"/>
  <c r="R7" i="32"/>
  <c r="U25" i="25"/>
  <c r="R25" i="25"/>
  <c r="O25" i="25"/>
  <c r="O10" i="26"/>
  <c r="U10" i="26"/>
  <c r="R10" i="26"/>
  <c r="R36" i="24"/>
  <c r="U36" i="24"/>
  <c r="O36" i="24"/>
  <c r="R14" i="20"/>
  <c r="U14" i="20"/>
  <c r="U14" i="27"/>
  <c r="R14" i="27"/>
  <c r="U13" i="22"/>
  <c r="R13" i="22"/>
  <c r="O13" i="22"/>
  <c r="U35" i="16"/>
  <c r="R35" i="16"/>
  <c r="O35" i="16"/>
  <c r="R6" i="19"/>
  <c r="O6" i="19"/>
  <c r="U6" i="19"/>
  <c r="O25" i="18"/>
  <c r="U25" i="18"/>
  <c r="R25" i="18"/>
  <c r="U90" i="15"/>
  <c r="O90" i="15"/>
  <c r="R90" i="15"/>
  <c r="O11" i="14"/>
  <c r="U11" i="14"/>
  <c r="R11" i="14"/>
  <c r="U22" i="12"/>
  <c r="R22" i="12"/>
  <c r="O22" i="12"/>
</calcChain>
</file>

<file path=xl/sharedStrings.xml><?xml version="1.0" encoding="utf-8"?>
<sst xmlns="http://schemas.openxmlformats.org/spreadsheetml/2006/main" count="44697" uniqueCount="3213">
  <si>
    <t>Parcel Number</t>
  </si>
  <si>
    <t>Street Address</t>
  </si>
  <si>
    <t>Sale Date</t>
  </si>
  <si>
    <t>Sale Price</t>
  </si>
  <si>
    <t>Instr.</t>
  </si>
  <si>
    <t>Terms of Sale</t>
  </si>
  <si>
    <t>Adj. Sale $</t>
  </si>
  <si>
    <t>Asd. when Sold</t>
  </si>
  <si>
    <t>Asd/Adj. Sale</t>
  </si>
  <si>
    <t>Cur. Appraisal</t>
  </si>
  <si>
    <t>Land Residual</t>
  </si>
  <si>
    <t>Est. Land Value</t>
  </si>
  <si>
    <t>Effec. Front</t>
  </si>
  <si>
    <t>Depth</t>
  </si>
  <si>
    <t>Net Acres</t>
  </si>
  <si>
    <t>Total Acres</t>
  </si>
  <si>
    <t>Dollars/FF</t>
  </si>
  <si>
    <t>Dollars/Acre</t>
  </si>
  <si>
    <t>Dollars/SqFt</t>
  </si>
  <si>
    <t>Actual Front</t>
  </si>
  <si>
    <t>ECF Area</t>
  </si>
  <si>
    <t>Liber/Page</t>
  </si>
  <si>
    <t>Other Parcels in Sale</t>
  </si>
  <si>
    <t>Land Table</t>
  </si>
  <si>
    <t>Gravel</t>
  </si>
  <si>
    <t>Paved</t>
  </si>
  <si>
    <t>Inspected Date</t>
  </si>
  <si>
    <t>Use Code</t>
  </si>
  <si>
    <t>Class</t>
  </si>
  <si>
    <t>Rate Group 1</t>
  </si>
  <si>
    <t>60 001 01 0021 300</t>
  </si>
  <si>
    <t>5835 MERRICK</t>
  </si>
  <si>
    <t>PTA</t>
  </si>
  <si>
    <t>03-ARM'S LENGTH</t>
  </si>
  <si>
    <t>'401A9</t>
  </si>
  <si>
    <t/>
  </si>
  <si>
    <t>1</t>
  </si>
  <si>
    <t>NOT INSPECTED</t>
  </si>
  <si>
    <t>401</t>
  </si>
  <si>
    <t>STD 40'</t>
  </si>
  <si>
    <t>60 001 01 0038 000</t>
  </si>
  <si>
    <t>5850 POLK</t>
  </si>
  <si>
    <t>01/01/1753</t>
  </si>
  <si>
    <t>AGRICULTURAL</t>
  </si>
  <si>
    <t>60 001 01 0046 000</t>
  </si>
  <si>
    <t>5914 POLK</t>
  </si>
  <si>
    <t>60 001 01 0091 000</t>
  </si>
  <si>
    <t>5836 HIPP</t>
  </si>
  <si>
    <t>60 001 01 0104 300</t>
  </si>
  <si>
    <t>5972 HIPP</t>
  </si>
  <si>
    <t>04/14/2010</t>
  </si>
  <si>
    <t>60 001 01 0129 300</t>
  </si>
  <si>
    <t>5869 HIPP</t>
  </si>
  <si>
    <t>01/29/2013</t>
  </si>
  <si>
    <t>60 001 01 0222 300</t>
  </si>
  <si>
    <t>6056 MAYFAIR</t>
  </si>
  <si>
    <t>60 001 01 0236 000</t>
  </si>
  <si>
    <t>5927 MAYFAIR</t>
  </si>
  <si>
    <t>01/24/2000</t>
  </si>
  <si>
    <t>60 001 01 0276 303</t>
  </si>
  <si>
    <t>WEDDEL</t>
  </si>
  <si>
    <t>402</t>
  </si>
  <si>
    <t>60 001 01 0290 300</t>
  </si>
  <si>
    <t>5971 WEDDEL</t>
  </si>
  <si>
    <t>60 001 01 0347 000</t>
  </si>
  <si>
    <t>5961 JACKSON</t>
  </si>
  <si>
    <t>19-MULTI PARCEL ARM'S LENGTH</t>
  </si>
  <si>
    <t>60 001 01 0348 000</t>
  </si>
  <si>
    <t>60 002 01 0158 002</t>
  </si>
  <si>
    <t>6046 KATHERINE</t>
  </si>
  <si>
    <t>60 002 01 0166 000</t>
  </si>
  <si>
    <t>5932 KATHERINE</t>
  </si>
  <si>
    <t>60 002 01 0169 000</t>
  </si>
  <si>
    <t>5908 KATHERINE</t>
  </si>
  <si>
    <t>60 002 01 0189 000</t>
  </si>
  <si>
    <t>5933 KATHERINE</t>
  </si>
  <si>
    <t>11/24/2020</t>
  </si>
  <si>
    <t>60 002 01 0192 000</t>
  </si>
  <si>
    <t>5957 KATHERINE</t>
  </si>
  <si>
    <t>60 002 01 0256 000</t>
  </si>
  <si>
    <t>5884 DUDLEY</t>
  </si>
  <si>
    <t>WD</t>
  </si>
  <si>
    <t>60 002 01 0279 000</t>
  </si>
  <si>
    <t>6033 DUDLEY</t>
  </si>
  <si>
    <t>60 002 01 0346 001</t>
  </si>
  <si>
    <t>5843 WILLIAM</t>
  </si>
  <si>
    <t>60 002 01 0350 002</t>
  </si>
  <si>
    <t>5877 WILLIAM</t>
  </si>
  <si>
    <t>60 003 01 0002 000</t>
  </si>
  <si>
    <t>6848 MORTENVIEW</t>
  </si>
  <si>
    <t>'404A9</t>
  </si>
  <si>
    <t>4</t>
  </si>
  <si>
    <t>STANDARD LOT</t>
  </si>
  <si>
    <t>60 003 01 0047 000</t>
  </si>
  <si>
    <t>21271 PINECREST</t>
  </si>
  <si>
    <t>60 003 01 0086 000</t>
  </si>
  <si>
    <t>20940 PINECREST</t>
  </si>
  <si>
    <t>60 003 01 0144 000</t>
  </si>
  <si>
    <t>6630 CAMPBELL</t>
  </si>
  <si>
    <t>60 003 01 0145 000</t>
  </si>
  <si>
    <t>6638 CAMPBELL</t>
  </si>
  <si>
    <t>60 003 01 0146 000</t>
  </si>
  <si>
    <t>6646 CAMPBELL</t>
  </si>
  <si>
    <t>60 003 01 0180 000</t>
  </si>
  <si>
    <t>6623 MORTENVIEW</t>
  </si>
  <si>
    <t>60 003 01 0185 000</t>
  </si>
  <si>
    <t>6654 HARDING</t>
  </si>
  <si>
    <t>12/19/2012</t>
  </si>
  <si>
    <t>60 003 02 0003 000</t>
  </si>
  <si>
    <t>6748 MERRICK</t>
  </si>
  <si>
    <t>60 003 02 0005 000</t>
  </si>
  <si>
    <t>6774 MERRICK</t>
  </si>
  <si>
    <t>60 003 99 0013 000</t>
  </si>
  <si>
    <t>6847 MORTENVIEW</t>
  </si>
  <si>
    <t>60 004 01 0081 000</t>
  </si>
  <si>
    <t>6800 JACKSON</t>
  </si>
  <si>
    <t>'404B0</t>
  </si>
  <si>
    <t>803</t>
  </si>
  <si>
    <t>60 004 01 0140 000</t>
  </si>
  <si>
    <t>6879 MAYFAIR</t>
  </si>
  <si>
    <t>60 004 01 0161 000</t>
  </si>
  <si>
    <t>6820 MAYFAIR</t>
  </si>
  <si>
    <t>60 004 01 0207 000</t>
  </si>
  <si>
    <t>6720 HURON</t>
  </si>
  <si>
    <t>60 004 01 0208 000</t>
  </si>
  <si>
    <t>60 004 01 0363 000</t>
  </si>
  <si>
    <t>20567 PINECREST</t>
  </si>
  <si>
    <t>60 004 02 0679 000</t>
  </si>
  <si>
    <t>20185 PINECREST</t>
  </si>
  <si>
    <t>60 004 02 0687 000</t>
  </si>
  <si>
    <t>20131 PINECREST</t>
  </si>
  <si>
    <t>60 004 02 0702 002</t>
  </si>
  <si>
    <t>20009 PINECREST</t>
  </si>
  <si>
    <t>60 004 02 0724 000</t>
  </si>
  <si>
    <t>6660 PELHAM</t>
  </si>
  <si>
    <t>60 004 02 0731 000</t>
  </si>
  <si>
    <t>6712 PELHAM</t>
  </si>
  <si>
    <t>60 004 02 0743 000</t>
  </si>
  <si>
    <t>6741 ZIEGLER</t>
  </si>
  <si>
    <t>60 004 02 0745 000</t>
  </si>
  <si>
    <t>6709 ZIEGLER</t>
  </si>
  <si>
    <t>60 004 02 0757 000</t>
  </si>
  <si>
    <t>6555 ZIEGLER</t>
  </si>
  <si>
    <t>60 004 02 0784 000</t>
  </si>
  <si>
    <t>6629 JACKSON</t>
  </si>
  <si>
    <t>60 004 02 0793 301</t>
  </si>
  <si>
    <t>6676 JACKSON</t>
  </si>
  <si>
    <t>60 004 02 0827 000</t>
  </si>
  <si>
    <t>6741 MAYFAIR</t>
  </si>
  <si>
    <t>60 004 03 0914 000</t>
  </si>
  <si>
    <t>6476 JACKSON</t>
  </si>
  <si>
    <t>60 004 03 0917 000</t>
  </si>
  <si>
    <t>6492 JACKSON</t>
  </si>
  <si>
    <t>60 004 03 0919 000</t>
  </si>
  <si>
    <t>20210 PINECREST</t>
  </si>
  <si>
    <t>60 004 03 0934 000</t>
  </si>
  <si>
    <t>6427 WEDDEL</t>
  </si>
  <si>
    <t>60 004 03 0944 000</t>
  </si>
  <si>
    <t>6440 WEDDEL</t>
  </si>
  <si>
    <t>60 004 03 0947 000</t>
  </si>
  <si>
    <t>6458 WEDDEL</t>
  </si>
  <si>
    <t>60 004 03 0956 000</t>
  </si>
  <si>
    <t>20340 PINECREST</t>
  </si>
  <si>
    <t>60 005 01 0037 000</t>
  </si>
  <si>
    <t>5901 ROOSEVELT</t>
  </si>
  <si>
    <t>60 005 01 0047 000</t>
  </si>
  <si>
    <t>5854 ROOSEVELT</t>
  </si>
  <si>
    <t>60 005 02 0027 000</t>
  </si>
  <si>
    <t>6085 ROOSEVELT</t>
  </si>
  <si>
    <t>60 005 02 0039 002</t>
  </si>
  <si>
    <t>6006 ROOSEVELT</t>
  </si>
  <si>
    <t>60 006 02 0640 000</t>
  </si>
  <si>
    <t>5906 WEST POINT</t>
  </si>
  <si>
    <t>'406A0</t>
  </si>
  <si>
    <t>2</t>
  </si>
  <si>
    <t>01/25/2000</t>
  </si>
  <si>
    <t>60 006 02 0683 000</t>
  </si>
  <si>
    <t>6027 WEST POINT</t>
  </si>
  <si>
    <t>60 006 02 0697 000</t>
  </si>
  <si>
    <t>5871 WEST POINT</t>
  </si>
  <si>
    <t>60 006 02 0810 300</t>
  </si>
  <si>
    <t>5920 SYRACUSE</t>
  </si>
  <si>
    <t>60 006 02 0817 000</t>
  </si>
  <si>
    <t>6024 SYRACUSE</t>
  </si>
  <si>
    <t>60 006 02 0898 302</t>
  </si>
  <si>
    <t>5958 MADISON</t>
  </si>
  <si>
    <t>01/31/1912</t>
  </si>
  <si>
    <t>60 006 99 0027 000</t>
  </si>
  <si>
    <t>5887 PINE</t>
  </si>
  <si>
    <t>60 007 01 1176 002</t>
  </si>
  <si>
    <t>6429 WEST POINT</t>
  </si>
  <si>
    <t>'407A0</t>
  </si>
  <si>
    <t>711</t>
  </si>
  <si>
    <t>60 007 01 1284 000</t>
  </si>
  <si>
    <t>6537 WEST POINT</t>
  </si>
  <si>
    <t>'407B9</t>
  </si>
  <si>
    <t>01/09/2020</t>
  </si>
  <si>
    <t>60 007 01 1305 300</t>
  </si>
  <si>
    <t>6606 CORNELL</t>
  </si>
  <si>
    <t>60 007 01 1311 000</t>
  </si>
  <si>
    <t>CORNELL</t>
  </si>
  <si>
    <t>60 007 01 1327 300</t>
  </si>
  <si>
    <t>6461 CORNELL</t>
  </si>
  <si>
    <t>60 007 01 1344 000</t>
  </si>
  <si>
    <t>6633 CORNELL</t>
  </si>
  <si>
    <t>01/31/2000</t>
  </si>
  <si>
    <t>60 007 01 1348 000</t>
  </si>
  <si>
    <t>6665 CORNELL</t>
  </si>
  <si>
    <t>60 007 01 1352 000</t>
  </si>
  <si>
    <t>6658 SYRACUSE</t>
  </si>
  <si>
    <t>12/14/2010</t>
  </si>
  <si>
    <t>60 007 01 1374 000</t>
  </si>
  <si>
    <t>6438 SYRACUSE</t>
  </si>
  <si>
    <t>60 007 02 0031 001</t>
  </si>
  <si>
    <t>6688 MADISON</t>
  </si>
  <si>
    <t>5</t>
  </si>
  <si>
    <t>06/14/2010</t>
  </si>
  <si>
    <t>STANDARD 40</t>
  </si>
  <si>
    <t>60 007 02 0082 002</t>
  </si>
  <si>
    <t>6465 MADISON</t>
  </si>
  <si>
    <t>60 007 02 0099 000</t>
  </si>
  <si>
    <t>6468 PINE</t>
  </si>
  <si>
    <t>60 007 02 0100 000</t>
  </si>
  <si>
    <t>6476 PINE</t>
  </si>
  <si>
    <t>60 007 02 0105 000</t>
  </si>
  <si>
    <t>6516 PINE</t>
  </si>
  <si>
    <t>60 007 02 0109 300</t>
  </si>
  <si>
    <t>23556 CYPRESS</t>
  </si>
  <si>
    <t>60 007 02 0118 001</t>
  </si>
  <si>
    <t>6664 PINE</t>
  </si>
  <si>
    <t>60 007 02 0208 001</t>
  </si>
  <si>
    <t>6664 OAK</t>
  </si>
  <si>
    <t>60 007 02 0268 000</t>
  </si>
  <si>
    <t>6421 OAK</t>
  </si>
  <si>
    <t>60 007 02 0300 000</t>
  </si>
  <si>
    <t>6680 ELM</t>
  </si>
  <si>
    <t>60 007 02 0332 000</t>
  </si>
  <si>
    <t>6673 ELM</t>
  </si>
  <si>
    <t>60 007 02 0421 000</t>
  </si>
  <si>
    <t>6681 BIRCH</t>
  </si>
  <si>
    <t>60 007 03 0078 300</t>
  </si>
  <si>
    <t>6733 WEST POINT</t>
  </si>
  <si>
    <t>60 007 03 0098 001</t>
  </si>
  <si>
    <t>WEST POINT</t>
  </si>
  <si>
    <t>60 007 99 0001 704</t>
  </si>
  <si>
    <t>60 007 03 0122 000</t>
  </si>
  <si>
    <t>6724 CORNELL</t>
  </si>
  <si>
    <t>60 007 03 0151 000</t>
  </si>
  <si>
    <t>SYRACUSE</t>
  </si>
  <si>
    <t>60 007 03 0158 000</t>
  </si>
  <si>
    <t>6848 SYRACUSE</t>
  </si>
  <si>
    <t>60 007 03 0166 000</t>
  </si>
  <si>
    <t>6772 SYRACUSE</t>
  </si>
  <si>
    <t>60 007 03 0180 000</t>
  </si>
  <si>
    <t>6749 SYRACUSE</t>
  </si>
  <si>
    <t>60 007 06 0011 000</t>
  </si>
  <si>
    <t>23515 NEWCASTLE</t>
  </si>
  <si>
    <t>60 007 06 0018 000</t>
  </si>
  <si>
    <t>23361 NEWCASTLE</t>
  </si>
  <si>
    <t>60 007 99 0001 703</t>
  </si>
  <si>
    <t>ECORSE</t>
  </si>
  <si>
    <t>60 007 99 0001 705</t>
  </si>
  <si>
    <t>60 008 99 0002 702</t>
  </si>
  <si>
    <t>6537 PARDEE</t>
  </si>
  <si>
    <t>60 009 01 0107 000</t>
  </si>
  <si>
    <t>5931 BUCK</t>
  </si>
  <si>
    <t>'409A9</t>
  </si>
  <si>
    <t>3</t>
  </si>
  <si>
    <t>60 009 01 0186 000</t>
  </si>
  <si>
    <t>6016 BANNER</t>
  </si>
  <si>
    <t>60 009 01 0195 000</t>
  </si>
  <si>
    <t>5900 BANNER</t>
  </si>
  <si>
    <t>60 009 01 0225 000</t>
  </si>
  <si>
    <t>5941 BANNER</t>
  </si>
  <si>
    <t>60 009 01 0341 300</t>
  </si>
  <si>
    <t>5877 COOPER</t>
  </si>
  <si>
    <t>60 009 01 0342 300</t>
  </si>
  <si>
    <t>5901 COOPER</t>
  </si>
  <si>
    <t>60 009 01 0344 300</t>
  </si>
  <si>
    <t>5921 COOPER</t>
  </si>
  <si>
    <t>60 009 02 0056 000</t>
  </si>
  <si>
    <t>6045 BAILEY</t>
  </si>
  <si>
    <t>60 009 02 0058 000</t>
  </si>
  <si>
    <t>60 009 02 0080 000</t>
  </si>
  <si>
    <t>5892 BAILEY</t>
  </si>
  <si>
    <t>60 009 02 0089 000</t>
  </si>
  <si>
    <t>6004 BAILEY</t>
  </si>
  <si>
    <t>60 009 02 0093 000</t>
  </si>
  <si>
    <t>6046 BAILEY</t>
  </si>
  <si>
    <t>60 009 02 0122 000</t>
  </si>
  <si>
    <t>5831 TROY</t>
  </si>
  <si>
    <t>60 010 01 0180 300</t>
  </si>
  <si>
    <t>5864 WESTLAKE</t>
  </si>
  <si>
    <t>60 010 01 0222 300</t>
  </si>
  <si>
    <t>6081 CHEROKEE</t>
  </si>
  <si>
    <t>12/03/2020</t>
  </si>
  <si>
    <t>60 010 01 0244 302</t>
  </si>
  <si>
    <t>5836 CHEROKEE</t>
  </si>
  <si>
    <t>60 010 01 0282 000</t>
  </si>
  <si>
    <t>5895 VIVIAN</t>
  </si>
  <si>
    <t>60 010 01 0287 300</t>
  </si>
  <si>
    <t>5839 VIVIAN</t>
  </si>
  <si>
    <t>60 010 01 0290 000</t>
  </si>
  <si>
    <t>5840 VIVIAN</t>
  </si>
  <si>
    <t>60 010 01 0304 000</t>
  </si>
  <si>
    <t>6020 VIVIAN</t>
  </si>
  <si>
    <t>60 010 01 0305 300</t>
  </si>
  <si>
    <t>6046 VIVIAN</t>
  </si>
  <si>
    <t>60 010 01 0360 002</t>
  </si>
  <si>
    <t>6057 GULLEY</t>
  </si>
  <si>
    <t>60 010 01 0362 002</t>
  </si>
  <si>
    <t>6049 GULLEY</t>
  </si>
  <si>
    <t>60 010 02 0074 000</t>
  </si>
  <si>
    <t>5955 BEECH DALY</t>
  </si>
  <si>
    <t>STREET LIGHTS</t>
  </si>
  <si>
    <t>60 010 02 0096 000</t>
  </si>
  <si>
    <t>5890 OLDHAM</t>
  </si>
  <si>
    <t>60 010 02 0112 000</t>
  </si>
  <si>
    <t>5947 OLDHAM</t>
  </si>
  <si>
    <t>01/19/2021</t>
  </si>
  <si>
    <t>60 010 02 0131 000</t>
  </si>
  <si>
    <t>5990 JANET</t>
  </si>
  <si>
    <t>60 010 02 0176 000</t>
  </si>
  <si>
    <t>6006 WILKIE</t>
  </si>
  <si>
    <t>60 010 02 0225 000</t>
  </si>
  <si>
    <t>6034 GULLEY</t>
  </si>
  <si>
    <t>60 010 03 0130 000</t>
  </si>
  <si>
    <t>6184 VIVIAN</t>
  </si>
  <si>
    <t>60 010 03 0140 000</t>
  </si>
  <si>
    <t>6175 MICHAEL</t>
  </si>
  <si>
    <t>60 010 03 0187 002</t>
  </si>
  <si>
    <t>6177 GULLEY</t>
  </si>
  <si>
    <t>60 010 03 0189 000</t>
  </si>
  <si>
    <t>6221 GULLEY</t>
  </si>
  <si>
    <t>09/14/2020</t>
  </si>
  <si>
    <t>60 010 03 0228 000</t>
  </si>
  <si>
    <t>6230 GULLEY</t>
  </si>
  <si>
    <t>60 010 03 0243 000</t>
  </si>
  <si>
    <t>6205 WILKIE</t>
  </si>
  <si>
    <t>60 010 03 0292 000</t>
  </si>
  <si>
    <t>6149 JANET</t>
  </si>
  <si>
    <t>60 010 04 0048 000</t>
  </si>
  <si>
    <t>6245 BEECH DALY</t>
  </si>
  <si>
    <t>60 010 04 0067 000</t>
  </si>
  <si>
    <t>6069 BEECH DALY</t>
  </si>
  <si>
    <t>60 010 04 0072 000</t>
  </si>
  <si>
    <t>6124 OLDHAM</t>
  </si>
  <si>
    <t>60 010 04 0081 000</t>
  </si>
  <si>
    <t>6226 OLDHAM</t>
  </si>
  <si>
    <t>60 010 04 0127 000</t>
  </si>
  <si>
    <t>6206 JANET</t>
  </si>
  <si>
    <t>60 010 04 0133 300</t>
  </si>
  <si>
    <t>6290 JANET</t>
  </si>
  <si>
    <t>60 010 99 0003 000</t>
  </si>
  <si>
    <t>6010 OLDHAM</t>
  </si>
  <si>
    <t>60 011 01 0034 000</t>
  </si>
  <si>
    <t>6886 OLDHAM</t>
  </si>
  <si>
    <t>'411B0</t>
  </si>
  <si>
    <t>6</t>
  </si>
  <si>
    <t>60 011 01 0120 000</t>
  </si>
  <si>
    <t>6874 WILKIE</t>
  </si>
  <si>
    <t>60 011 01 0127 000</t>
  </si>
  <si>
    <t>6832 WILKIE</t>
  </si>
  <si>
    <t>60 011 01 0168 000</t>
  </si>
  <si>
    <t>6832 GULLEY</t>
  </si>
  <si>
    <t>60 011 02 0001 000</t>
  </si>
  <si>
    <t>6708 CHEROKEE</t>
  </si>
  <si>
    <t>'411A0</t>
  </si>
  <si>
    <t>60 012 01 0089 000</t>
  </si>
  <si>
    <t>24251 BEVERLY</t>
  </si>
  <si>
    <t>'412A0</t>
  </si>
  <si>
    <t>60 012 01 0127 000</t>
  </si>
  <si>
    <t>24641 BEVERLY</t>
  </si>
  <si>
    <t>60 012 01 0129 000</t>
  </si>
  <si>
    <t>24651 BEVERLY</t>
  </si>
  <si>
    <t>60 012 01 0164 300</t>
  </si>
  <si>
    <t>6544 TROY</t>
  </si>
  <si>
    <t>60 012 01 0170 000</t>
  </si>
  <si>
    <t>6512 TROY</t>
  </si>
  <si>
    <t>60 012 01 0190 000</t>
  </si>
  <si>
    <t>6521 TROY</t>
  </si>
  <si>
    <t>60 012 01 0203 000</t>
  </si>
  <si>
    <t>6540 BAILEY</t>
  </si>
  <si>
    <t>60 012 01 0220 000</t>
  </si>
  <si>
    <t>6465 BAILEY</t>
  </si>
  <si>
    <t>60 012 01 0234 000</t>
  </si>
  <si>
    <t>6613 BAILEY</t>
  </si>
  <si>
    <t>60 012 01 0238 300</t>
  </si>
  <si>
    <t>6657 BAILEY</t>
  </si>
  <si>
    <t>60 012 01 0243 000</t>
  </si>
  <si>
    <t>6666 BURR</t>
  </si>
  <si>
    <t>60 012 01 0248 000</t>
  </si>
  <si>
    <t>6636 BURR</t>
  </si>
  <si>
    <t>60 012 01 0274 000</t>
  </si>
  <si>
    <t>6453 BURR</t>
  </si>
  <si>
    <t>60 012 01 0316 000</t>
  </si>
  <si>
    <t>6482 BUCK</t>
  </si>
  <si>
    <t>60 012 01 0334 000</t>
  </si>
  <si>
    <t>6521 BUCK</t>
  </si>
  <si>
    <t>60 012 01 0335 000</t>
  </si>
  <si>
    <t>6529 BUCK</t>
  </si>
  <si>
    <t>60 012 01 0343 000</t>
  </si>
  <si>
    <t>6621 BUCK</t>
  </si>
  <si>
    <t>60 012 01 0376 000</t>
  </si>
  <si>
    <t>6422 BANNER</t>
  </si>
  <si>
    <t>60 012 01 0452 300</t>
  </si>
  <si>
    <t>6631 COOPER</t>
  </si>
  <si>
    <t>60 012 02 0032 000</t>
  </si>
  <si>
    <t>6770 BAILEY</t>
  </si>
  <si>
    <t>'412B0</t>
  </si>
  <si>
    <t>60 012 02 0050 300</t>
  </si>
  <si>
    <t>6841 BAILEY</t>
  </si>
  <si>
    <t>12/31/1999</t>
  </si>
  <si>
    <t>60 012 02 0084 000</t>
  </si>
  <si>
    <t>6873 BURR</t>
  </si>
  <si>
    <t>60 012 02 0094 000</t>
  </si>
  <si>
    <t>6763 BURR</t>
  </si>
  <si>
    <t>60 012 02 0097 000</t>
  </si>
  <si>
    <t>6737 BURR</t>
  </si>
  <si>
    <t>60 012 02 0114 001</t>
  </si>
  <si>
    <t>6830 BUCK</t>
  </si>
  <si>
    <t>60 012 02 0138 000</t>
  </si>
  <si>
    <t>6728 BANNER</t>
  </si>
  <si>
    <t>60 012 02 0260 000</t>
  </si>
  <si>
    <t>24510 AMES HWY</t>
  </si>
  <si>
    <t>60 012 02 0329 302</t>
  </si>
  <si>
    <t>24159 AMES HWY</t>
  </si>
  <si>
    <t>60 013 01 0054 300</t>
  </si>
  <si>
    <t>5842 BEECH DALY</t>
  </si>
  <si>
    <t>60 013 01 0084 300</t>
  </si>
  <si>
    <t>5921 MC GUIRE</t>
  </si>
  <si>
    <t>60 013 01 0083 302</t>
  </si>
  <si>
    <t>60 013 01 0087 300</t>
  </si>
  <si>
    <t>5877 MC GUIRE</t>
  </si>
  <si>
    <t>60 013 01 0108 000</t>
  </si>
  <si>
    <t>5931 MARVIN</t>
  </si>
  <si>
    <t>60 013 01 0133 000</t>
  </si>
  <si>
    <t>5943 FELLRATH</t>
  </si>
  <si>
    <t>60 013 02 0176 000</t>
  </si>
  <si>
    <t>6041 HAROLD</t>
  </si>
  <si>
    <t>60 013 02 0179 000</t>
  </si>
  <si>
    <t>6077 HAROLD</t>
  </si>
  <si>
    <t>01/31/2013</t>
  </si>
  <si>
    <t>60 013 02 0191 000</t>
  </si>
  <si>
    <t>6187 HAROLD</t>
  </si>
  <si>
    <t>60 013 02 0195 000</t>
  </si>
  <si>
    <t>6178 FELLRATH</t>
  </si>
  <si>
    <t>60 013 02 0203 000</t>
  </si>
  <si>
    <t>6110 FELLRATH</t>
  </si>
  <si>
    <t>60 013 02 0250 000</t>
  </si>
  <si>
    <t>6110 MARVIN</t>
  </si>
  <si>
    <t>60 013 02 0261 000</t>
  </si>
  <si>
    <t>5980 MARVIN</t>
  </si>
  <si>
    <t>60 013 02 0267 000</t>
  </si>
  <si>
    <t>6033 MARVIN</t>
  </si>
  <si>
    <t>60 013 02 0322 300</t>
  </si>
  <si>
    <t>6131 MC GUIRE</t>
  </si>
  <si>
    <t>60 013 03 0379 000</t>
  </si>
  <si>
    <t>6325 HAROLD</t>
  </si>
  <si>
    <t>60 013 05 1378 300</t>
  </si>
  <si>
    <t>60 013 03 0385 000</t>
  </si>
  <si>
    <t>6369 HAROLD</t>
  </si>
  <si>
    <t>60 013 03 0463 301</t>
  </si>
  <si>
    <t>6345 MC GUIRE</t>
  </si>
  <si>
    <t>07/13/2021</t>
  </si>
  <si>
    <t>60 013 03 0485 000</t>
  </si>
  <si>
    <t>6361 MARVIN</t>
  </si>
  <si>
    <t>12/18/2012</t>
  </si>
  <si>
    <t>60 013 03 0498 000</t>
  </si>
  <si>
    <t>6305 FELLRATH</t>
  </si>
  <si>
    <t>60 013 03 0500 000</t>
  </si>
  <si>
    <t>6325 FELLRATH</t>
  </si>
  <si>
    <t>60 013 03 0501 000</t>
  </si>
  <si>
    <t>6333 FELLRATH</t>
  </si>
  <si>
    <t>60 013 05 1030 300</t>
  </si>
  <si>
    <t>5981 JOHN DALY</t>
  </si>
  <si>
    <t>60 013 05 1038 300</t>
  </si>
  <si>
    <t>6019 JOHN DALY</t>
  </si>
  <si>
    <t>01/22/2020</t>
  </si>
  <si>
    <t>60 013 05 1042 300</t>
  </si>
  <si>
    <t>6037 JOHN DALY</t>
  </si>
  <si>
    <t>60 013 05 1080 002</t>
  </si>
  <si>
    <t>6319 JOHN DALY</t>
  </si>
  <si>
    <t>60 013 05 1121 000</t>
  </si>
  <si>
    <t>6330 HAMPDEN</t>
  </si>
  <si>
    <t>60 013 05 1186 000</t>
  </si>
  <si>
    <t>6075 HAMPDEN</t>
  </si>
  <si>
    <t>60 013 05 1188 000</t>
  </si>
  <si>
    <t>6111 HAMPDEN</t>
  </si>
  <si>
    <t>60 013 05 1238 000</t>
  </si>
  <si>
    <t>6196 DEAN</t>
  </si>
  <si>
    <t>60 013 05 1256 300</t>
  </si>
  <si>
    <t>6065 DEAN</t>
  </si>
  <si>
    <t>60 013 05 1266 300</t>
  </si>
  <si>
    <t>6165 DEAN</t>
  </si>
  <si>
    <t>60 013 05 1301 300</t>
  </si>
  <si>
    <t>6330 DUNCAN</t>
  </si>
  <si>
    <t>60 013 05 1326 300</t>
  </si>
  <si>
    <t>6075 DUNCAN</t>
  </si>
  <si>
    <t>60 013 05 1331 300</t>
  </si>
  <si>
    <t>6133 DUNCAN</t>
  </si>
  <si>
    <t>60 014 01 0133 300</t>
  </si>
  <si>
    <t>6324 JOHN DALY</t>
  </si>
  <si>
    <t>'414A0</t>
  </si>
  <si>
    <t>60 014 01 0203 000</t>
  </si>
  <si>
    <t>26946 BEVERLY</t>
  </si>
  <si>
    <t>60 014 01 0225 000</t>
  </si>
  <si>
    <t>6219 SYLVIA</t>
  </si>
  <si>
    <t>60 014 01 0227 000</t>
  </si>
  <si>
    <t>6195 SYLVIA</t>
  </si>
  <si>
    <t>60 014 01 0234 000</t>
  </si>
  <si>
    <t>6119 SYLVIA</t>
  </si>
  <si>
    <t>60 014 01 0246 000</t>
  </si>
  <si>
    <t>6035 SYLVIA</t>
  </si>
  <si>
    <t>60 014 01 0261 000</t>
  </si>
  <si>
    <t>5885 SYLVIA</t>
  </si>
  <si>
    <t>60 014 01 0327 300</t>
  </si>
  <si>
    <t>6349 HAZEL</t>
  </si>
  <si>
    <t>60 014 01 0335 000</t>
  </si>
  <si>
    <t>6305 HAZEL</t>
  </si>
  <si>
    <t>60 014 01 0340 002</t>
  </si>
  <si>
    <t>6157 HAZEL</t>
  </si>
  <si>
    <t>60 014 01 0371 000</t>
  </si>
  <si>
    <t>5839 HAZEL</t>
  </si>
  <si>
    <t>60 014 01 0383 000</t>
  </si>
  <si>
    <t>5960 PRINCESS</t>
  </si>
  <si>
    <t>60 014 01 0400 000</t>
  </si>
  <si>
    <t>6144 PRINCESS</t>
  </si>
  <si>
    <t>60 014 01 0463 000</t>
  </si>
  <si>
    <t>5829 PRINCESS</t>
  </si>
  <si>
    <t>60 014 01 0510 300</t>
  </si>
  <si>
    <t>6352 GLENIS</t>
  </si>
  <si>
    <t>60 014 01 0534 000</t>
  </si>
  <si>
    <t>6137 GLENIS</t>
  </si>
  <si>
    <t>60 014 02 0016 000</t>
  </si>
  <si>
    <t>6255 INKSTER</t>
  </si>
  <si>
    <t>60 014 02 0039 001</t>
  </si>
  <si>
    <t>27212 JOAN</t>
  </si>
  <si>
    <t>60 014 02 0039 004</t>
  </si>
  <si>
    <t>27248 JOAN</t>
  </si>
  <si>
    <t>60 014 02 0063 300</t>
  </si>
  <si>
    <t>6219 WELLINGTON</t>
  </si>
  <si>
    <t>60 014 02 0072 000</t>
  </si>
  <si>
    <t>27150 BEVERLY</t>
  </si>
  <si>
    <t>60 014 03 0005 000</t>
  </si>
  <si>
    <t>27031 VAN BORN</t>
  </si>
  <si>
    <t>60 014 03 0007 000</t>
  </si>
  <si>
    <t>27003 VAN BORN</t>
  </si>
  <si>
    <t>60 014 03 0027 000</t>
  </si>
  <si>
    <t>5903 DANIELS</t>
  </si>
  <si>
    <t>60 014 03 0031 000</t>
  </si>
  <si>
    <t>5855 DANIELS</t>
  </si>
  <si>
    <t>60 014 03 0033 000</t>
  </si>
  <si>
    <t>5831 DANIELS</t>
  </si>
  <si>
    <t>09/30/2020</t>
  </si>
  <si>
    <t>60 014 04 0004 000</t>
  </si>
  <si>
    <t>27016 BEVERLY</t>
  </si>
  <si>
    <t>'414B0</t>
  </si>
  <si>
    <t>501</t>
  </si>
  <si>
    <t>60 014 04 0005 000</t>
  </si>
  <si>
    <t>27006 BEVERLY</t>
  </si>
  <si>
    <t>60 014 04 0040 000</t>
  </si>
  <si>
    <t>27011 DEBRA CT</t>
  </si>
  <si>
    <t>60 014 04 0043 000</t>
  </si>
  <si>
    <t>27041 DEBRA CT</t>
  </si>
  <si>
    <t>60 014 04 0049 000</t>
  </si>
  <si>
    <t>27030 DEBRA CT</t>
  </si>
  <si>
    <t>60 014 04 0052 000</t>
  </si>
  <si>
    <t>27009 JEANETTE CT</t>
  </si>
  <si>
    <t>60 014 04 0061 000</t>
  </si>
  <si>
    <t>27028 JEANETTE CT</t>
  </si>
  <si>
    <t>60 014 04 0068 000</t>
  </si>
  <si>
    <t>27047 AVALON</t>
  </si>
  <si>
    <t>60 016 01 0272 300</t>
  </si>
  <si>
    <t>6979 MARVIN</t>
  </si>
  <si>
    <t>03/10/2010</t>
  </si>
  <si>
    <t>60 016 01 0283 000</t>
  </si>
  <si>
    <t>6843 MARVIN</t>
  </si>
  <si>
    <t>60 016 01 0293 000</t>
  </si>
  <si>
    <t>6739 MARVIN</t>
  </si>
  <si>
    <t>60 016 01 0365 000</t>
  </si>
  <si>
    <t>6680 MC GUIRE</t>
  </si>
  <si>
    <t>60 016 01 0412 000</t>
  </si>
  <si>
    <t>MC GUIRE</t>
  </si>
  <si>
    <t>60 016 01 0416 000</t>
  </si>
  <si>
    <t>6719 MC GUIRE</t>
  </si>
  <si>
    <t>60 016 01 0424 000</t>
  </si>
  <si>
    <t>6635 MC GUIRE</t>
  </si>
  <si>
    <t>60 016 99 0033 000</t>
  </si>
  <si>
    <t>25921 BEVERLY</t>
  </si>
  <si>
    <t>932</t>
  </si>
  <si>
    <t>LOT</t>
  </si>
  <si>
    <t>60 016 99 0038 000</t>
  </si>
  <si>
    <t>6694 BEECH DALY</t>
  </si>
  <si>
    <t>60 016 99 0048 000</t>
  </si>
  <si>
    <t>6810 BEECH DALY</t>
  </si>
  <si>
    <t>60 016 99 0051 000</t>
  </si>
  <si>
    <t>6850 BEECH DALY</t>
  </si>
  <si>
    <t>60 020 01 0012 000</t>
  </si>
  <si>
    <t>8892 CONTINENTAL</t>
  </si>
  <si>
    <t>'420A0</t>
  </si>
  <si>
    <t>536</t>
  </si>
  <si>
    <t>60 020 01 0039 000</t>
  </si>
  <si>
    <t>8961 CONTINENTAL DR</t>
  </si>
  <si>
    <t>60 020 99 0034 000</t>
  </si>
  <si>
    <t>26175 MARY</t>
  </si>
  <si>
    <t>'420B0</t>
  </si>
  <si>
    <t>935</t>
  </si>
  <si>
    <t>60 021 02 0004 000</t>
  </si>
  <si>
    <t>24350 CHERNICK</t>
  </si>
  <si>
    <t>'422B9</t>
  </si>
  <si>
    <t>19</t>
  </si>
  <si>
    <t>60 021 02 0006 000</t>
  </si>
  <si>
    <t>24400 CHERNICK</t>
  </si>
  <si>
    <t>60 021 02 0035 000</t>
  </si>
  <si>
    <t>24329 CHAMPAIGN</t>
  </si>
  <si>
    <t>60 021 02 0042 000</t>
  </si>
  <si>
    <t>8143 BANNER</t>
  </si>
  <si>
    <t>60 021 02 0066 000</t>
  </si>
  <si>
    <t>7817 BANNER</t>
  </si>
  <si>
    <t>60 021 02 0072 000</t>
  </si>
  <si>
    <t>7760 BANNER</t>
  </si>
  <si>
    <t>60 021 02 0098 000</t>
  </si>
  <si>
    <t>24352 CHAMPAIGN</t>
  </si>
  <si>
    <t>60 021 02 0104 000</t>
  </si>
  <si>
    <t>24412 CHAMPAIGN</t>
  </si>
  <si>
    <t>60 021 02 0142 000</t>
  </si>
  <si>
    <t>24441 MYLER</t>
  </si>
  <si>
    <t>60 021 02 0157 000</t>
  </si>
  <si>
    <t>24328 MYLER</t>
  </si>
  <si>
    <t>60 021 02 0184 000</t>
  </si>
  <si>
    <t>24325 MUNSON</t>
  </si>
  <si>
    <t>01/21/2021</t>
  </si>
  <si>
    <t>60 021 03 0224 000</t>
  </si>
  <si>
    <t>24870 CHERNICK</t>
  </si>
  <si>
    <t>60 021 03 0245 000</t>
  </si>
  <si>
    <t>24813 CHAMPAIGN</t>
  </si>
  <si>
    <t>60 021 03 0384 000</t>
  </si>
  <si>
    <t>24522 WARD</t>
  </si>
  <si>
    <t>60 021 03 0412 000</t>
  </si>
  <si>
    <t>24917 HAYES</t>
  </si>
  <si>
    <t>60 021 03 0461 000</t>
  </si>
  <si>
    <t>24656 HAYES</t>
  </si>
  <si>
    <t>60 021 03 0463 000</t>
  </si>
  <si>
    <t>24706 HAYES</t>
  </si>
  <si>
    <t>60 021 03 0469 000</t>
  </si>
  <si>
    <t>24844 HAYES</t>
  </si>
  <si>
    <t>60 021 03 0476 000</t>
  </si>
  <si>
    <t>24946 HAYES</t>
  </si>
  <si>
    <t>60 022 01 0071 000</t>
  </si>
  <si>
    <t>7243 CHEROKEE</t>
  </si>
  <si>
    <t>'422A0</t>
  </si>
  <si>
    <t>18</t>
  </si>
  <si>
    <t>60 022 01 0076 000</t>
  </si>
  <si>
    <t>7157 CHEROKEE</t>
  </si>
  <si>
    <t>60 022 02 0011 000</t>
  </si>
  <si>
    <t>25205 CHARLES CT</t>
  </si>
  <si>
    <t>60 022 02 0013 000</t>
  </si>
  <si>
    <t>25167 CHARLES CT</t>
  </si>
  <si>
    <t>60 022 03 0025 000</t>
  </si>
  <si>
    <t>7190 WILKIE</t>
  </si>
  <si>
    <t>60 022 03 0055 002</t>
  </si>
  <si>
    <t>7549 WILKIE</t>
  </si>
  <si>
    <t>60 022 03 0059 000</t>
  </si>
  <si>
    <t>7721 WILKIE</t>
  </si>
  <si>
    <t>60 022 05 0484 000</t>
  </si>
  <si>
    <t>25084 HAYES</t>
  </si>
  <si>
    <t>60 022 05 0505 000</t>
  </si>
  <si>
    <t>25191 HAYES</t>
  </si>
  <si>
    <t>60 022 05 0513 000</t>
  </si>
  <si>
    <t>25055 HAYES</t>
  </si>
  <si>
    <t>60 022 05 0521 000</t>
  </si>
  <si>
    <t>25140 MYLER</t>
  </si>
  <si>
    <t>11/22/2010</t>
  </si>
  <si>
    <t>60 022 05 0526 000</t>
  </si>
  <si>
    <t>25136 WARD</t>
  </si>
  <si>
    <t>60 022 05 0547 000</t>
  </si>
  <si>
    <t>8126 MILLS</t>
  </si>
  <si>
    <t>60 022 05 0548 000</t>
  </si>
  <si>
    <t>8140 MILLS</t>
  </si>
  <si>
    <t>60 022 05 0583 000</t>
  </si>
  <si>
    <t>25054 CROWLEY</t>
  </si>
  <si>
    <t>60 022 05 0600 000</t>
  </si>
  <si>
    <t>25147 CROWLEY</t>
  </si>
  <si>
    <t>60 022 05 0618 000</t>
  </si>
  <si>
    <t>25170 CHAMPAIGN</t>
  </si>
  <si>
    <t>60 022 06 0295 002</t>
  </si>
  <si>
    <t>25664 CHAMPAIGN</t>
  </si>
  <si>
    <t>60 022 06 0304 002</t>
  </si>
  <si>
    <t>25518 CHAMPAIGN</t>
  </si>
  <si>
    <t>60 023 01 0018 000</t>
  </si>
  <si>
    <t>25104 WICK</t>
  </si>
  <si>
    <t>'423A9</t>
  </si>
  <si>
    <t>70</t>
  </si>
  <si>
    <t>60 023 01 0073 000</t>
  </si>
  <si>
    <t>24329 MARY</t>
  </si>
  <si>
    <t>60 023 01 0094 000</t>
  </si>
  <si>
    <t>24755 MARY</t>
  </si>
  <si>
    <t>60 023 01 0100 312</t>
  </si>
  <si>
    <t>9040 WESTLAKE</t>
  </si>
  <si>
    <t>60 023 02 0001 000</t>
  </si>
  <si>
    <t>25016 FILMORE</t>
  </si>
  <si>
    <t>60 023 02 0009 000</t>
  </si>
  <si>
    <t>25146 FILMORE</t>
  </si>
  <si>
    <t>60 023 02 0011 000</t>
  </si>
  <si>
    <t>25204 FILMORE</t>
  </si>
  <si>
    <t>60 023 02 0020 000</t>
  </si>
  <si>
    <t>25338 FILMORE</t>
  </si>
  <si>
    <t>60 023 02 0030 000</t>
  </si>
  <si>
    <t>25329 FILMORE</t>
  </si>
  <si>
    <t>60 023 02 0045 000</t>
  </si>
  <si>
    <t>25049 FILMORE</t>
  </si>
  <si>
    <t>60 023 02 0049 000</t>
  </si>
  <si>
    <t>25014 HASKELL</t>
  </si>
  <si>
    <t>60 023 02 0057 000</t>
  </si>
  <si>
    <t>25144 HASKELL</t>
  </si>
  <si>
    <t>60 023 02 0058 000</t>
  </si>
  <si>
    <t>25154 HASKELL</t>
  </si>
  <si>
    <t>60 023 03 0119 000</t>
  </si>
  <si>
    <t>25601 HASKELL</t>
  </si>
  <si>
    <t>60 023 03 0131 000</t>
  </si>
  <si>
    <t>25738 HASKELL</t>
  </si>
  <si>
    <t>60 023 03 0140 000</t>
  </si>
  <si>
    <t>25602 HASKELL</t>
  </si>
  <si>
    <t>60 023 03 0157 000</t>
  </si>
  <si>
    <t>25533 FILMORE</t>
  </si>
  <si>
    <t>60 023 03 0176 000</t>
  </si>
  <si>
    <t>25648 FILMORE</t>
  </si>
  <si>
    <t>60 023 04 0209 000</t>
  </si>
  <si>
    <t>25631 CHAMPAIGN</t>
  </si>
  <si>
    <t>60 023 04 0215 000</t>
  </si>
  <si>
    <t>25735 CHAMPAIGN</t>
  </si>
  <si>
    <t>60 023 04 0246 000</t>
  </si>
  <si>
    <t>25639 CHERNICK</t>
  </si>
  <si>
    <t>60 023 04 0251 000</t>
  </si>
  <si>
    <t>25733 CHERNICK</t>
  </si>
  <si>
    <t>60 023 04 0256 000</t>
  </si>
  <si>
    <t>25734 WOHLFEIL</t>
  </si>
  <si>
    <t>60 023 04 0259 000</t>
  </si>
  <si>
    <t>25662 WOHLFEIL</t>
  </si>
  <si>
    <t>60 023 04 0265 000</t>
  </si>
  <si>
    <t>25548 WOHLFEIL</t>
  </si>
  <si>
    <t>60 023 04 0278 000</t>
  </si>
  <si>
    <t>25549 WOHLFEIL</t>
  </si>
  <si>
    <t>60 023 07 0007 000</t>
  </si>
  <si>
    <t>8800 WESTLAKE</t>
  </si>
  <si>
    <t>60 024 02 0011 300</t>
  </si>
  <si>
    <t>24628 MARY</t>
  </si>
  <si>
    <t>60 024 02 0015 000</t>
  </si>
  <si>
    <t>24532 MARY</t>
  </si>
  <si>
    <t>60 024 02 0040 000</t>
  </si>
  <si>
    <t>24337 HASKELL</t>
  </si>
  <si>
    <t>60 024 02 0044 001</t>
  </si>
  <si>
    <t>24431 HASKELL</t>
  </si>
  <si>
    <t>60 024 02 0044 002</t>
  </si>
  <si>
    <t>24443 HASKELL</t>
  </si>
  <si>
    <t>60 024 02 0045 001</t>
  </si>
  <si>
    <t>24455 HASKELL</t>
  </si>
  <si>
    <t>01/20/2000</t>
  </si>
  <si>
    <t>60 024 99 0013 000</t>
  </si>
  <si>
    <t>24303 CHERNICK</t>
  </si>
  <si>
    <t>60 025 01 0010 002</t>
  </si>
  <si>
    <t>7880 CLIPPERT</t>
  </si>
  <si>
    <t>'430A0</t>
  </si>
  <si>
    <t>13</t>
  </si>
  <si>
    <t>60 025 01 0055 002</t>
  </si>
  <si>
    <t>7874 WILLIAM</t>
  </si>
  <si>
    <t>60 025 01 0064 002</t>
  </si>
  <si>
    <t>8032 WILLIAM</t>
  </si>
  <si>
    <t>60 025 01 0076 002</t>
  </si>
  <si>
    <t>7903 DUDLEY</t>
  </si>
  <si>
    <t>60 025 01 0092 002</t>
  </si>
  <si>
    <t>7866 DUDLEY</t>
  </si>
  <si>
    <t>60 025 01 0097 002</t>
  </si>
  <si>
    <t>7910 DUDLEY</t>
  </si>
  <si>
    <t>60 025 01 0114 002</t>
  </si>
  <si>
    <t>7903 KATHERINE</t>
  </si>
  <si>
    <t>60 025 01 0141 000</t>
  </si>
  <si>
    <t>8002 KATHERINE</t>
  </si>
  <si>
    <t>60 025 01 0154 002</t>
  </si>
  <si>
    <t>8021 MONROE</t>
  </si>
  <si>
    <t>60 025 01 0165 002</t>
  </si>
  <si>
    <t>7903 MONROE</t>
  </si>
  <si>
    <t>60 025 01 0169 002</t>
  </si>
  <si>
    <t>7885 MONROE</t>
  </si>
  <si>
    <t>60 025 01 0208 002</t>
  </si>
  <si>
    <t>7884 MONROE</t>
  </si>
  <si>
    <t>60 025 01 0225 002</t>
  </si>
  <si>
    <t>8028 MONROE</t>
  </si>
  <si>
    <t>60 025 01 0259 002</t>
  </si>
  <si>
    <t>8047 ROOSEVELT</t>
  </si>
  <si>
    <t>60 025 01 0262 002</t>
  </si>
  <si>
    <t>8019 ROOSEVELT</t>
  </si>
  <si>
    <t>60 025 01 0270 002</t>
  </si>
  <si>
    <t>7873 ROOSEVELT</t>
  </si>
  <si>
    <t>60 025 01 0271 002</t>
  </si>
  <si>
    <t>7865 ROOSEVELT</t>
  </si>
  <si>
    <t>60 025 01 0278 002</t>
  </si>
  <si>
    <t>7815 ROOSEVELT</t>
  </si>
  <si>
    <t>60 025 02 0470 004</t>
  </si>
  <si>
    <t>22948 CHAMPAIGN</t>
  </si>
  <si>
    <t>'425A0</t>
  </si>
  <si>
    <t>14A</t>
  </si>
  <si>
    <t>60 025 02 0511 002</t>
  </si>
  <si>
    <t>7562 TULANE</t>
  </si>
  <si>
    <t>60 025 02 0514 002</t>
  </si>
  <si>
    <t>7544 TULANE</t>
  </si>
  <si>
    <t>60 025 02 0534 002</t>
  </si>
  <si>
    <t>7547 TULANE</t>
  </si>
  <si>
    <t>60 025 02 0540 002</t>
  </si>
  <si>
    <t>7621 TULANE</t>
  </si>
  <si>
    <t>60 025 02 0584 002</t>
  </si>
  <si>
    <t>7512 TRAFALGAR</t>
  </si>
  <si>
    <t>60 025 02 0623 002</t>
  </si>
  <si>
    <t>7901 TRAFALGAR</t>
  </si>
  <si>
    <t>60 025 02 0669 002</t>
  </si>
  <si>
    <t>7932 MARGARET</t>
  </si>
  <si>
    <t>60 025 02 0670 002</t>
  </si>
  <si>
    <t>7922 MARGARET</t>
  </si>
  <si>
    <t>60 025 02 0814 001</t>
  </si>
  <si>
    <t>7829 SLOAN</t>
  </si>
  <si>
    <t>60 025 02 0819 002</t>
  </si>
  <si>
    <t>7905 SLOAN</t>
  </si>
  <si>
    <t>60 025 02 0826 001</t>
  </si>
  <si>
    <t>8005 SLOAN</t>
  </si>
  <si>
    <t>60 025 02 0826 002</t>
  </si>
  <si>
    <t>8015 SLOAN</t>
  </si>
  <si>
    <t>60 025 02 0827 002</t>
  </si>
  <si>
    <t>8025 SLOAN</t>
  </si>
  <si>
    <t>60 025 02 0930 001</t>
  </si>
  <si>
    <t>7958 MC KINLEY</t>
  </si>
  <si>
    <t>60 025 03 0125 000</t>
  </si>
  <si>
    <t>22055 STUDIO</t>
  </si>
  <si>
    <t>60 025 03 0135 000</t>
  </si>
  <si>
    <t>22231 STUDIO</t>
  </si>
  <si>
    <t>60 025 03 0144 000</t>
  </si>
  <si>
    <t>7591 SLOAN</t>
  </si>
  <si>
    <t>60 025 03 0161 000</t>
  </si>
  <si>
    <t>22126 HAYES</t>
  </si>
  <si>
    <t>60 025 04 0025 000</t>
  </si>
  <si>
    <t>22221 HAYES</t>
  </si>
  <si>
    <t>60 025 04 0040 000</t>
  </si>
  <si>
    <t>22755 HAYES</t>
  </si>
  <si>
    <t>60 025 04 0048 000</t>
  </si>
  <si>
    <t>7842 TULANE</t>
  </si>
  <si>
    <t>60 025 04 0056 000</t>
  </si>
  <si>
    <t>8000 TULANE</t>
  </si>
  <si>
    <t>60 025 04 0080 000</t>
  </si>
  <si>
    <t>22748 CHAMPAIGN</t>
  </si>
  <si>
    <t>60 025 04 0083 000</t>
  </si>
  <si>
    <t>22712 CHAMPAIGN</t>
  </si>
  <si>
    <t>60 025 04 0119 000</t>
  </si>
  <si>
    <t>22334 CHAMPAIGN</t>
  </si>
  <si>
    <t>60 025 04 0138 000</t>
  </si>
  <si>
    <t>22234 CHAMPAIGN</t>
  </si>
  <si>
    <t>60 025 04 0143 000</t>
  </si>
  <si>
    <t>8100 MC KINLEY</t>
  </si>
  <si>
    <t>60 025 04 0147 000</t>
  </si>
  <si>
    <t>8034 MC KINLEY</t>
  </si>
  <si>
    <t>60 025 05 0009 000</t>
  </si>
  <si>
    <t>22133 CHARLES CT</t>
  </si>
  <si>
    <t>60 026 02 0140 000</t>
  </si>
  <si>
    <t>8044 CORNELL</t>
  </si>
  <si>
    <t>'426B9</t>
  </si>
  <si>
    <t>16</t>
  </si>
  <si>
    <t>60 026 02 0141 000</t>
  </si>
  <si>
    <t>8034 CORNELL</t>
  </si>
  <si>
    <t>60 026 02 0179 000</t>
  </si>
  <si>
    <t>8043 CORNELL</t>
  </si>
  <si>
    <t>60 026 02 0208 000</t>
  </si>
  <si>
    <t>8034 SYRACUSE</t>
  </si>
  <si>
    <t>60 026 02 0231 000</t>
  </si>
  <si>
    <t>7861 SYRACUSE</t>
  </si>
  <si>
    <t>60 026 02 0248 000</t>
  </si>
  <si>
    <t>8065 SYRACUSE</t>
  </si>
  <si>
    <t>60 026 02 0282 000</t>
  </si>
  <si>
    <t>7942 PINE</t>
  </si>
  <si>
    <t>60 026 02 0297 000</t>
  </si>
  <si>
    <t>7849 PINE</t>
  </si>
  <si>
    <t>60 026 02 0318 000</t>
  </si>
  <si>
    <t>8091 PINE</t>
  </si>
  <si>
    <t>10/30/2020</t>
  </si>
  <si>
    <t>60 026 02 0327 003</t>
  </si>
  <si>
    <t>8225 PINE</t>
  </si>
  <si>
    <t>60 026 02 0349 000</t>
  </si>
  <si>
    <t>8304 OAK</t>
  </si>
  <si>
    <t>60 026 02 0357 003</t>
  </si>
  <si>
    <t>8208 OAK</t>
  </si>
  <si>
    <t>60 026 02 0374 000</t>
  </si>
  <si>
    <t>8084 OAK</t>
  </si>
  <si>
    <t>60 026 02 0396 000</t>
  </si>
  <si>
    <t>7820 OAK</t>
  </si>
  <si>
    <t>60 026 02 0403 000</t>
  </si>
  <si>
    <t>7891 OAK</t>
  </si>
  <si>
    <t>60 026 02 0414 002</t>
  </si>
  <si>
    <t>8045 OAK</t>
  </si>
  <si>
    <t>60 026 02 0420 000</t>
  </si>
  <si>
    <t>8095 OAK</t>
  </si>
  <si>
    <t>60 026 02 0427 000</t>
  </si>
  <si>
    <t>23430 CHAMPAIGN</t>
  </si>
  <si>
    <t>60 026 02 0438 000</t>
  </si>
  <si>
    <t>8249 OAK</t>
  </si>
  <si>
    <t>60 026 02 0453 000</t>
  </si>
  <si>
    <t>8290 ELM</t>
  </si>
  <si>
    <t>60 026 02 0486 000</t>
  </si>
  <si>
    <t>7964 ELM</t>
  </si>
  <si>
    <t>60 026 02 0490 000</t>
  </si>
  <si>
    <t>7916 ELM</t>
  </si>
  <si>
    <t>60 026 02 0491 000</t>
  </si>
  <si>
    <t>7904 ELM</t>
  </si>
  <si>
    <t>60 026 02 0513 300</t>
  </si>
  <si>
    <t>8009 ELM</t>
  </si>
  <si>
    <t>01/23/2013</t>
  </si>
  <si>
    <t>60 026 02 0517 000</t>
  </si>
  <si>
    <t>8045 ELM</t>
  </si>
  <si>
    <t>60 026 02 0554 000</t>
  </si>
  <si>
    <t>8290 BIRCH</t>
  </si>
  <si>
    <t>60 026 02 0557 000</t>
  </si>
  <si>
    <t>8256 BIRCH</t>
  </si>
  <si>
    <t>60 026 02 0561 002</t>
  </si>
  <si>
    <t>8216 BIRCH</t>
  </si>
  <si>
    <t>60 026 02 0591 000</t>
  </si>
  <si>
    <t>7928 BIRCH</t>
  </si>
  <si>
    <t>60 026 02 0608 000</t>
  </si>
  <si>
    <t>7905 BIRCH</t>
  </si>
  <si>
    <t>60 026 02 0614 000</t>
  </si>
  <si>
    <t>7977 BIRCH</t>
  </si>
  <si>
    <t>60 026 02 0631 002</t>
  </si>
  <si>
    <t>23226 CHAMPAIGN</t>
  </si>
  <si>
    <t>60 026 02 0645 000</t>
  </si>
  <si>
    <t>8291 BIRCH</t>
  </si>
  <si>
    <t>60 026 02 0661 000</t>
  </si>
  <si>
    <t>8278 ROBERT</t>
  </si>
  <si>
    <t>60 026 02 0663 000</t>
  </si>
  <si>
    <t>8270 ROBERT</t>
  </si>
  <si>
    <t>60 026 02 0689 000</t>
  </si>
  <si>
    <t>8090 ROBERT</t>
  </si>
  <si>
    <t>60 026 02 0722 300</t>
  </si>
  <si>
    <t>7904 PARDEE</t>
  </si>
  <si>
    <t>60 026 03 0009 000</t>
  </si>
  <si>
    <t>7652 PINE</t>
  </si>
  <si>
    <t>'426A0</t>
  </si>
  <si>
    <t>14B</t>
  </si>
  <si>
    <t>60 026 03 0042 000</t>
  </si>
  <si>
    <t>7549 PINE</t>
  </si>
  <si>
    <t>60 026 03 0044 000</t>
  </si>
  <si>
    <t>7528 OAK</t>
  </si>
  <si>
    <t>60 026 03 0048 000</t>
  </si>
  <si>
    <t>7352 OAK</t>
  </si>
  <si>
    <t>60 026 03 0097 000</t>
  </si>
  <si>
    <t>7178 ELM</t>
  </si>
  <si>
    <t>60 026 03 0160 000</t>
  </si>
  <si>
    <t>23262 HAYES</t>
  </si>
  <si>
    <t>60 026 03 0162 000</t>
  </si>
  <si>
    <t>7610 PARDEE</t>
  </si>
  <si>
    <t>60 027 01 0075 000</t>
  </si>
  <si>
    <t>8327 CORNELL</t>
  </si>
  <si>
    <t>'427A0</t>
  </si>
  <si>
    <t>458</t>
  </si>
  <si>
    <t>60 027 01 0076 300</t>
  </si>
  <si>
    <t>8315 CORNELL</t>
  </si>
  <si>
    <t>60 027 01 0085 000</t>
  </si>
  <si>
    <t>23753 CHAMPAIGN</t>
  </si>
  <si>
    <t>60 027 03 0603 003</t>
  </si>
  <si>
    <t>23490 MARY</t>
  </si>
  <si>
    <t>'427C0</t>
  </si>
  <si>
    <t>17</t>
  </si>
  <si>
    <t>60 027 03 0603 004</t>
  </si>
  <si>
    <t>23470 MARY</t>
  </si>
  <si>
    <t>60 027 03 0610 300</t>
  </si>
  <si>
    <t>23221 MARY</t>
  </si>
  <si>
    <t>60 027 03 0612 001</t>
  </si>
  <si>
    <t>23365 MARY</t>
  </si>
  <si>
    <t>60 027 03 0618 000</t>
  </si>
  <si>
    <t>23651 MARY</t>
  </si>
  <si>
    <t>60 027 04 0022 000</t>
  </si>
  <si>
    <t>23358 FILMORE</t>
  </si>
  <si>
    <t>'427B0</t>
  </si>
  <si>
    <t>14C</t>
  </si>
  <si>
    <t>60 027 04 0032 000</t>
  </si>
  <si>
    <t>8430 BIRCH</t>
  </si>
  <si>
    <t>60 027 04 0048 000</t>
  </si>
  <si>
    <t>23545 WOHLFEIL</t>
  </si>
  <si>
    <t>60 027 04 0075 000</t>
  </si>
  <si>
    <t>23668 FILMORE</t>
  </si>
  <si>
    <t>60 027 04 0085 000</t>
  </si>
  <si>
    <t>23526 FILMORE</t>
  </si>
  <si>
    <t>60 027 04 0086 000</t>
  </si>
  <si>
    <t>23516 FILMORE</t>
  </si>
  <si>
    <t>60 027 04 0091 000</t>
  </si>
  <si>
    <t>23462 FILMORE</t>
  </si>
  <si>
    <t>60 027 04 0104 000</t>
  </si>
  <si>
    <t>23335 FILMORE</t>
  </si>
  <si>
    <t>60 027 04 0110 000</t>
  </si>
  <si>
    <t>23411 FILMORE</t>
  </si>
  <si>
    <t>60 027 04 0155 000</t>
  </si>
  <si>
    <t>23425 CALVIN</t>
  </si>
  <si>
    <t>60 027 04 0162 000</t>
  </si>
  <si>
    <t>23511 CALVIN</t>
  </si>
  <si>
    <t>60 027 04 0167 000</t>
  </si>
  <si>
    <t>23551 CALVIN</t>
  </si>
  <si>
    <t>60 027 04 0186 000</t>
  </si>
  <si>
    <t>23702 IRVING</t>
  </si>
  <si>
    <t>60 027 04 0217 000</t>
  </si>
  <si>
    <t>23411 IRVING</t>
  </si>
  <si>
    <t>60 027 04 0230 000</t>
  </si>
  <si>
    <t>23561 IRVING</t>
  </si>
  <si>
    <t>60 027 04 0236 000</t>
  </si>
  <si>
    <t>23663 IRVING</t>
  </si>
  <si>
    <t>60 027 04 0241 000</t>
  </si>
  <si>
    <t>23695 IRVING</t>
  </si>
  <si>
    <t>60 027 04 0246 000</t>
  </si>
  <si>
    <t>23731 IRVING</t>
  </si>
  <si>
    <t>60 028 01 0012 000</t>
  </si>
  <si>
    <t>9049 ROBERT</t>
  </si>
  <si>
    <t>'428B9</t>
  </si>
  <si>
    <t>15</t>
  </si>
  <si>
    <t>60 028 01 0020 000</t>
  </si>
  <si>
    <t>9085 ROBERT</t>
  </si>
  <si>
    <t>60 028 01 0042 300</t>
  </si>
  <si>
    <t>9108 GROSCHNER</t>
  </si>
  <si>
    <t>60 028 01 0060 000</t>
  </si>
  <si>
    <t>9181 GROSCHNER</t>
  </si>
  <si>
    <t>60 028 01 0061 000</t>
  </si>
  <si>
    <t>60 028 01 0079 000</t>
  </si>
  <si>
    <t>9122 TRAFALGAR</t>
  </si>
  <si>
    <t>60 028 01 0201 302</t>
  </si>
  <si>
    <t>9072 LINCOLN</t>
  </si>
  <si>
    <t>'428A0</t>
  </si>
  <si>
    <t>14D</t>
  </si>
  <si>
    <t>60 028 01 0247 002</t>
  </si>
  <si>
    <t>9026 MC KINLEY</t>
  </si>
  <si>
    <t>60 028 01 0260 002</t>
  </si>
  <si>
    <t>9075 MC KINLEY</t>
  </si>
  <si>
    <t>60 028 01 0306 000</t>
  </si>
  <si>
    <t>22030 WICK</t>
  </si>
  <si>
    <t>60 028 02 0035 000</t>
  </si>
  <si>
    <t>22726 HASKELL</t>
  </si>
  <si>
    <t>60 028 02 0056 000</t>
  </si>
  <si>
    <t>22217 HASKELL</t>
  </si>
  <si>
    <t>60 028 02 0077 000</t>
  </si>
  <si>
    <t>22228 HASKELL</t>
  </si>
  <si>
    <t>60 028 02 0102 000</t>
  </si>
  <si>
    <t>22331 SAMUEL</t>
  </si>
  <si>
    <t>60 028 02 0105 000</t>
  </si>
  <si>
    <t>22301 SAMUEL</t>
  </si>
  <si>
    <t>60 028 02 0114 000</t>
  </si>
  <si>
    <t>22129 SAMUEL</t>
  </si>
  <si>
    <t>60 028 02 0115 000</t>
  </si>
  <si>
    <t>22119 SAMUEL</t>
  </si>
  <si>
    <t>60 028 02 0151 000</t>
  </si>
  <si>
    <t>22351 DAVID</t>
  </si>
  <si>
    <t>60 028 02 0161 000</t>
  </si>
  <si>
    <t>22221 DAVID</t>
  </si>
  <si>
    <t>60 028 02 0163 000</t>
  </si>
  <si>
    <t>22201 DAVID</t>
  </si>
  <si>
    <t>60 028 02 0180 000</t>
  </si>
  <si>
    <t>22262 DAVID</t>
  </si>
  <si>
    <t>60 028 02 0185 000</t>
  </si>
  <si>
    <t>22342 DAVID</t>
  </si>
  <si>
    <t>60 028 02 0193 000</t>
  </si>
  <si>
    <t>8341 MARGARET</t>
  </si>
  <si>
    <t>60 028 02 0207 000</t>
  </si>
  <si>
    <t>22253 WOHLFEIL</t>
  </si>
  <si>
    <t>60 028 02 0258 002</t>
  </si>
  <si>
    <t>22269 CHAMPAIGN</t>
  </si>
  <si>
    <t>60 028 02 0261 000</t>
  </si>
  <si>
    <t>22229 CHAMPAIGN</t>
  </si>
  <si>
    <t>60 028 02 0262 000</t>
  </si>
  <si>
    <t>22219 CHAMPAIGN</t>
  </si>
  <si>
    <t>01/26/2021</t>
  </si>
  <si>
    <t>60 028 02 0297 000</t>
  </si>
  <si>
    <t>8512 MONROE</t>
  </si>
  <si>
    <t>60 028 02 0304 000</t>
  </si>
  <si>
    <t>8400 MONROE</t>
  </si>
  <si>
    <t>60 028 03 0010 000</t>
  </si>
  <si>
    <t>22310 FAIRFAX</t>
  </si>
  <si>
    <t>60 028 03 0022 000</t>
  </si>
  <si>
    <t>22358 MARY</t>
  </si>
  <si>
    <t>60 028 03 0057 000</t>
  </si>
  <si>
    <t>22130 BRIAN</t>
  </si>
  <si>
    <t>60 028 03 0068 000</t>
  </si>
  <si>
    <t>22237 FAIRFAX</t>
  </si>
  <si>
    <t>60 028 03 0084 000</t>
  </si>
  <si>
    <t>22206 MARY</t>
  </si>
  <si>
    <t>60 028 03 0090 000</t>
  </si>
  <si>
    <t>22122 MARY</t>
  </si>
  <si>
    <t>60 028 03 0103 000</t>
  </si>
  <si>
    <t>22129 BRIAN</t>
  </si>
  <si>
    <t>60 028 03 0123 000</t>
  </si>
  <si>
    <t>22032 BRIAN</t>
  </si>
  <si>
    <t>60 028 03 0127 000</t>
  </si>
  <si>
    <t>8830 MONROE</t>
  </si>
  <si>
    <t>60 029 01 0040 300</t>
  </si>
  <si>
    <t>7534 PELHAM</t>
  </si>
  <si>
    <t>'429A0</t>
  </si>
  <si>
    <t>7</t>
  </si>
  <si>
    <t>60 029 01 0055 300</t>
  </si>
  <si>
    <t>7584 PELHAM</t>
  </si>
  <si>
    <t>12/03/2019</t>
  </si>
  <si>
    <t>60 029 01 0142 000</t>
  </si>
  <si>
    <t>7833 ZIEGLER</t>
  </si>
  <si>
    <t>60 029 01 0141 000</t>
  </si>
  <si>
    <t>60 029 01 0173 300</t>
  </si>
  <si>
    <t>7189 ZIEGLER</t>
  </si>
  <si>
    <t>60 029 01 0189 000</t>
  </si>
  <si>
    <t>7206 ZIEGLER</t>
  </si>
  <si>
    <t>60 029 01 0252 000</t>
  </si>
  <si>
    <t>7951 JACKSON</t>
  </si>
  <si>
    <t>60 029 01 0265 000</t>
  </si>
  <si>
    <t>7773 JACKSON</t>
  </si>
  <si>
    <t>60 029 01 0280 000</t>
  </si>
  <si>
    <t>7545 JACKSON</t>
  </si>
  <si>
    <t>60 029 02 0005 000</t>
  </si>
  <si>
    <t>7615 WEDDEL</t>
  </si>
  <si>
    <t>60 029 02 0046 002</t>
  </si>
  <si>
    <t>7180 JACKSON</t>
  </si>
  <si>
    <t>60 029 03 0353 000</t>
  </si>
  <si>
    <t>7704 MAYFAIR</t>
  </si>
  <si>
    <t>60 029 03 0377 000</t>
  </si>
  <si>
    <t>8012 MAYFAIR</t>
  </si>
  <si>
    <t>60 029 03 0385 000</t>
  </si>
  <si>
    <t>20410 CHAMPAIGN</t>
  </si>
  <si>
    <t>60 029 03 0411 000</t>
  </si>
  <si>
    <t>7807 MAYFAIR</t>
  </si>
  <si>
    <t>60 029 03 0434 000</t>
  </si>
  <si>
    <t>7511 MAYFAIR</t>
  </si>
  <si>
    <t>60 029 03 0443 000</t>
  </si>
  <si>
    <t>7145 MAYFAIR</t>
  </si>
  <si>
    <t>60 029 03 0464 000</t>
  </si>
  <si>
    <t>7220 WEDDEL</t>
  </si>
  <si>
    <t>60 029 03 0529 000</t>
  </si>
  <si>
    <t>7973 WEDDEL</t>
  </si>
  <si>
    <t>60 029 03 0544 000</t>
  </si>
  <si>
    <t>7755 WEDDEL</t>
  </si>
  <si>
    <t>60 029 03 0551 000</t>
  </si>
  <si>
    <t>7712 JACKSON</t>
  </si>
  <si>
    <t>60 029 03 0556 000</t>
  </si>
  <si>
    <t>7772 JACKSON</t>
  </si>
  <si>
    <t>60 029 04 0060 000</t>
  </si>
  <si>
    <t>7749 HURON</t>
  </si>
  <si>
    <t>60 029 04 0075 000</t>
  </si>
  <si>
    <t>7961 HURON</t>
  </si>
  <si>
    <t>60 029 04 0105 000</t>
  </si>
  <si>
    <t>20626 CHAMPAIGN</t>
  </si>
  <si>
    <t>60 029 04 0122 000</t>
  </si>
  <si>
    <t>7931 POLK</t>
  </si>
  <si>
    <t>60 029 04 0188 000</t>
  </si>
  <si>
    <t>7658 HIPP</t>
  </si>
  <si>
    <t>60 029 04 0213 000</t>
  </si>
  <si>
    <t>8008 HIPP</t>
  </si>
  <si>
    <t>60 029 04 0229 000</t>
  </si>
  <si>
    <t>7877 HIPP</t>
  </si>
  <si>
    <t>60 029 04 0245 000</t>
  </si>
  <si>
    <t>7659 HIPP</t>
  </si>
  <si>
    <t>60 029 04 0286 000</t>
  </si>
  <si>
    <t>7580 HURON</t>
  </si>
  <si>
    <t>60 029 05 0009 000</t>
  </si>
  <si>
    <t>7550 POLK</t>
  </si>
  <si>
    <t>'429B9</t>
  </si>
  <si>
    <t>11</t>
  </si>
  <si>
    <t>60 029 05 0018 000</t>
  </si>
  <si>
    <t>20729 HAYES</t>
  </si>
  <si>
    <t>60 029 05 0026 000</t>
  </si>
  <si>
    <t>7826 POLK</t>
  </si>
  <si>
    <t>60 029 05 0042 000</t>
  </si>
  <si>
    <t>7931 MERRICK</t>
  </si>
  <si>
    <t>60 029 05 0049 000</t>
  </si>
  <si>
    <t>7855 MERRICK</t>
  </si>
  <si>
    <t>60 029 05 0068 000</t>
  </si>
  <si>
    <t>7545 MERRICK</t>
  </si>
  <si>
    <t>60 029 05 0091 000</t>
  </si>
  <si>
    <t>7870 MERRICK</t>
  </si>
  <si>
    <t>60 029 05 0092 000</t>
  </si>
  <si>
    <t>7880 MERRICK</t>
  </si>
  <si>
    <t>60 029 05 0106 000</t>
  </si>
  <si>
    <t>7919 HARDING</t>
  </si>
  <si>
    <t>60 029 05 0125 000</t>
  </si>
  <si>
    <t>7635 HARDING</t>
  </si>
  <si>
    <t>60 029 05 0145 000</t>
  </si>
  <si>
    <t>7678 HARDING</t>
  </si>
  <si>
    <t>60 029 05 0149 000</t>
  </si>
  <si>
    <t>7826 HARDING</t>
  </si>
  <si>
    <t>60 029 05 0171 000</t>
  </si>
  <si>
    <t>8010 HARDING</t>
  </si>
  <si>
    <t>60 029 05 0177 000</t>
  </si>
  <si>
    <t>8146 POLK</t>
  </si>
  <si>
    <t>60 030 01 0034 002</t>
  </si>
  <si>
    <t>7613 CAMPBELL</t>
  </si>
  <si>
    <t>60 030 01 0043 001</t>
  </si>
  <si>
    <t>7269 CAMPBELL</t>
  </si>
  <si>
    <t>60 030 01 0066 000</t>
  </si>
  <si>
    <t>7156 MORTENVIEW</t>
  </si>
  <si>
    <t>'434A9</t>
  </si>
  <si>
    <t>12</t>
  </si>
  <si>
    <t>60 030 01 0084 000</t>
  </si>
  <si>
    <t>7260 MORTENVIEW</t>
  </si>
  <si>
    <t>60 030 01 0159 300</t>
  </si>
  <si>
    <t>8118 MORTENVIEW</t>
  </si>
  <si>
    <t>60 030 02 0024 002</t>
  </si>
  <si>
    <t>7518 CAMPBELL</t>
  </si>
  <si>
    <t>60 030 02 0050 000</t>
  </si>
  <si>
    <t>7607 CLIPPERT</t>
  </si>
  <si>
    <t>60 030 02 0069 000</t>
  </si>
  <si>
    <t>7255 CLIPPERT</t>
  </si>
  <si>
    <t>60 030 03 0053 000</t>
  </si>
  <si>
    <t>7168 CLIPPERT</t>
  </si>
  <si>
    <t>60 030 03 0067 002</t>
  </si>
  <si>
    <t>7258 CLIPPERT</t>
  </si>
  <si>
    <t>60 030 03 0103 002</t>
  </si>
  <si>
    <t>7631 WILLIAM</t>
  </si>
  <si>
    <t>60 030 03 0110 000</t>
  </si>
  <si>
    <t>7571 WILLIAM</t>
  </si>
  <si>
    <t>60 030 03 0128 302</t>
  </si>
  <si>
    <t>7141 WILLIAM</t>
  </si>
  <si>
    <t>60 030 03 0138 002</t>
  </si>
  <si>
    <t>7240 WILLIAM</t>
  </si>
  <si>
    <t>60 030 03 0156 000</t>
  </si>
  <si>
    <t>7664 WILLIAM</t>
  </si>
  <si>
    <t>60 030 03 0188 000</t>
  </si>
  <si>
    <t>7145 DUDLEY</t>
  </si>
  <si>
    <t>60 030 03 0197 000</t>
  </si>
  <si>
    <t>7220 DUDLEY</t>
  </si>
  <si>
    <t>60 030 03 0199 002</t>
  </si>
  <si>
    <t>7256 DUDLEY</t>
  </si>
  <si>
    <t>60 030 03 0233 000</t>
  </si>
  <si>
    <t>7561 KATHERINE</t>
  </si>
  <si>
    <t>60 030 03 0248 002</t>
  </si>
  <si>
    <t>7275 KATHERINE</t>
  </si>
  <si>
    <t>60 030 03 0268 000</t>
  </si>
  <si>
    <t>7572 KATHERINE</t>
  </si>
  <si>
    <t>60 030 03 0271 002</t>
  </si>
  <si>
    <t>7660 KATHERINE</t>
  </si>
  <si>
    <t>60 030 03 0286 002</t>
  </si>
  <si>
    <t>7721 MONROE</t>
  </si>
  <si>
    <t>60 030 03 0300 002</t>
  </si>
  <si>
    <t>7581 MONROE</t>
  </si>
  <si>
    <t>60 030 04 0018 000</t>
  </si>
  <si>
    <t>8115 KATHERINE</t>
  </si>
  <si>
    <t>60 030 04 0025 000</t>
  </si>
  <si>
    <t>8065 DUDLEY</t>
  </si>
  <si>
    <t>60 030 05 0008 000</t>
  </si>
  <si>
    <t>8062 CAMPBELL</t>
  </si>
  <si>
    <t>'430E0</t>
  </si>
  <si>
    <t>110</t>
  </si>
  <si>
    <t>60 030 05 0010 000</t>
  </si>
  <si>
    <t>8034 CAMPBELL</t>
  </si>
  <si>
    <t>60 030 05 0036 000</t>
  </si>
  <si>
    <t>7921 CLIPPERT</t>
  </si>
  <si>
    <t>60 030 06 0003 000</t>
  </si>
  <si>
    <t>7130 POLK</t>
  </si>
  <si>
    <t>'530B0</t>
  </si>
  <si>
    <t>CONDO'S ATTACHED</t>
  </si>
  <si>
    <t>GLENN ABBEY</t>
  </si>
  <si>
    <t>60 030 99 0014 000</t>
  </si>
  <si>
    <t>7831 DUDLEY</t>
  </si>
  <si>
    <t>60 031 01 0078 002</t>
  </si>
  <si>
    <t>21548 WICK</t>
  </si>
  <si>
    <t>'431B0</t>
  </si>
  <si>
    <t>10</t>
  </si>
  <si>
    <t>60 031 01 0120 000</t>
  </si>
  <si>
    <t>9026 CLIPPERT</t>
  </si>
  <si>
    <t>60 031 01 0129 000</t>
  </si>
  <si>
    <t>8898 CLIPPERT</t>
  </si>
  <si>
    <t>60 031 01 0131 000</t>
  </si>
  <si>
    <t>8890 CLIPPERT</t>
  </si>
  <si>
    <t>60 031 01 0137 000</t>
  </si>
  <si>
    <t>8866 CLIPPERT</t>
  </si>
  <si>
    <t>60 031 01 0156 000</t>
  </si>
  <si>
    <t>8831 WILLIAM</t>
  </si>
  <si>
    <t>60 031 01 0166 000</t>
  </si>
  <si>
    <t>8953 WILLIAM</t>
  </si>
  <si>
    <t>60 031 01 0171 000</t>
  </si>
  <si>
    <t>9065 WILLIAM</t>
  </si>
  <si>
    <t>60 031 01 0178 000</t>
  </si>
  <si>
    <t>9136 WILLIAM</t>
  </si>
  <si>
    <t>60 031 01 0185 301</t>
  </si>
  <si>
    <t>9052 WILLIAM</t>
  </si>
  <si>
    <t>60 031 01 0194 000</t>
  </si>
  <si>
    <t>8874 WILLIAM</t>
  </si>
  <si>
    <t>VETERAN</t>
  </si>
  <si>
    <t>60 031 01 0204 000</t>
  </si>
  <si>
    <t>8817 DUDLEY</t>
  </si>
  <si>
    <t>60 031 01 0282 300</t>
  </si>
  <si>
    <t>9058 KATHERINE</t>
  </si>
  <si>
    <t>60 031 01 0296 002</t>
  </si>
  <si>
    <t>8856 KATHERINE</t>
  </si>
  <si>
    <t>60 031 04 0027 000</t>
  </si>
  <si>
    <t>8410 HARDING</t>
  </si>
  <si>
    <t>60 031 04 0030 000</t>
  </si>
  <si>
    <t>8455 HARDING</t>
  </si>
  <si>
    <t>60 031 06 0012 000</t>
  </si>
  <si>
    <t>20916 WICK</t>
  </si>
  <si>
    <t>'432C9</t>
  </si>
  <si>
    <t>9</t>
  </si>
  <si>
    <t>60 031 06 0023 000</t>
  </si>
  <si>
    <t>9126 STEVENS</t>
  </si>
  <si>
    <t>60 031 06 0032 000</t>
  </si>
  <si>
    <t>20845 SHANNON</t>
  </si>
  <si>
    <t>60 031 06 0045 000</t>
  </si>
  <si>
    <t>9060 MASON</t>
  </si>
  <si>
    <t>60 031 06 0047 000</t>
  </si>
  <si>
    <t>9036 MASON</t>
  </si>
  <si>
    <t>60 031 06 0083 000</t>
  </si>
  <si>
    <t>20536 LOCKWOOD</t>
  </si>
  <si>
    <t>60 031 06 0136 000</t>
  </si>
  <si>
    <t>20733 LOCKWOOD</t>
  </si>
  <si>
    <t>60 031 06 0165 000</t>
  </si>
  <si>
    <t>8951 STEVENS</t>
  </si>
  <si>
    <t>60 031 06 0184 000</t>
  </si>
  <si>
    <t>20944 SHANNON</t>
  </si>
  <si>
    <t>60 031 06 0196 000</t>
  </si>
  <si>
    <t>20915 MARY</t>
  </si>
  <si>
    <t>60 031 06 0205 000</t>
  </si>
  <si>
    <t>20731 MARY</t>
  </si>
  <si>
    <t>60 031 06 0219 000</t>
  </si>
  <si>
    <t>20924 MARY</t>
  </si>
  <si>
    <t>60 031 06 0232 000</t>
  </si>
  <si>
    <t>20985 MILLARD</t>
  </si>
  <si>
    <t>60 031 06 0236 000</t>
  </si>
  <si>
    <t>20955 MILLARD</t>
  </si>
  <si>
    <t>60 031 07 0005 000</t>
  </si>
  <si>
    <t>21831 CHAMPAIGN</t>
  </si>
  <si>
    <t>'431A0</t>
  </si>
  <si>
    <t>14E</t>
  </si>
  <si>
    <t>60 031 07 0050 000</t>
  </si>
  <si>
    <t>8411 MONROE</t>
  </si>
  <si>
    <t>60 031 07 0069 000</t>
  </si>
  <si>
    <t>8610 KATHERINE</t>
  </si>
  <si>
    <t>60 031 07 0078 000</t>
  </si>
  <si>
    <t>8440 KATHERINE</t>
  </si>
  <si>
    <t>60 031 07 0079 000</t>
  </si>
  <si>
    <t>8430 KATHERINE</t>
  </si>
  <si>
    <t>60 031 07 0107 000</t>
  </si>
  <si>
    <t>8312 WILLIAM</t>
  </si>
  <si>
    <t>60 031 07 0114 000</t>
  </si>
  <si>
    <t>8460 DUDLEY</t>
  </si>
  <si>
    <t>60 031 07 0117 000</t>
  </si>
  <si>
    <t>8510 DUDLEY</t>
  </si>
  <si>
    <t>60 031 07 0129 000</t>
  </si>
  <si>
    <t>8621 DUDLEY</t>
  </si>
  <si>
    <t>60 031 07 0209 000</t>
  </si>
  <si>
    <t>8360 CAMPBELL</t>
  </si>
  <si>
    <t>60 031 08 0238 000</t>
  </si>
  <si>
    <t>8709 CLIPPERT</t>
  </si>
  <si>
    <t>60 031 99 0018 000</t>
  </si>
  <si>
    <t>8254 MERRICK</t>
  </si>
  <si>
    <t>60 032 01 0022 003</t>
  </si>
  <si>
    <t>8718 ZIEGLER</t>
  </si>
  <si>
    <t>'432A0</t>
  </si>
  <si>
    <t>432</t>
  </si>
  <si>
    <t>60 032 01 0031 002</t>
  </si>
  <si>
    <t>8731 JACKSON</t>
  </si>
  <si>
    <t>60 032 01 0052 002</t>
  </si>
  <si>
    <t>8738 WEDDEL</t>
  </si>
  <si>
    <t>60 032 01 0059 002</t>
  </si>
  <si>
    <t>8729 MAYFAIR</t>
  </si>
  <si>
    <t>60 032 01 0065 002</t>
  </si>
  <si>
    <t>8730 MAYFAIR</t>
  </si>
  <si>
    <t>60 032 01 0077 000</t>
  </si>
  <si>
    <t>8708 HURON</t>
  </si>
  <si>
    <t>60 032 01 0093 003</t>
  </si>
  <si>
    <t>8728 HIPP</t>
  </si>
  <si>
    <t>60 032 02 0689 300</t>
  </si>
  <si>
    <t>8255 ZIEGLER</t>
  </si>
  <si>
    <t>60 032 03 0721 303</t>
  </si>
  <si>
    <t>8825 CAROLINE</t>
  </si>
  <si>
    <t>'432B0</t>
  </si>
  <si>
    <t>8</t>
  </si>
  <si>
    <t>TYPICAL FF</t>
  </si>
  <si>
    <t>60 032 03 0722 301</t>
  </si>
  <si>
    <t>8807 CAROLINE</t>
  </si>
  <si>
    <t>60 032 04 0014 000</t>
  </si>
  <si>
    <t>8271 HURON</t>
  </si>
  <si>
    <t>60 032 04 0015 000</t>
  </si>
  <si>
    <t>8281 HURON</t>
  </si>
  <si>
    <t>60 032 04 0029 000</t>
  </si>
  <si>
    <t>8374 MAYFAIR</t>
  </si>
  <si>
    <t>60 032 05 0012 000</t>
  </si>
  <si>
    <t>8961 WEDDEL</t>
  </si>
  <si>
    <t>60 032 05 0053 000</t>
  </si>
  <si>
    <t>9134 WEDDEL</t>
  </si>
  <si>
    <t>60 032 07 0131 000</t>
  </si>
  <si>
    <t>8269 ZIEGLER</t>
  </si>
  <si>
    <t>60 032 07 0142 000</t>
  </si>
  <si>
    <t>8379 ZIEGLER</t>
  </si>
  <si>
    <t>60 033 01 0010 000</t>
  </si>
  <si>
    <t>9341 POLK</t>
  </si>
  <si>
    <t>'433A0</t>
  </si>
  <si>
    <t>22</t>
  </si>
  <si>
    <t>60 033 01 0014 000</t>
  </si>
  <si>
    <t>9425 POLK</t>
  </si>
  <si>
    <t>60 033 01 0031 000</t>
  </si>
  <si>
    <t>9502 POLK</t>
  </si>
  <si>
    <t>12/04/2019</t>
  </si>
  <si>
    <t>60 033 01 0033 000</t>
  </si>
  <si>
    <t>9444 POLK</t>
  </si>
  <si>
    <t>60 033 01 0048 000</t>
  </si>
  <si>
    <t>9212 POLK</t>
  </si>
  <si>
    <t>60 033 02 0002 000</t>
  </si>
  <si>
    <t>9251 MERRICK</t>
  </si>
  <si>
    <t>'433B0</t>
  </si>
  <si>
    <t>459</t>
  </si>
  <si>
    <t>60 033 02 0038 000</t>
  </si>
  <si>
    <t>9318 MERRICK</t>
  </si>
  <si>
    <t>60 033 03 0001 000</t>
  </si>
  <si>
    <t>20715 ISLAND LAKE DR</t>
  </si>
  <si>
    <t>'436B9</t>
  </si>
  <si>
    <t>910</t>
  </si>
  <si>
    <t>60 033 03 0005 000</t>
  </si>
  <si>
    <t>20795 ISLAND LAKE DR</t>
  </si>
  <si>
    <t>01/26/2013</t>
  </si>
  <si>
    <t>60 033 03 0007 000</t>
  </si>
  <si>
    <t>10918 ISLAND LAKE DR</t>
  </si>
  <si>
    <t>60 033 03 0008 000</t>
  </si>
  <si>
    <t>10884 ISLAND LAKE DR</t>
  </si>
  <si>
    <t>60 033 03 0011 000</t>
  </si>
  <si>
    <t>10782 ISLAND LAKE DR</t>
  </si>
  <si>
    <t>60 033 03 0013 000</t>
  </si>
  <si>
    <t>10714 ISLAND LAKE DR</t>
  </si>
  <si>
    <t>60 033 03 0014 000</t>
  </si>
  <si>
    <t>10680 ISLAND LAKE DR</t>
  </si>
  <si>
    <t>60 033 03 0020 000</t>
  </si>
  <si>
    <t>10476 ISLAND LAKE DR</t>
  </si>
  <si>
    <t>60 033 03 0021 000</t>
  </si>
  <si>
    <t>10442 ISLAND LAKE DR</t>
  </si>
  <si>
    <t>60 033 03 0023 000</t>
  </si>
  <si>
    <t>10374 ISLAND LAKE DR</t>
  </si>
  <si>
    <t>60 033 03 0024 000</t>
  </si>
  <si>
    <t>10340 ISLAND LAKE DR</t>
  </si>
  <si>
    <t>60 033 03 0025 000</t>
  </si>
  <si>
    <t>10306 ISLAND LAKE DR</t>
  </si>
  <si>
    <t>60 033 03 0027 000</t>
  </si>
  <si>
    <t>10238 ISLAND LAKE DR</t>
  </si>
  <si>
    <t>60 033 03 0044 000</t>
  </si>
  <si>
    <t>9883 FORESTVIEW LANE</t>
  </si>
  <si>
    <t>60 033 03 0045 000</t>
  </si>
  <si>
    <t>9901 FORESTVIEW LANE</t>
  </si>
  <si>
    <t>60 033 03 0053 000</t>
  </si>
  <si>
    <t>9918 ISLAND LAKE DR</t>
  </si>
  <si>
    <t>60 033 03 0054 000</t>
  </si>
  <si>
    <t>9906 ISLAND LAKE DR</t>
  </si>
  <si>
    <t>60 033 03 0084 000</t>
  </si>
  <si>
    <t>9845 ISLAND LAKE DR</t>
  </si>
  <si>
    <t>60 033 03 0085 000</t>
  </si>
  <si>
    <t>9863 ISLAND LAKE DR</t>
  </si>
  <si>
    <t>60 033 03 0087 000</t>
  </si>
  <si>
    <t>9899 ISLAND LAKE DR</t>
  </si>
  <si>
    <t>60 033 03 0089 000</t>
  </si>
  <si>
    <t>9935 ISLAND LAKE DR</t>
  </si>
  <si>
    <t>60 033 03 0090 000</t>
  </si>
  <si>
    <t>9953 ISLAND LAKE DR</t>
  </si>
  <si>
    <t>60 033 03 0091 000</t>
  </si>
  <si>
    <t>10001 ISLAND LAKE DR</t>
  </si>
  <si>
    <t>60 033 03 0092 000</t>
  </si>
  <si>
    <t>10035 ISLAND LAKE DR</t>
  </si>
  <si>
    <t>60 033 03 0093 000</t>
  </si>
  <si>
    <t>10069 LAKEVIEW DR</t>
  </si>
  <si>
    <t>60 033 03 0094 000</t>
  </si>
  <si>
    <t>10103 LAKEVIEW DR</t>
  </si>
  <si>
    <t>60 033 03 0095 000</t>
  </si>
  <si>
    <t>10137 LAKEVIEW DR</t>
  </si>
  <si>
    <t>60 033 03 0096 000</t>
  </si>
  <si>
    <t>10171 LAKEVIEW DR</t>
  </si>
  <si>
    <t>60 033 03 0097 000</t>
  </si>
  <si>
    <t>10205 LAKEVIEW DR</t>
  </si>
  <si>
    <t>60 033 03 0098 000</t>
  </si>
  <si>
    <t>10239 LAKEVIEW DR</t>
  </si>
  <si>
    <t>60 033 03 0099 000</t>
  </si>
  <si>
    <t>10273 LAKEVIEW DR</t>
  </si>
  <si>
    <t>60 033 03 0100 000</t>
  </si>
  <si>
    <t>10307 LAKEVIEW DR</t>
  </si>
  <si>
    <t>60 033 03 0101 000</t>
  </si>
  <si>
    <t>10341 LAKEVIEW DR</t>
  </si>
  <si>
    <t>60 033 03 0102 000</t>
  </si>
  <si>
    <t>10375 LAKEVIEW DR</t>
  </si>
  <si>
    <t>60 033 03 0103 000</t>
  </si>
  <si>
    <t>10409 LAKEVIEW DR</t>
  </si>
  <si>
    <t>60 033 03 0104 000</t>
  </si>
  <si>
    <t>10443 LAKEVIEW DR</t>
  </si>
  <si>
    <t>60 033 03 0105 000</t>
  </si>
  <si>
    <t>10477 LAKEVIEW DR</t>
  </si>
  <si>
    <t>60 033 03 0106 000</t>
  </si>
  <si>
    <t>10511 LAKEVIEW DR</t>
  </si>
  <si>
    <t>60 033 03 0107 000</t>
  </si>
  <si>
    <t>10545 LAKEVIEW DR</t>
  </si>
  <si>
    <t>60 033 03 0108 000</t>
  </si>
  <si>
    <t>10579 LAKEVIEW DR</t>
  </si>
  <si>
    <t>60 033 03 0110 000</t>
  </si>
  <si>
    <t>10647 LAKEVIEW DR</t>
  </si>
  <si>
    <t>60 033 03 0111 000</t>
  </si>
  <si>
    <t>10681 LAKEVIEW DR</t>
  </si>
  <si>
    <t>60 033 03 0113 000</t>
  </si>
  <si>
    <t>10749 LAKEVIEW DR</t>
  </si>
  <si>
    <t>60 033 03 0115 000</t>
  </si>
  <si>
    <t>10817 LAKEVIEW DR</t>
  </si>
  <si>
    <t>60 033 03 0117 000</t>
  </si>
  <si>
    <t>10885 LAKEVIEW DR</t>
  </si>
  <si>
    <t>60 033 03 0118 000</t>
  </si>
  <si>
    <t>10919 LAKEVIEW DR</t>
  </si>
  <si>
    <t>60 033 03 0131 000</t>
  </si>
  <si>
    <t>10460 LAKEVIEW DR</t>
  </si>
  <si>
    <t>60 033 03 0141 000</t>
  </si>
  <si>
    <t>10120 LAKEVIEW DR</t>
  </si>
  <si>
    <t>60 033 03 0153 000</t>
  </si>
  <si>
    <t>10377 N ISLAND LAKE CIR</t>
  </si>
  <si>
    <t>11/02/2020</t>
  </si>
  <si>
    <t>60 033 03 0159 000</t>
  </si>
  <si>
    <t>10581 S ISLAND LAKE CIR</t>
  </si>
  <si>
    <t>60 033 03 0161 000</t>
  </si>
  <si>
    <t>10649 S ISLAND LAKE CIR</t>
  </si>
  <si>
    <t>60 033 03 0194 000</t>
  </si>
  <si>
    <t>10083 ISLAND LAKE DR</t>
  </si>
  <si>
    <t>60 033 03 0198 000</t>
  </si>
  <si>
    <t>10219 ISLAND LAKE DR</t>
  </si>
  <si>
    <t>60 034 01 0289 000</t>
  </si>
  <si>
    <t>9965 MORTENVIEW</t>
  </si>
  <si>
    <t>60 034 01 0294 003</t>
  </si>
  <si>
    <t>9777 MORTENVIEW</t>
  </si>
  <si>
    <t>60 034 01 0295 000</t>
  </si>
  <si>
    <t>9757 MORTENVIEW</t>
  </si>
  <si>
    <t>60 034 01 0315 002</t>
  </si>
  <si>
    <t>20907 WICK</t>
  </si>
  <si>
    <t>60 034 01 0319 000</t>
  </si>
  <si>
    <t>20943 WICK</t>
  </si>
  <si>
    <t>60 034 01 0344 000</t>
  </si>
  <si>
    <t>9264 MORTENVIEW</t>
  </si>
  <si>
    <t>60 034 01 0359 001</t>
  </si>
  <si>
    <t>9670 MORTENVIEW</t>
  </si>
  <si>
    <t>60 034 01 0363 000</t>
  </si>
  <si>
    <t>9740 MORTENVIEW</t>
  </si>
  <si>
    <t>60 034 01 0370 305</t>
  </si>
  <si>
    <t>9870 MORTENVIEW</t>
  </si>
  <si>
    <t>01/07/2013</t>
  </si>
  <si>
    <t>60 034 02 0052 003</t>
  </si>
  <si>
    <t>9721 DUDLEY</t>
  </si>
  <si>
    <t>'437B9</t>
  </si>
  <si>
    <t>24A</t>
  </si>
  <si>
    <t>60 034 02 0086 002</t>
  </si>
  <si>
    <t>9330 CLIPPERT</t>
  </si>
  <si>
    <t>60 034 02 0087 004</t>
  </si>
  <si>
    <t>21305 WICK</t>
  </si>
  <si>
    <t>60 034 04 0161 000</t>
  </si>
  <si>
    <t>9726 WILLIAM</t>
  </si>
  <si>
    <t>60 034 04 0201 000</t>
  </si>
  <si>
    <t>9834 DUDLEY</t>
  </si>
  <si>
    <t>60 034 04 0219 000</t>
  </si>
  <si>
    <t>9410 KATHERINE</t>
  </si>
  <si>
    <t>60 034 04 0221 000</t>
  </si>
  <si>
    <t>9430 KATHERINE</t>
  </si>
  <si>
    <t>60 034 04 0255 000</t>
  </si>
  <si>
    <t>9899 MONROE</t>
  </si>
  <si>
    <t>60 035 01 0189 000</t>
  </si>
  <si>
    <t>10520 BARAGA</t>
  </si>
  <si>
    <t>'435A0</t>
  </si>
  <si>
    <t>27</t>
  </si>
  <si>
    <t>60 035 03 0138 000</t>
  </si>
  <si>
    <t>10117 MONROE</t>
  </si>
  <si>
    <t>60 035 03 0151 000</t>
  </si>
  <si>
    <t>10133 KATHERINE</t>
  </si>
  <si>
    <t>60 036 01 0022 000</t>
  </si>
  <si>
    <t>20103 CRISLER</t>
  </si>
  <si>
    <t>'461A0</t>
  </si>
  <si>
    <t>26</t>
  </si>
  <si>
    <t>60 036 02 0071 000</t>
  </si>
  <si>
    <t>20240 HARMON</t>
  </si>
  <si>
    <t>60 036 03 0087 000</t>
  </si>
  <si>
    <t>20047 KENSINGTON</t>
  </si>
  <si>
    <t>60 036 03 0088 000</t>
  </si>
  <si>
    <t>20065 KENSINGTON</t>
  </si>
  <si>
    <t>60 036 03 0108 000</t>
  </si>
  <si>
    <t>10136 PELHAM</t>
  </si>
  <si>
    <t>60 036 03 0127 000</t>
  </si>
  <si>
    <t>10084 PELHAM</t>
  </si>
  <si>
    <t>60 037 01 0003 002</t>
  </si>
  <si>
    <t>22319 WICK</t>
  </si>
  <si>
    <t>'437D0</t>
  </si>
  <si>
    <t>515</t>
  </si>
  <si>
    <t>60 037 01 0004 003</t>
  </si>
  <si>
    <t>22311 WICK</t>
  </si>
  <si>
    <t>60 037 02 0010 000</t>
  </si>
  <si>
    <t>9455 SYLVESTER</t>
  </si>
  <si>
    <t>60 037 02 0044 000</t>
  </si>
  <si>
    <t>9228 MUELLER</t>
  </si>
  <si>
    <t>60 037 02 0059 000</t>
  </si>
  <si>
    <t>9364 SYLVESTER</t>
  </si>
  <si>
    <t>60 037 02 0074 000</t>
  </si>
  <si>
    <t>9560 SYLVESTER</t>
  </si>
  <si>
    <t>60 037 02 0099 000</t>
  </si>
  <si>
    <t>9549 SYLVESTER</t>
  </si>
  <si>
    <t>60 037 02 0104 000</t>
  </si>
  <si>
    <t>9522 PARDEE</t>
  </si>
  <si>
    <t>60 037 02 0108 000</t>
  </si>
  <si>
    <t>9570 PARDEE</t>
  </si>
  <si>
    <t>60 037 03 0142 000</t>
  </si>
  <si>
    <t>9447 BLATY</t>
  </si>
  <si>
    <t>60 037 03 0147 000</t>
  </si>
  <si>
    <t>9348 MUELLER</t>
  </si>
  <si>
    <t>60 037 03 0150 000</t>
  </si>
  <si>
    <t>9432 MUELLER</t>
  </si>
  <si>
    <t>60 037 03 0162 000</t>
  </si>
  <si>
    <t>9622 MUELLER</t>
  </si>
  <si>
    <t>60 037 03 0167 000</t>
  </si>
  <si>
    <t>9692 MUELLER</t>
  </si>
  <si>
    <t>60 037 03 0171 000</t>
  </si>
  <si>
    <t>9742 MUELLER</t>
  </si>
  <si>
    <t>60 037 03 0174 000</t>
  </si>
  <si>
    <t>9721 MUELLER</t>
  </si>
  <si>
    <t>60 037 03 0203 000</t>
  </si>
  <si>
    <t>9780 CASS</t>
  </si>
  <si>
    <t>60 037 03 0215 000</t>
  </si>
  <si>
    <t>9581 CASS</t>
  </si>
  <si>
    <t>60 037 03 0227 000</t>
  </si>
  <si>
    <t>9448 BLATY</t>
  </si>
  <si>
    <t>60 037 04 0252 000</t>
  </si>
  <si>
    <t>9823 CASS</t>
  </si>
  <si>
    <t>60 037 04 0284 000</t>
  </si>
  <si>
    <t>9903 MUELLER</t>
  </si>
  <si>
    <t>60 037 05 0014 000</t>
  </si>
  <si>
    <t>9709 ROOSEVELT</t>
  </si>
  <si>
    <t>60 037 05 0038 000</t>
  </si>
  <si>
    <t>9732 ROOSEVELT</t>
  </si>
  <si>
    <t>60 037 05 0039 000</t>
  </si>
  <si>
    <t>9712 ROOSEVELT</t>
  </si>
  <si>
    <t>60 037 05 0083 000</t>
  </si>
  <si>
    <t>9864 LINCOLN</t>
  </si>
  <si>
    <t>60 037 06 0035 000</t>
  </si>
  <si>
    <t>9230 ROOSEVELT</t>
  </si>
  <si>
    <t>11/09/2015</t>
  </si>
  <si>
    <t>60 037 07 0008 000</t>
  </si>
  <si>
    <t>22458 MEADOW WOODS CIRCLE</t>
  </si>
  <si>
    <t>'437C0</t>
  </si>
  <si>
    <t>23B</t>
  </si>
  <si>
    <t>60 037 07 0010 000</t>
  </si>
  <si>
    <t>22450 MEADOW WOODS CIRCLE</t>
  </si>
  <si>
    <t>12/09/1999</t>
  </si>
  <si>
    <t>60 038 01 0014 001</t>
  </si>
  <si>
    <t>23848 SCHOMBERG</t>
  </si>
  <si>
    <t>'439A9</t>
  </si>
  <si>
    <t>25</t>
  </si>
  <si>
    <t>60 038 01 0022 001</t>
  </si>
  <si>
    <t>23764 SCHOMBERG</t>
  </si>
  <si>
    <t>60 038 01 0026 001</t>
  </si>
  <si>
    <t>23741 SCHOMBERG</t>
  </si>
  <si>
    <t>60 038 01 0030 305</t>
  </si>
  <si>
    <t>23700 SCHOMBERG</t>
  </si>
  <si>
    <t>60 038 01 0033 002</t>
  </si>
  <si>
    <t>23650 HAIG</t>
  </si>
  <si>
    <t>60 038 01 0039 002</t>
  </si>
  <si>
    <t>23605 SCHOMBERG</t>
  </si>
  <si>
    <t>60 038 02 0013 000</t>
  </si>
  <si>
    <t>9349 WEST POINT</t>
  </si>
  <si>
    <t>60 038 02 0032 000</t>
  </si>
  <si>
    <t>9348 CORNELL</t>
  </si>
  <si>
    <t>60 038 02 0047 000</t>
  </si>
  <si>
    <t>9242 SYRACUSE</t>
  </si>
  <si>
    <t>60 038 02 0051 000</t>
  </si>
  <si>
    <t>9312 SYRACUSE</t>
  </si>
  <si>
    <t>60 038 02 0060 000</t>
  </si>
  <si>
    <t>9313 SYRACUSE</t>
  </si>
  <si>
    <t>60 038 02 0067 000</t>
  </si>
  <si>
    <t>9218 PINE</t>
  </si>
  <si>
    <t>60 038 03 0033 000</t>
  </si>
  <si>
    <t>9520 BIRCH</t>
  </si>
  <si>
    <t>60 038 03 0047 000</t>
  </si>
  <si>
    <t>9341 ELM</t>
  </si>
  <si>
    <t>60 038 03 0075 000</t>
  </si>
  <si>
    <t>9415 OAK</t>
  </si>
  <si>
    <t>60 038 03 0077 000</t>
  </si>
  <si>
    <t>9439 OAK</t>
  </si>
  <si>
    <t>60 038 03 0083 000</t>
  </si>
  <si>
    <t>23416 HAIG</t>
  </si>
  <si>
    <t>60 039 01 0156 001</t>
  </si>
  <si>
    <t>10121 BIRCH</t>
  </si>
  <si>
    <t>60 039 01 0173 301</t>
  </si>
  <si>
    <t>23822 KOTHS</t>
  </si>
  <si>
    <t>60 039 02 0015 000</t>
  </si>
  <si>
    <t>10736 OAK</t>
  </si>
  <si>
    <t>60 039 02 0014 000</t>
  </si>
  <si>
    <t>60 039 02 0068 300</t>
  </si>
  <si>
    <t>10769 BIRCH</t>
  </si>
  <si>
    <t>60 040 01 0089 004</t>
  </si>
  <si>
    <t>22711 KENSINGTON</t>
  </si>
  <si>
    <t>60 040 01 0091 001</t>
  </si>
  <si>
    <t>22781 KENSINGTON</t>
  </si>
  <si>
    <t>60 040 01 0109 000</t>
  </si>
  <si>
    <t>10380 PARDEE</t>
  </si>
  <si>
    <t>10/21/2020</t>
  </si>
  <si>
    <t>60 040 02 0014 000</t>
  </si>
  <si>
    <t>22841 KOTHS</t>
  </si>
  <si>
    <t>60 040 02 0015 000</t>
  </si>
  <si>
    <t>60 040 03 0011 000</t>
  </si>
  <si>
    <t>22102 KOTHS</t>
  </si>
  <si>
    <t>60 040 03 0019 000</t>
  </si>
  <si>
    <t>22002 KOTHS</t>
  </si>
  <si>
    <t>60 040 03 0040 000</t>
  </si>
  <si>
    <t>22112 KENSINGTON</t>
  </si>
  <si>
    <t>60 040 03 0054 000</t>
  </si>
  <si>
    <t>22053 KENSINGTON</t>
  </si>
  <si>
    <t>60 040 03 0082 000</t>
  </si>
  <si>
    <t>22031 HARMON</t>
  </si>
  <si>
    <t>60 040 03 0089 000</t>
  </si>
  <si>
    <t>22115 HARMON</t>
  </si>
  <si>
    <t>60 040 03 0097 000</t>
  </si>
  <si>
    <t>22152 BERNARD</t>
  </si>
  <si>
    <t>60 040 03 0103 000</t>
  </si>
  <si>
    <t>22080 BERNARD</t>
  </si>
  <si>
    <t>60 040 03 0108 000</t>
  </si>
  <si>
    <t>22020 BERNARD</t>
  </si>
  <si>
    <t>60 040 03 0133 000</t>
  </si>
  <si>
    <t>10432 LINCOLN</t>
  </si>
  <si>
    <t>60 040 03 0134 000</t>
  </si>
  <si>
    <t>10416 LINCOLN</t>
  </si>
  <si>
    <t>60 040 03 0137 000</t>
  </si>
  <si>
    <t>22315 KOTHS</t>
  </si>
  <si>
    <t>60 040 05 0026 000</t>
  </si>
  <si>
    <t>22445 KINYON</t>
  </si>
  <si>
    <t>'540A0</t>
  </si>
  <si>
    <t>KINYON WOODS</t>
  </si>
  <si>
    <t>60 040 05 0030 000</t>
  </si>
  <si>
    <t>22431 KINYON</t>
  </si>
  <si>
    <t>60 040 05 0033 000</t>
  </si>
  <si>
    <t>22421 KINYON</t>
  </si>
  <si>
    <t>60 040 05 0040 000</t>
  </si>
  <si>
    <t>22303 KINYON</t>
  </si>
  <si>
    <t>60 040 05 0041 000</t>
  </si>
  <si>
    <t>22307 KINYON</t>
  </si>
  <si>
    <t>60 040 05 0063 000</t>
  </si>
  <si>
    <t>22147 KINYON</t>
  </si>
  <si>
    <t>60 040 05 0071 000</t>
  </si>
  <si>
    <t>22157 KINYON UNIT 71</t>
  </si>
  <si>
    <t>60 040 06 0004 000</t>
  </si>
  <si>
    <t>22656 GODDARD</t>
  </si>
  <si>
    <t>'540B0</t>
  </si>
  <si>
    <t>MIDTOWN</t>
  </si>
  <si>
    <t>60 040 06 0009 000</t>
  </si>
  <si>
    <t>22666 GODDARD</t>
  </si>
  <si>
    <t>60 040 06 0018 000</t>
  </si>
  <si>
    <t>22706 GODDARD</t>
  </si>
  <si>
    <t>60 040 06 0031 000</t>
  </si>
  <si>
    <t>22714 GODDARD</t>
  </si>
  <si>
    <t>07/13/2010</t>
  </si>
  <si>
    <t>60 040 06 0035 000</t>
  </si>
  <si>
    <t>22722 GODDARD</t>
  </si>
  <si>
    <t>60 040 06 0038 000</t>
  </si>
  <si>
    <t>22732 GODDARD</t>
  </si>
  <si>
    <t>60 040 06 0050 000</t>
  </si>
  <si>
    <t>10890 PARDEE</t>
  </si>
  <si>
    <t>60 040 06 0054 000</t>
  </si>
  <si>
    <t>10864 PARDEE</t>
  </si>
  <si>
    <t>60 040 06 0064 000</t>
  </si>
  <si>
    <t>10850 PARDEE</t>
  </si>
  <si>
    <t>60 040 06 0072 000</t>
  </si>
  <si>
    <t>10830 PARDEE</t>
  </si>
  <si>
    <t>60 040 99 0024 002</t>
  </si>
  <si>
    <t>22200 GODDARD</t>
  </si>
  <si>
    <t>60 041 01 0165 001</t>
  </si>
  <si>
    <t>24475 WICK</t>
  </si>
  <si>
    <t>'441A9</t>
  </si>
  <si>
    <t>28</t>
  </si>
  <si>
    <t>60 042 01 0224 002</t>
  </si>
  <si>
    <t>9612 CHEROKEE</t>
  </si>
  <si>
    <t>60 042 01 0226 300</t>
  </si>
  <si>
    <t>25065 HAIG</t>
  </si>
  <si>
    <t>12/16/2019</t>
  </si>
  <si>
    <t>60 042 04 0279 000</t>
  </si>
  <si>
    <t>25259 BAKER</t>
  </si>
  <si>
    <t>'443A0</t>
  </si>
  <si>
    <t>01/26/2000</t>
  </si>
  <si>
    <t>60 042 04 0283 000</t>
  </si>
  <si>
    <t>25211 BAKER</t>
  </si>
  <si>
    <t>60 042 99 0023 709</t>
  </si>
  <si>
    <t>25550 HAIG</t>
  </si>
  <si>
    <t>29</t>
  </si>
  <si>
    <t>60 043 01 0022 000</t>
  </si>
  <si>
    <t>10439 BEECH DALY</t>
  </si>
  <si>
    <t>30</t>
  </si>
  <si>
    <t>60 043 01 0078 000</t>
  </si>
  <si>
    <t>10170 WOODLAWN</t>
  </si>
  <si>
    <t>60 043 01 0104 000</t>
  </si>
  <si>
    <t>25587 MELODY</t>
  </si>
  <si>
    <t>60 043 01 0107 000</t>
  </si>
  <si>
    <t>25551 MELODY</t>
  </si>
  <si>
    <t>60 043 02 0016 000</t>
  </si>
  <si>
    <t>25137 CRYSLER</t>
  </si>
  <si>
    <t>60 043 02 0035 000</t>
  </si>
  <si>
    <t>25186 ANNA</t>
  </si>
  <si>
    <t>60 043 02 0049 000</t>
  </si>
  <si>
    <t>25174 CRYSLER</t>
  </si>
  <si>
    <t>60 043 02 0050 000</t>
  </si>
  <si>
    <t>25188 CRYSLER</t>
  </si>
  <si>
    <t>60 043 02 0067 000</t>
  </si>
  <si>
    <t>10815 WESTLAKE</t>
  </si>
  <si>
    <t>60 043 03 0149 000</t>
  </si>
  <si>
    <t>10069 FAIRVIEW</t>
  </si>
  <si>
    <t>60 043 03 0181 000</t>
  </si>
  <si>
    <t>25568 KINYON</t>
  </si>
  <si>
    <t>60 043 03 0198 000</t>
  </si>
  <si>
    <t>25415 STATLER</t>
  </si>
  <si>
    <t>60 043 03 0241 000</t>
  </si>
  <si>
    <t>25624 STATLER</t>
  </si>
  <si>
    <t>60 043 04 0093 000</t>
  </si>
  <si>
    <t>25427 MADDEN</t>
  </si>
  <si>
    <t>60 043 04 0149 000</t>
  </si>
  <si>
    <t>25737 RUSTY</t>
  </si>
  <si>
    <t>60 043 04 0150 000</t>
  </si>
  <si>
    <t>25798 MADDEN</t>
  </si>
  <si>
    <t>60 043 04 0175 000</t>
  </si>
  <si>
    <t>25500 RUSTY</t>
  </si>
  <si>
    <t>60 043 05 0216 000</t>
  </si>
  <si>
    <t>10300 CHEROKEE</t>
  </si>
  <si>
    <t>60 043 05 0221 000</t>
  </si>
  <si>
    <t>25129 KOTHS</t>
  </si>
  <si>
    <t>60 043 05 0244 000</t>
  </si>
  <si>
    <t>10419 MICHAEL</t>
  </si>
  <si>
    <t>60 043 05 0306 000</t>
  </si>
  <si>
    <t>25332 KOTHS</t>
  </si>
  <si>
    <t>60 043 05 0320 000</t>
  </si>
  <si>
    <t>10068 CHEROKEE</t>
  </si>
  <si>
    <t>60 043 05 0343 000</t>
  </si>
  <si>
    <t>10316 WESTLAKE</t>
  </si>
  <si>
    <t>60 044 02 0786 000</t>
  </si>
  <si>
    <t>24432 KENSINGTON</t>
  </si>
  <si>
    <t>'444A0</t>
  </si>
  <si>
    <t>31</t>
  </si>
  <si>
    <t>01/28/2021</t>
  </si>
  <si>
    <t>60 045 01 0005 000</t>
  </si>
  <si>
    <t>26185 WICK</t>
  </si>
  <si>
    <t>'446A0</t>
  </si>
  <si>
    <t>32</t>
  </si>
  <si>
    <t>FRONTAGE 1</t>
  </si>
  <si>
    <t>60 045 02 0080 300</t>
  </si>
  <si>
    <t>26151 KINYON</t>
  </si>
  <si>
    <t>'445A9</t>
  </si>
  <si>
    <t>33</t>
  </si>
  <si>
    <t>60 045 02 0081 000</t>
  </si>
  <si>
    <t>26165 KINYON</t>
  </si>
  <si>
    <t>60 045 02 0093 000</t>
  </si>
  <si>
    <t>26427 KINYON</t>
  </si>
  <si>
    <t>60 045 02 0103 000</t>
  </si>
  <si>
    <t>9820 ROSE</t>
  </si>
  <si>
    <t>60 045 02 0132 000</t>
  </si>
  <si>
    <t>26178 SUSAN</t>
  </si>
  <si>
    <t>60 045 02 0167 000</t>
  </si>
  <si>
    <t>9447 CONTINENTAL</t>
  </si>
  <si>
    <t>60 045 02 0188 000</t>
  </si>
  <si>
    <t>9719 SHARON</t>
  </si>
  <si>
    <t>60 045 02 0194 000</t>
  </si>
  <si>
    <t>9825 SHARON</t>
  </si>
  <si>
    <t>60 045 02 0202 000</t>
  </si>
  <si>
    <t>9884 SHARON</t>
  </si>
  <si>
    <t>60 045 02 0205 000</t>
  </si>
  <si>
    <t>26336 KINYON</t>
  </si>
  <si>
    <t>60 045 02 0211 000</t>
  </si>
  <si>
    <t>9857 ROSE</t>
  </si>
  <si>
    <t>60 045 02 0213 000</t>
  </si>
  <si>
    <t>9841 ROSE</t>
  </si>
  <si>
    <t>60 045 02 0243 000</t>
  </si>
  <si>
    <t>9866 SIL</t>
  </si>
  <si>
    <t>60 045 02 0263 000</t>
  </si>
  <si>
    <t>9633 SIL</t>
  </si>
  <si>
    <t>60 045 02 0271 000</t>
  </si>
  <si>
    <t>26349 SUSAN</t>
  </si>
  <si>
    <t>60 046 01 0004 001</t>
  </si>
  <si>
    <t>9642 HOLLAND</t>
  </si>
  <si>
    <t>60 046 01 0009 001</t>
  </si>
  <si>
    <t>9440 HOLLAND</t>
  </si>
  <si>
    <t>60 046 01 0016 002</t>
  </si>
  <si>
    <t>26639 WICK</t>
  </si>
  <si>
    <t>60 046 01 0019 000</t>
  </si>
  <si>
    <t>9267 GLENIS</t>
  </si>
  <si>
    <t>60 046 01 0052 000</t>
  </si>
  <si>
    <t>26748 BASKE</t>
  </si>
  <si>
    <t>60 046 01 0063 000</t>
  </si>
  <si>
    <t>9786 PRINCESS</t>
  </si>
  <si>
    <t>60 046 01 0068 002</t>
  </si>
  <si>
    <t>9514 PRINCESS</t>
  </si>
  <si>
    <t>60 046 01 0077 001</t>
  </si>
  <si>
    <t>26803 WICK</t>
  </si>
  <si>
    <t>60 046 01 0077 002</t>
  </si>
  <si>
    <t>26811 WICK</t>
  </si>
  <si>
    <t>60 046 01 0084 001</t>
  </si>
  <si>
    <t>9405 HAZEL</t>
  </si>
  <si>
    <t>60 046 01 0098 000</t>
  </si>
  <si>
    <t>9620 HAZEL</t>
  </si>
  <si>
    <t>60 046 01 0112 002</t>
  </si>
  <si>
    <t>9263 SYLVIA</t>
  </si>
  <si>
    <t>60 046 01 0116 002</t>
  </si>
  <si>
    <t>9433 SYLVIA</t>
  </si>
  <si>
    <t>60 046 01 0118 001</t>
  </si>
  <si>
    <t>9517 SYLVIA</t>
  </si>
  <si>
    <t>60 046 01 0120 000</t>
  </si>
  <si>
    <t>26947 HAIG</t>
  </si>
  <si>
    <t>60 048 01 0002 000</t>
  </si>
  <si>
    <t>10869 CONTINENTAL</t>
  </si>
  <si>
    <t>60 048 01 0006 000</t>
  </si>
  <si>
    <t>10821 CONTINENTAL</t>
  </si>
  <si>
    <t>60 048 01 0024 000</t>
  </si>
  <si>
    <t>10287 CONTINENTAL</t>
  </si>
  <si>
    <t>60 048 01 0026 000</t>
  </si>
  <si>
    <t>10263 CONTINENTAL</t>
  </si>
  <si>
    <t>60 048 01 0031 000</t>
  </si>
  <si>
    <t>10203 CONTINENTAL</t>
  </si>
  <si>
    <t>60 048 01 0047 000</t>
  </si>
  <si>
    <t>10092 CONTINENTAL</t>
  </si>
  <si>
    <t>60 048 01 0068 000</t>
  </si>
  <si>
    <t>10650 CONTINENTAL</t>
  </si>
  <si>
    <t>60 048 01 0069 000</t>
  </si>
  <si>
    <t>10662 CONTINENTAL</t>
  </si>
  <si>
    <t>60 048 01 0071 000</t>
  </si>
  <si>
    <t>10686 CONTINENTAL</t>
  </si>
  <si>
    <t>60 048 01 0072 000</t>
  </si>
  <si>
    <t>10698 CONTINENTAL</t>
  </si>
  <si>
    <t>60 049 01 0006 000</t>
  </si>
  <si>
    <t>11080 CAPE COD</t>
  </si>
  <si>
    <t>'449A0</t>
  </si>
  <si>
    <t>240</t>
  </si>
  <si>
    <t>60 049 01 0032 000</t>
  </si>
  <si>
    <t>11620 CAPE COD</t>
  </si>
  <si>
    <t>60 049 02 0006 000</t>
  </si>
  <si>
    <t>25976 BREST</t>
  </si>
  <si>
    <t>436</t>
  </si>
  <si>
    <t>60 049 02 0033 000</t>
  </si>
  <si>
    <t>26096 AIRLINE</t>
  </si>
  <si>
    <t>60 049 02 0036 000</t>
  </si>
  <si>
    <t>26068 AIRLINE</t>
  </si>
  <si>
    <t>60 049 02 0055 002</t>
  </si>
  <si>
    <t>25937 BELLEDALE</t>
  </si>
  <si>
    <t>01/29/2000</t>
  </si>
  <si>
    <t>60 049 02 0057 002</t>
  </si>
  <si>
    <t>25963 BELLEDALE</t>
  </si>
  <si>
    <t>60 049 02 0065 300</t>
  </si>
  <si>
    <t>26097 BELLEDALE</t>
  </si>
  <si>
    <t>60 049 03 0007 000</t>
  </si>
  <si>
    <t>25873 COVE CREEK DR</t>
  </si>
  <si>
    <t>'449C0</t>
  </si>
  <si>
    <t>930 COVE CRK</t>
  </si>
  <si>
    <t>60 049 03 0008 000</t>
  </si>
  <si>
    <t>11440 COVE CREEK CT</t>
  </si>
  <si>
    <t>60 049 99 0003 000</t>
  </si>
  <si>
    <t>25965 GODDARD</t>
  </si>
  <si>
    <t>'442A9</t>
  </si>
  <si>
    <t>60 049 99 0013 303</t>
  </si>
  <si>
    <t>11055 PARTRIDGE DR</t>
  </si>
  <si>
    <t>'CYPRE</t>
  </si>
  <si>
    <t>CYPRESS GARDEN SV</t>
  </si>
  <si>
    <t>01/07/2020</t>
  </si>
  <si>
    <t>60 049 99 0013 308</t>
  </si>
  <si>
    <t>11165 PARTRIDGE DR</t>
  </si>
  <si>
    <t>60 049 99 0013 309</t>
  </si>
  <si>
    <t>11187 PARTRIDGE DR</t>
  </si>
  <si>
    <t>PREMIUM LOT</t>
  </si>
  <si>
    <t>60 049 99 0013 310</t>
  </si>
  <si>
    <t>26348 PARTRIDGE DR</t>
  </si>
  <si>
    <t>60 049 99 0013 317</t>
  </si>
  <si>
    <t>26336 PARTRIDGE DR</t>
  </si>
  <si>
    <t>60 049 99 0013 320</t>
  </si>
  <si>
    <t>26300 PARTRIDGE DR</t>
  </si>
  <si>
    <t>60 049 99 0013 322</t>
  </si>
  <si>
    <t>11341 PARTRIDGE DR</t>
  </si>
  <si>
    <t>60 049 99 0013 323</t>
  </si>
  <si>
    <t>11363 PARTRIDGE DR</t>
  </si>
  <si>
    <t>60 049 99 0013 329</t>
  </si>
  <si>
    <t>11495 PARTRIDGE DR</t>
  </si>
  <si>
    <t>60 049 99 0013 330</t>
  </si>
  <si>
    <t>11517 PARTRIDGE DR</t>
  </si>
  <si>
    <t>60 049 99 0013 340</t>
  </si>
  <si>
    <t>26325 PHEASANT CIRCLE</t>
  </si>
  <si>
    <t>01/29/2021</t>
  </si>
  <si>
    <t>60 049 99 0013 345</t>
  </si>
  <si>
    <t>11648 PHEASANT CIRCLE</t>
  </si>
  <si>
    <t>60 049 99 0013 347</t>
  </si>
  <si>
    <t>11604 PHEASANT CIRCLE</t>
  </si>
  <si>
    <t>60 049 99 0013 349</t>
  </si>
  <si>
    <t>11560 PHEASANT CIRCLE</t>
  </si>
  <si>
    <t>60 049 99 0013 350</t>
  </si>
  <si>
    <t>11538 PHEASANT CIRCLE</t>
  </si>
  <si>
    <t>60 049 99 0013 351</t>
  </si>
  <si>
    <t>11516 PHEASANT CIRCLE</t>
  </si>
  <si>
    <t>60 049 99 0013 360</t>
  </si>
  <si>
    <t>11362 PARTRIDGE DR</t>
  </si>
  <si>
    <t>60 050 01 0011 000</t>
  </si>
  <si>
    <t>26650 PARKSIDE DR</t>
  </si>
  <si>
    <t>'450A0</t>
  </si>
  <si>
    <t>929</t>
  </si>
  <si>
    <t>60 050 01 0020 000</t>
  </si>
  <si>
    <t>11295 PARKSIDE DR</t>
  </si>
  <si>
    <t>60 050 01 0041 000</t>
  </si>
  <si>
    <t>26629 PARKSIDE DR</t>
  </si>
  <si>
    <t>10/20/2015</t>
  </si>
  <si>
    <t>60 050 01 0067 000</t>
  </si>
  <si>
    <t>26653 LAKE POINTE DR</t>
  </si>
  <si>
    <t>60 050 01 0074 000</t>
  </si>
  <si>
    <t>11922 GOLFCREST DR</t>
  </si>
  <si>
    <t>60 050 01 0088 000</t>
  </si>
  <si>
    <t>11404 GOLFCREST DR</t>
  </si>
  <si>
    <t>60 050 99 0006 702</t>
  </si>
  <si>
    <t>GODDARD</t>
  </si>
  <si>
    <t>60 050 99 0009 000</t>
  </si>
  <si>
    <t>27156 BREST</t>
  </si>
  <si>
    <t>60 051 99 0006 000</t>
  </si>
  <si>
    <t>27251 BREST</t>
  </si>
  <si>
    <t>60 053 03 0011 000</t>
  </si>
  <si>
    <t>24556 BROOKWOOD</t>
  </si>
  <si>
    <t>'553A0</t>
  </si>
  <si>
    <t>CONDO'S DETACHED</t>
  </si>
  <si>
    <t>12/11/2019</t>
  </si>
  <si>
    <t>TIMBERS EDGE</t>
  </si>
  <si>
    <t>60 053 99 0031 000</t>
  </si>
  <si>
    <t>24078 BREST</t>
  </si>
  <si>
    <t>60 054 99 0018 000</t>
  </si>
  <si>
    <t>11825 BEECH DALY</t>
  </si>
  <si>
    <t>60 054 99 0019 000</t>
  </si>
  <si>
    <t>11843 BEECH DALY</t>
  </si>
  <si>
    <t>60 056 01 0003 000</t>
  </si>
  <si>
    <t>24056 THOMAS CT</t>
  </si>
  <si>
    <t>'456A0</t>
  </si>
  <si>
    <t>43</t>
  </si>
  <si>
    <t>60 056 01 0004 000</t>
  </si>
  <si>
    <t>24072 THOMAS CT</t>
  </si>
  <si>
    <t>60 056 01 0005 000</t>
  </si>
  <si>
    <t>24082 THOMAS CT</t>
  </si>
  <si>
    <t>60 057 01 0383 301</t>
  </si>
  <si>
    <t>11717 PARDEE</t>
  </si>
  <si>
    <t>'457B0</t>
  </si>
  <si>
    <t>37</t>
  </si>
  <si>
    <t>60 057 02 0047 000</t>
  </si>
  <si>
    <t>11300 LINCOLN</t>
  </si>
  <si>
    <t>60 057 02 0053 000</t>
  </si>
  <si>
    <t>LINCOLN</t>
  </si>
  <si>
    <t>60 057 03 0013 000</t>
  </si>
  <si>
    <t>11110 PARDEE</t>
  </si>
  <si>
    <t>'457C0</t>
  </si>
  <si>
    <t>38</t>
  </si>
  <si>
    <t>60 057 03 0015 300</t>
  </si>
  <si>
    <t>11150 PARDEE</t>
  </si>
  <si>
    <t>60 057 04 0003 000</t>
  </si>
  <si>
    <t>22650 MAPLELAWN</t>
  </si>
  <si>
    <t>'457D0</t>
  </si>
  <si>
    <t>60 057 04 0007 000</t>
  </si>
  <si>
    <t>22730 MAPLELAWN</t>
  </si>
  <si>
    <t>60 057 04 0011 000</t>
  </si>
  <si>
    <t>11165 MAPLELAWN</t>
  </si>
  <si>
    <t>60 057 04 0081 000</t>
  </si>
  <si>
    <t>11244 MORLEY</t>
  </si>
  <si>
    <t>60 057 04 0114 000</t>
  </si>
  <si>
    <t>22741 W KEYES</t>
  </si>
  <si>
    <t>60 057 04 0151 000</t>
  </si>
  <si>
    <t>11820 RAN</t>
  </si>
  <si>
    <t>60 057 04 0169 000</t>
  </si>
  <si>
    <t>11650 ERNST</t>
  </si>
  <si>
    <t>60 057 04 0176 000</t>
  </si>
  <si>
    <t>11817 ERNST</t>
  </si>
  <si>
    <t>60 057 04 0195 000</t>
  </si>
  <si>
    <t>11816 PHYLLIS</t>
  </si>
  <si>
    <t>60 057 04 0221 000</t>
  </si>
  <si>
    <t>11450 KLEBBA</t>
  </si>
  <si>
    <t>60 057 04 0227 000</t>
  </si>
  <si>
    <t>11668 KLEBBA</t>
  </si>
  <si>
    <t>60 057 04 0231 000</t>
  </si>
  <si>
    <t>11836 KLEBBA</t>
  </si>
  <si>
    <t>60 057 04 0235 000</t>
  </si>
  <si>
    <t>11679 KLEBBA</t>
  </si>
  <si>
    <t>60 057 04 0246 000</t>
  </si>
  <si>
    <t>11618 MORAN</t>
  </si>
  <si>
    <t>60 057 04 0248 000</t>
  </si>
  <si>
    <t>11650 MORAN</t>
  </si>
  <si>
    <t>60 057 04 0256 000</t>
  </si>
  <si>
    <t>11801 MORAN</t>
  </si>
  <si>
    <t>60 057 04 0263 000</t>
  </si>
  <si>
    <t>11457 MORAN</t>
  </si>
  <si>
    <t>60 057 05 0004 000</t>
  </si>
  <si>
    <t>11200 BEECHWOOD CT</t>
  </si>
  <si>
    <t>'458A9</t>
  </si>
  <si>
    <t>900</t>
  </si>
  <si>
    <t>60 057 05 0019 000</t>
  </si>
  <si>
    <t>11001 BEECHWOOD CT</t>
  </si>
  <si>
    <t>60 057 99 0006 000</t>
  </si>
  <si>
    <t>11330 PARDEE</t>
  </si>
  <si>
    <t>60 058 01 0179 000</t>
  </si>
  <si>
    <t>11416 CORNELL</t>
  </si>
  <si>
    <t>'458B0</t>
  </si>
  <si>
    <t>60 058 01 0178 000</t>
  </si>
  <si>
    <t>39A</t>
  </si>
  <si>
    <t>60 058 01 0233 000</t>
  </si>
  <si>
    <t>11410 SYRACUSE</t>
  </si>
  <si>
    <t>60 058 01 0234 000</t>
  </si>
  <si>
    <t>11150 SYRACUSE</t>
  </si>
  <si>
    <t>60 058 01 0260 000</t>
  </si>
  <si>
    <t>60 058 01 0264 000</t>
  </si>
  <si>
    <t>11125 SYRACUSE</t>
  </si>
  <si>
    <t>60 058 02 0158 000</t>
  </si>
  <si>
    <t>11659 CORNELL</t>
  </si>
  <si>
    <t>60 058 02 0175 300</t>
  </si>
  <si>
    <t>23754 BREST</t>
  </si>
  <si>
    <t>60 058 02 0191 302</t>
  </si>
  <si>
    <t>11748 SYRACUSE</t>
  </si>
  <si>
    <t>60 058 02 0196 000</t>
  </si>
  <si>
    <t>11724 SYRACUSE</t>
  </si>
  <si>
    <t>60 058 02 0216 000</t>
  </si>
  <si>
    <t>11547 SYRACUSE</t>
  </si>
  <si>
    <t>60 058 02 0233 000</t>
  </si>
  <si>
    <t>11719 SYRACUSE</t>
  </si>
  <si>
    <t>60 058 02 0262 000</t>
  </si>
  <si>
    <t>11732 PINE</t>
  </si>
  <si>
    <t>60 058 04 0006 000</t>
  </si>
  <si>
    <t>11594 HEATHERWOOD CIR</t>
  </si>
  <si>
    <t>39B</t>
  </si>
  <si>
    <t>60 058 99 0005 702</t>
  </si>
  <si>
    <t>11257 BIRCH</t>
  </si>
  <si>
    <t>60 059 01 0054 000</t>
  </si>
  <si>
    <t>12273 WEST POINT</t>
  </si>
  <si>
    <t>'459C0</t>
  </si>
  <si>
    <t>211</t>
  </si>
  <si>
    <t>60 059 01 0080 000</t>
  </si>
  <si>
    <t>12241 CORNELL</t>
  </si>
  <si>
    <t>60 059 01 0082 000</t>
  </si>
  <si>
    <t>12257 CORNELL</t>
  </si>
  <si>
    <t>60 059 01 0087 000</t>
  </si>
  <si>
    <t>12297 CORNELL</t>
  </si>
  <si>
    <t>60 059 01 0088 000</t>
  </si>
  <si>
    <t>12305 CORNELL</t>
  </si>
  <si>
    <t>60 059 02 0021 000</t>
  </si>
  <si>
    <t>12948 ROBERT</t>
  </si>
  <si>
    <t>'459B0</t>
  </si>
  <si>
    <t>425</t>
  </si>
  <si>
    <t>60 059 02 0030 300</t>
  </si>
  <si>
    <t>12939 MURRAY</t>
  </si>
  <si>
    <t>60 059 03 0005 000</t>
  </si>
  <si>
    <t>23088 FOREST LANE</t>
  </si>
  <si>
    <t>'459A0</t>
  </si>
  <si>
    <t>42</t>
  </si>
  <si>
    <t>60 059 03 0008 000</t>
  </si>
  <si>
    <t>23072 EMMETT</t>
  </si>
  <si>
    <t>12/17/2019</t>
  </si>
  <si>
    <t>60 059 04 0001 000</t>
  </si>
  <si>
    <t>23175 BREST</t>
  </si>
  <si>
    <t>60 059 05 0004 000</t>
  </si>
  <si>
    <t>23978 NORTHSTONE VILLAGE DR</t>
  </si>
  <si>
    <t>'559D0</t>
  </si>
  <si>
    <t>NORTHSTONE</t>
  </si>
  <si>
    <t>60 059 05 0025 000</t>
  </si>
  <si>
    <t>23840 NORTHSTONE VILLAGE DR</t>
  </si>
  <si>
    <t>60 059 05 0038 000</t>
  </si>
  <si>
    <t>23770 NORTHSTONE VILLAGE DR</t>
  </si>
  <si>
    <t>60 059 05 0094 000</t>
  </si>
  <si>
    <t>23659 NORTHSTONE VILLAGE DR</t>
  </si>
  <si>
    <t>60 060 01 0003 000</t>
  </si>
  <si>
    <t>22621 OAK VIEW DR</t>
  </si>
  <si>
    <t>'460A0</t>
  </si>
  <si>
    <t>58</t>
  </si>
  <si>
    <t>60 060 01 0017 000</t>
  </si>
  <si>
    <t>12295 WOODCREST ST</t>
  </si>
  <si>
    <t>60 060 01 0023 000</t>
  </si>
  <si>
    <t>22770 OAK VIEW DR</t>
  </si>
  <si>
    <t>60 060 01 0029 000</t>
  </si>
  <si>
    <t>22710 OAK VIEW DR</t>
  </si>
  <si>
    <t>01/01/2000</t>
  </si>
  <si>
    <t>60 060 01 0030 000</t>
  </si>
  <si>
    <t>22700 OAK VIEW DR</t>
  </si>
  <si>
    <t>60 060 99 0012 000</t>
  </si>
  <si>
    <t>12240 PARDEE</t>
  </si>
  <si>
    <t>'460B9</t>
  </si>
  <si>
    <t>440</t>
  </si>
  <si>
    <t>60 060 99 0024 000</t>
  </si>
  <si>
    <t>12748 PARDEE</t>
  </si>
  <si>
    <t>60 061 01 0152 300</t>
  </si>
  <si>
    <t>11139 ZIEGLER</t>
  </si>
  <si>
    <t>34</t>
  </si>
  <si>
    <t>60 061 01 0174 300</t>
  </si>
  <si>
    <t>11311 ZIEGLER</t>
  </si>
  <si>
    <t>60 061 01 0183 300</t>
  </si>
  <si>
    <t>11627 ZIEGLER</t>
  </si>
  <si>
    <t>01/13/2000</t>
  </si>
  <si>
    <t>60 061 01 0225 000</t>
  </si>
  <si>
    <t>11312 ZIEGLER</t>
  </si>
  <si>
    <t>60 061 01 0250 000</t>
  </si>
  <si>
    <t>11072 ZIEGLER</t>
  </si>
  <si>
    <t>60 061 01 0253 000</t>
  </si>
  <si>
    <t>11040 ZIEGLER</t>
  </si>
  <si>
    <t>60 061 01 0271 000</t>
  </si>
  <si>
    <t>11063 JACKSON</t>
  </si>
  <si>
    <t>60 061 01 0272 000</t>
  </si>
  <si>
    <t>60 061 01 0282 000</t>
  </si>
  <si>
    <t>11163 JACKSON</t>
  </si>
  <si>
    <t>60 061 01 0306 002</t>
  </si>
  <si>
    <t>11631 JACKSON</t>
  </si>
  <si>
    <t>10/29/1999</t>
  </si>
  <si>
    <t>60 061 01 0315 302</t>
  </si>
  <si>
    <t>JACKSON</t>
  </si>
  <si>
    <t>60 061 02 0425 000</t>
  </si>
  <si>
    <t>11867 POLK</t>
  </si>
  <si>
    <t>931 SUP #8</t>
  </si>
  <si>
    <t>60 061 02 0434 003</t>
  </si>
  <si>
    <t>11800 POLK</t>
  </si>
  <si>
    <t>60 061 02 0444 000</t>
  </si>
  <si>
    <t>11400 POLK</t>
  </si>
  <si>
    <t>60 061 02 0474 002</t>
  </si>
  <si>
    <t>11785 MORTENVIEW</t>
  </si>
  <si>
    <t>'462A0</t>
  </si>
  <si>
    <t>35</t>
  </si>
  <si>
    <t>60 061 02 0489 000</t>
  </si>
  <si>
    <t>11368 MORTENVIEW</t>
  </si>
  <si>
    <t>60 061 02 0513 000</t>
  </si>
  <si>
    <t>11315 BARAGA</t>
  </si>
  <si>
    <t>60 061 02 0516 000</t>
  </si>
  <si>
    <t>11405 BARAGA</t>
  </si>
  <si>
    <t>60 061 02 0537 002</t>
  </si>
  <si>
    <t>11150 BARAGA</t>
  </si>
  <si>
    <t>60 062 02 0001 000</t>
  </si>
  <si>
    <t>11796 DUDLEY</t>
  </si>
  <si>
    <t>'462B0</t>
  </si>
  <si>
    <t>36</t>
  </si>
  <si>
    <t>60 062 02 0019 000</t>
  </si>
  <si>
    <t>11657 KATHERINE</t>
  </si>
  <si>
    <t>60 062 02 0067 000</t>
  </si>
  <si>
    <t>11042 KATHERINE</t>
  </si>
  <si>
    <t>60 062 02 0103 000</t>
  </si>
  <si>
    <t>11047 DUDLEY</t>
  </si>
  <si>
    <t>60 062 02 0107 000</t>
  </si>
  <si>
    <t>11095 DUDLEY</t>
  </si>
  <si>
    <t>60 062 02 0109 300</t>
  </si>
  <si>
    <t>11119 DUDLEY</t>
  </si>
  <si>
    <t>60 062 02 0136 000</t>
  </si>
  <si>
    <t>11701 DUDLEY</t>
  </si>
  <si>
    <t>60 064 01 0095 002</t>
  </si>
  <si>
    <t>12378 HIPP</t>
  </si>
  <si>
    <t>'464B0</t>
  </si>
  <si>
    <t>60 064 01 0030 002, 60 064 01 0031 001</t>
  </si>
  <si>
    <t>41</t>
  </si>
  <si>
    <t>60 064 01 0174 000</t>
  </si>
  <si>
    <t>12671 HIPP</t>
  </si>
  <si>
    <t>60 064 01 0211 002</t>
  </si>
  <si>
    <t>12560 HURON</t>
  </si>
  <si>
    <t>60 064 01 0224 001</t>
  </si>
  <si>
    <t>20525 EMMETT</t>
  </si>
  <si>
    <t>60 064 01 0293 304</t>
  </si>
  <si>
    <t>12629 HURON</t>
  </si>
  <si>
    <t>60 064 02 0488 301</t>
  </si>
  <si>
    <t>20155 EMPIRE</t>
  </si>
  <si>
    <t>'464A0</t>
  </si>
  <si>
    <t>40</t>
  </si>
  <si>
    <t>60 064 02 0517 002</t>
  </si>
  <si>
    <t>20182 EMPIRE</t>
  </si>
  <si>
    <t>60 064 02 0590 000</t>
  </si>
  <si>
    <t>12605 WEDDEL</t>
  </si>
  <si>
    <t>60 066 02 0009 304</t>
  </si>
  <si>
    <t>13589 MORTENVIEW</t>
  </si>
  <si>
    <t>'466A9</t>
  </si>
  <si>
    <t>54A</t>
  </si>
  <si>
    <t>60 066 04 0022 000</t>
  </si>
  <si>
    <t>13397 CHESTNUT LANE</t>
  </si>
  <si>
    <t>'466B0</t>
  </si>
  <si>
    <t>54B</t>
  </si>
  <si>
    <t>60 066 04 0029 000</t>
  </si>
  <si>
    <t>21406 HUNTER CIRCLE NORTH</t>
  </si>
  <si>
    <t>60 067 02 0017 000</t>
  </si>
  <si>
    <t>21633 SUPERIOR</t>
  </si>
  <si>
    <t>60 067 02 0027 000</t>
  </si>
  <si>
    <t>14230 MORTENVIEW</t>
  </si>
  <si>
    <t>60 068 01 0076 000</t>
  </si>
  <si>
    <t>14395 POLK</t>
  </si>
  <si>
    <t>'468D0</t>
  </si>
  <si>
    <t>45</t>
  </si>
  <si>
    <t>60 068 01 0091 002</t>
  </si>
  <si>
    <t>14654 HURON</t>
  </si>
  <si>
    <t>60 068 01 0123 003</t>
  </si>
  <si>
    <t>14151 HURON</t>
  </si>
  <si>
    <t>60 068 02 0121 004</t>
  </si>
  <si>
    <t>14359 JACKSON</t>
  </si>
  <si>
    <t>'468A0</t>
  </si>
  <si>
    <t>44</t>
  </si>
  <si>
    <t>60 068 02 0125 003</t>
  </si>
  <si>
    <t>14335 ZIEGLER</t>
  </si>
  <si>
    <t>60 068 02 0125 004</t>
  </si>
  <si>
    <t>14323 ZIEGLER</t>
  </si>
  <si>
    <t>60 068 03 0008 001</t>
  </si>
  <si>
    <t>14663 JACKSON</t>
  </si>
  <si>
    <t>60 068 03 0023 001</t>
  </si>
  <si>
    <t>14678 ZIEGLER</t>
  </si>
  <si>
    <t>60 068 03 0031 003</t>
  </si>
  <si>
    <t>14405 ZIEGLER</t>
  </si>
  <si>
    <t>60 068 03 0052 001</t>
  </si>
  <si>
    <t>14668 ALLEN</t>
  </si>
  <si>
    <t>60 068 05 0005 000</t>
  </si>
  <si>
    <t>14084 JACKSON</t>
  </si>
  <si>
    <t>'568C0</t>
  </si>
  <si>
    <t>925</t>
  </si>
  <si>
    <t>CONDO</t>
  </si>
  <si>
    <t>60 068 05 0009 000</t>
  </si>
  <si>
    <t>14066 JACKSON</t>
  </si>
  <si>
    <t>01/28/2013</t>
  </si>
  <si>
    <t>60 068 05 0012 000</t>
  </si>
  <si>
    <t>14072 JACKSON</t>
  </si>
  <si>
    <t>60 068 05 0025 000</t>
  </si>
  <si>
    <t>14091 JACKSON</t>
  </si>
  <si>
    <t>60 068 05 0031 000</t>
  </si>
  <si>
    <t>14115 ZIEGLER</t>
  </si>
  <si>
    <t>60 068 05 0038 000</t>
  </si>
  <si>
    <t>14104 JACKSON</t>
  </si>
  <si>
    <t>60 068 05 0051 000</t>
  </si>
  <si>
    <t>14245 ZIEGLER</t>
  </si>
  <si>
    <t>60 068 05 0053 000</t>
  </si>
  <si>
    <t>14239 ZIEGLER</t>
  </si>
  <si>
    <t>60 068 05 0079 000</t>
  </si>
  <si>
    <t>14116 ZIEGLER</t>
  </si>
  <si>
    <t>60 068 05 0087 000</t>
  </si>
  <si>
    <t>14175 JACKSON</t>
  </si>
  <si>
    <t>60 068 05 0089 000</t>
  </si>
  <si>
    <t>14169 JACKSON</t>
  </si>
  <si>
    <t>60 068 05 0096 000</t>
  </si>
  <si>
    <t>14223 JACKSON</t>
  </si>
  <si>
    <t>60 069 01 0034 002</t>
  </si>
  <si>
    <t>13527 PARDEE</t>
  </si>
  <si>
    <t>60 069 01 0035 003</t>
  </si>
  <si>
    <t>60 069 03 0003 000</t>
  </si>
  <si>
    <t>22655 COACHLIGHT</t>
  </si>
  <si>
    <t>'569C0</t>
  </si>
  <si>
    <t>53B COACHLIGHT CONDOS</t>
  </si>
  <si>
    <t>CONDO SITE</t>
  </si>
  <si>
    <t>60 069 03 0011 000</t>
  </si>
  <si>
    <t>22696 COACHLIGHT</t>
  </si>
  <si>
    <t>60 069 03 0020 000</t>
  </si>
  <si>
    <t>22869 COACHLIGHT</t>
  </si>
  <si>
    <t>60 069 03 0023 000</t>
  </si>
  <si>
    <t>22853 COACHLIGHT</t>
  </si>
  <si>
    <t>60 069 03 0026 000</t>
  </si>
  <si>
    <t>22833 COACHLIGHT</t>
  </si>
  <si>
    <t>60 069 03 0036 000</t>
  </si>
  <si>
    <t>22818 COACHLIGHT</t>
  </si>
  <si>
    <t>60 069 03 0056 000</t>
  </si>
  <si>
    <t>22691 COACHLIGHT</t>
  </si>
  <si>
    <t>60 069 03 0065 000</t>
  </si>
  <si>
    <t>22745 COACHLIGHT</t>
  </si>
  <si>
    <t>60 069 03 0071 000</t>
  </si>
  <si>
    <t>22781 COACHLIGHT</t>
  </si>
  <si>
    <t>60 069 03 0086 000</t>
  </si>
  <si>
    <t>22726 COACHLIGHT</t>
  </si>
  <si>
    <t>60 069 04 0001 000</t>
  </si>
  <si>
    <t>22749 WOODCREEK DR</t>
  </si>
  <si>
    <t>'569B0</t>
  </si>
  <si>
    <t>934</t>
  </si>
  <si>
    <t>60 069 04 0015 000</t>
  </si>
  <si>
    <t>22801 WOODCREEK DR</t>
  </si>
  <si>
    <t>60 069 04 0018 000</t>
  </si>
  <si>
    <t>22811 WOODCREEK DR</t>
  </si>
  <si>
    <t>60 069 04 0031 000</t>
  </si>
  <si>
    <t>22833 WOODCREEK DR</t>
  </si>
  <si>
    <t>60 069 04 0051 000</t>
  </si>
  <si>
    <t>22891 WOODCREEK DR</t>
  </si>
  <si>
    <t>60 069 04 0053 000</t>
  </si>
  <si>
    <t>22788 REDWOOD LANE</t>
  </si>
  <si>
    <t>60 069 04 0055 000</t>
  </si>
  <si>
    <t>22780 REDWOOD LANE</t>
  </si>
  <si>
    <t>60 069 04 0074 000</t>
  </si>
  <si>
    <t>22832 WOODCREEK DR</t>
  </si>
  <si>
    <t>60 069 04 0089 000</t>
  </si>
  <si>
    <t>22672 WOODCREEK DR</t>
  </si>
  <si>
    <t>60 069 05 0041 000</t>
  </si>
  <si>
    <t>22091 PARKVIEW DR</t>
  </si>
  <si>
    <t>'569A0</t>
  </si>
  <si>
    <t>CHATHAM VILLAGE</t>
  </si>
  <si>
    <t>60 070 01 0194 000</t>
  </si>
  <si>
    <t>14508 PINE</t>
  </si>
  <si>
    <t>'471A9</t>
  </si>
  <si>
    <t>46</t>
  </si>
  <si>
    <t>60 070 01 0247 000</t>
  </si>
  <si>
    <t>14199 SYRACUSE</t>
  </si>
  <si>
    <t>60 070 01 0260 000</t>
  </si>
  <si>
    <t>14483 SYRACUSE</t>
  </si>
  <si>
    <t>60 070 01 0267 000</t>
  </si>
  <si>
    <t>14657 SYRACUSE</t>
  </si>
  <si>
    <t>60 070 01 0294 303</t>
  </si>
  <si>
    <t>14470 SYRACUSE</t>
  </si>
  <si>
    <t>60 070 01 0302 000</t>
  </si>
  <si>
    <t>14424 SYRACUSE</t>
  </si>
  <si>
    <t>60 070 01 0305 000</t>
  </si>
  <si>
    <t>14404 SYRACUSE</t>
  </si>
  <si>
    <t>60 070 01 0342 300</t>
  </si>
  <si>
    <t>14165 CORNELL</t>
  </si>
  <si>
    <t>12/10/2019</t>
  </si>
  <si>
    <t>60 070 01 0368 000</t>
  </si>
  <si>
    <t>14705 CORNELL</t>
  </si>
  <si>
    <t>60 070 01 0431 000</t>
  </si>
  <si>
    <t>14051 WEST POINT</t>
  </si>
  <si>
    <t>60 070 01 0432 000</t>
  </si>
  <si>
    <t>60 070 01 0440 000</t>
  </si>
  <si>
    <t>14261 WEST POINT</t>
  </si>
  <si>
    <t>60 070 01 0457 000</t>
  </si>
  <si>
    <t>14519 WEST POINT</t>
  </si>
  <si>
    <t>60 070 01 0505 300</t>
  </si>
  <si>
    <t>14260 WEST POINT</t>
  </si>
  <si>
    <t>60 070 01 0513 300</t>
  </si>
  <si>
    <t>14070 WEST POINT</t>
  </si>
  <si>
    <t>60 070 99 0016 000</t>
  </si>
  <si>
    <t>13375 PINE</t>
  </si>
  <si>
    <t>'470A9</t>
  </si>
  <si>
    <t>53A</t>
  </si>
  <si>
    <t>60 070 99 0021 004</t>
  </si>
  <si>
    <t>13350 PINE</t>
  </si>
  <si>
    <t>60 070 99 0021 003</t>
  </si>
  <si>
    <t>12/31/1993</t>
  </si>
  <si>
    <t>60 070 99 0021 006</t>
  </si>
  <si>
    <t>13404 PINE</t>
  </si>
  <si>
    <t>60 071 01 0010 000</t>
  </si>
  <si>
    <t>23448 RIDGEVIEW ST</t>
  </si>
  <si>
    <t>'571B0</t>
  </si>
  <si>
    <t>TIMBERLINE MEAD</t>
  </si>
  <si>
    <t>60 071 01 0014 000</t>
  </si>
  <si>
    <t>23352 SUNSET RD</t>
  </si>
  <si>
    <t>60 071 01 0021 000</t>
  </si>
  <si>
    <t>23366 SUNSET RD</t>
  </si>
  <si>
    <t>60 071 01 0023 000</t>
  </si>
  <si>
    <t>23370 SUNSET RD</t>
  </si>
  <si>
    <t>60 071 01 0091 000</t>
  </si>
  <si>
    <t>14353 TIMBERLINE DR</t>
  </si>
  <si>
    <t>60 073 01 0015 000</t>
  </si>
  <si>
    <t>24600 MUIRFIELD DR</t>
  </si>
  <si>
    <t>'473A0</t>
  </si>
  <si>
    <t>933</t>
  </si>
  <si>
    <t>60 073 01 0031 000</t>
  </si>
  <si>
    <t>24625 MUIRFIELD DR</t>
  </si>
  <si>
    <t>60 073 01 0034 000</t>
  </si>
  <si>
    <t>24685 MUIRFIELD DR</t>
  </si>
  <si>
    <t>60 073 01 0036 000</t>
  </si>
  <si>
    <t>24755 MUIRFIELD DR</t>
  </si>
  <si>
    <t>60 074 01 0008 000</t>
  </si>
  <si>
    <t>13155 GOLF POINTE DR</t>
  </si>
  <si>
    <t>'574A0</t>
  </si>
  <si>
    <t>GOLF POINTE</t>
  </si>
  <si>
    <t>60 074 01 0020 000</t>
  </si>
  <si>
    <t>13195 GOLF POINTE DR</t>
  </si>
  <si>
    <t>60 075 01 0083 301</t>
  </si>
  <si>
    <t>15145 OLDHAM</t>
  </si>
  <si>
    <t>'480A9</t>
  </si>
  <si>
    <t>50</t>
  </si>
  <si>
    <t>60 075 01 0093 000</t>
  </si>
  <si>
    <t>15266 OLDHAM</t>
  </si>
  <si>
    <t>60 075 01 0127 000</t>
  </si>
  <si>
    <t>15085 BEECH DALY</t>
  </si>
  <si>
    <t>60 075 01 0129 000</t>
  </si>
  <si>
    <t>15095 BEECH DALY</t>
  </si>
  <si>
    <t>60 075 01 0149 000</t>
  </si>
  <si>
    <t>15359 BEECH DALY</t>
  </si>
  <si>
    <t>60 075 01 0153 000</t>
  </si>
  <si>
    <t>15403 BEECH DALY</t>
  </si>
  <si>
    <t>60 075 01 0159 300</t>
  </si>
  <si>
    <t>15451 BEECH DALY</t>
  </si>
  <si>
    <t>60 075 01 0169 000</t>
  </si>
  <si>
    <t>15404 OLDHAM</t>
  </si>
  <si>
    <t>60 075 01 0207 000</t>
  </si>
  <si>
    <t>15705 OLDHAM</t>
  </si>
  <si>
    <t>60 075 01 0237 000</t>
  </si>
  <si>
    <t>15690 OLDHAM</t>
  </si>
  <si>
    <t>60 075 01 0257 001</t>
  </si>
  <si>
    <t>14718 MILLER</t>
  </si>
  <si>
    <t>60 075 01 0271 000</t>
  </si>
  <si>
    <t>14746 GULLEY</t>
  </si>
  <si>
    <t>60 075 01 0273 000</t>
  </si>
  <si>
    <t>14718 GULLEY</t>
  </si>
  <si>
    <t>60 075 02 0025 001</t>
  </si>
  <si>
    <t>25600 EUREKA</t>
  </si>
  <si>
    <t>310</t>
  </si>
  <si>
    <t>60 075 03 0039 000</t>
  </si>
  <si>
    <t>25024 PAMELA</t>
  </si>
  <si>
    <t>'475A0</t>
  </si>
  <si>
    <t>48</t>
  </si>
  <si>
    <t>60 075 03 0040 000</t>
  </si>
  <si>
    <t>25036 PAMELA</t>
  </si>
  <si>
    <t>60 075 03 0050 000</t>
  </si>
  <si>
    <t>25156 PAMELA</t>
  </si>
  <si>
    <t>60 075 03 0063 000</t>
  </si>
  <si>
    <t>14170 GULLEY</t>
  </si>
  <si>
    <t>60 075 03 0077 000</t>
  </si>
  <si>
    <t>25059 PAMELA</t>
  </si>
  <si>
    <t>60 075 03 0144 000</t>
  </si>
  <si>
    <t>25130 DARIN</t>
  </si>
  <si>
    <t>01/17/2012</t>
  </si>
  <si>
    <t>60 075 03 0165 000</t>
  </si>
  <si>
    <t>25045 RICHARD</t>
  </si>
  <si>
    <t>60 075 03 0166 000</t>
  </si>
  <si>
    <t>25033 RICHARD</t>
  </si>
  <si>
    <t>60 075 03 0177 000</t>
  </si>
  <si>
    <t>25104 RICHARD</t>
  </si>
  <si>
    <t>60 075 03 0212 000</t>
  </si>
  <si>
    <t>25098 CARY</t>
  </si>
  <si>
    <t>60 076 01 1241 300</t>
  </si>
  <si>
    <t>14286 TROY</t>
  </si>
  <si>
    <t>'476A0</t>
  </si>
  <si>
    <t>47</t>
  </si>
  <si>
    <t>60 076 01 1412 000</t>
  </si>
  <si>
    <t>14801 BURR</t>
  </si>
  <si>
    <t>60 076 01 1490 000</t>
  </si>
  <si>
    <t>14443 BUCK</t>
  </si>
  <si>
    <t>60 076 01 1491 000</t>
  </si>
  <si>
    <t>14451 BUCK</t>
  </si>
  <si>
    <t>60 076 01 1524 300</t>
  </si>
  <si>
    <t>14666 BANNER</t>
  </si>
  <si>
    <t>60 076 01 1528 000</t>
  </si>
  <si>
    <t>14642 BANNER</t>
  </si>
  <si>
    <t>60 076 01 1529 000</t>
  </si>
  <si>
    <t>14634 BANNER</t>
  </si>
  <si>
    <t>60 077 01 0958 000</t>
  </si>
  <si>
    <t>13516 FELLRATH</t>
  </si>
  <si>
    <t>'477A9</t>
  </si>
  <si>
    <t>49</t>
  </si>
  <si>
    <t>01/30/2000</t>
  </si>
  <si>
    <t>60 077 01 1049 000</t>
  </si>
  <si>
    <t>13685 MARVIN</t>
  </si>
  <si>
    <t>60 077 01 1057 001</t>
  </si>
  <si>
    <t>25978 SUPERIOR</t>
  </si>
  <si>
    <t>60 077 01 1075 000</t>
  </si>
  <si>
    <t>13708 MC GUIRE</t>
  </si>
  <si>
    <t>01/06/2021</t>
  </si>
  <si>
    <t>60 077 01 1142 300</t>
  </si>
  <si>
    <t>13710 BEECH DALY</t>
  </si>
  <si>
    <t>60 077 01 1164 000</t>
  </si>
  <si>
    <t>13622 BEECH DALY</t>
  </si>
  <si>
    <t>60 077 01 1185 002</t>
  </si>
  <si>
    <t>13416 BEECH DALY</t>
  </si>
  <si>
    <t>60 080 01 0269 300</t>
  </si>
  <si>
    <t>14648 HAROLD</t>
  </si>
  <si>
    <t>60 080 01 0278 300</t>
  </si>
  <si>
    <t>14762 HAROLD</t>
  </si>
  <si>
    <t>60 080 01 0299 300</t>
  </si>
  <si>
    <t>14709 DUNCAN</t>
  </si>
  <si>
    <t>60 080 02 0001 301</t>
  </si>
  <si>
    <t>14460 BEECH DALY</t>
  </si>
  <si>
    <t>60 080 02 0014 001</t>
  </si>
  <si>
    <t>14640 BEECH DALY</t>
  </si>
  <si>
    <t>01/28/2000</t>
  </si>
  <si>
    <t>60 080 02 0049 000</t>
  </si>
  <si>
    <t>14711 MC GUIRE</t>
  </si>
  <si>
    <t>60 080 02 0052 000</t>
  </si>
  <si>
    <t>14671 MC GUIRE</t>
  </si>
  <si>
    <t>60 080 02 0083 300</t>
  </si>
  <si>
    <t>14670 MC GUIRE</t>
  </si>
  <si>
    <t>60 080 02 0086 300</t>
  </si>
  <si>
    <t>14710 MC GUIRE</t>
  </si>
  <si>
    <t>60 080 02 0089 301</t>
  </si>
  <si>
    <t>14750 MC GUIRE</t>
  </si>
  <si>
    <t>60 080 02 0178 000</t>
  </si>
  <si>
    <t>14817 FELLRATH</t>
  </si>
  <si>
    <t>60 080 02 0247 300</t>
  </si>
  <si>
    <t>14725 HAROLD</t>
  </si>
  <si>
    <t>60 080 02 0248 300</t>
  </si>
  <si>
    <t>14709 HAROLD</t>
  </si>
  <si>
    <t>60 080 03 0716 000</t>
  </si>
  <si>
    <t>14236 BEECH DALY</t>
  </si>
  <si>
    <t>60 080 03 0768 000</t>
  </si>
  <si>
    <t>14236 MC GUIRE</t>
  </si>
  <si>
    <t>60 080 03 0775 000</t>
  </si>
  <si>
    <t>14080 MC GUIRE</t>
  </si>
  <si>
    <t>60 080 03 0787 300</t>
  </si>
  <si>
    <t>25951 SUPERIOR</t>
  </si>
  <si>
    <t>12/03/1999</t>
  </si>
  <si>
    <t>60 080 03 0842 000</t>
  </si>
  <si>
    <t>14065 FELLRATH</t>
  </si>
  <si>
    <t>60 080 03 0856 002</t>
  </si>
  <si>
    <t>14234 FELLRATH</t>
  </si>
  <si>
    <t>60 080 03 0857 002</t>
  </si>
  <si>
    <t>14224 FELLRATH</t>
  </si>
  <si>
    <t>60 080 03 0875 000</t>
  </si>
  <si>
    <t>26153 SUPERIOR</t>
  </si>
  <si>
    <t>60 080 99 0005 000</t>
  </si>
  <si>
    <t>14643 LANGE</t>
  </si>
  <si>
    <t>'478A9</t>
  </si>
  <si>
    <t>442</t>
  </si>
  <si>
    <t>60 081 02 0032 000</t>
  </si>
  <si>
    <t>60 081 02 0033 000</t>
  </si>
  <si>
    <t>15096 MC GUIRE</t>
  </si>
  <si>
    <t>60 081 02 0077 300</t>
  </si>
  <si>
    <t>15310 BEECH DALY</t>
  </si>
  <si>
    <t>60 081 02 0087 000</t>
  </si>
  <si>
    <t>15382 BEECH DALY</t>
  </si>
  <si>
    <t>60 081 02 0092 000</t>
  </si>
  <si>
    <t>15422 BEECH DALY</t>
  </si>
  <si>
    <t>60 081 02 0093 000</t>
  </si>
  <si>
    <t>15434 BEECH DALY</t>
  </si>
  <si>
    <t>60 081 02 0095 000</t>
  </si>
  <si>
    <t>15446 BEECH DALY</t>
  </si>
  <si>
    <t>60 081 02 0117 300</t>
  </si>
  <si>
    <t>15324 MC GUIRE</t>
  </si>
  <si>
    <t>60 081 02 0177 002</t>
  </si>
  <si>
    <t>15605 MC GUIRE</t>
  </si>
  <si>
    <t>60 081 02 0189 300</t>
  </si>
  <si>
    <t>15720 BEECH DALY</t>
  </si>
  <si>
    <t>60 081 04 0008 000</t>
  </si>
  <si>
    <t>15314 HAMPDEN</t>
  </si>
  <si>
    <t>'481B0</t>
  </si>
  <si>
    <t>462</t>
  </si>
  <si>
    <t>60 082 02 0003 000</t>
  </si>
  <si>
    <t>15037 KERSTYN</t>
  </si>
  <si>
    <t>'482A9</t>
  </si>
  <si>
    <t>51</t>
  </si>
  <si>
    <t>60 082 02 0009 000</t>
  </si>
  <si>
    <t>15121 KERSTYN</t>
  </si>
  <si>
    <t>60 082 02 0011 000</t>
  </si>
  <si>
    <t>15149 KERSTYN</t>
  </si>
  <si>
    <t>60 082 02 0017 000</t>
  </si>
  <si>
    <t>15235 KERSTYN</t>
  </si>
  <si>
    <t>60 082 02 0020 000</t>
  </si>
  <si>
    <t>15401 KERSTYN</t>
  </si>
  <si>
    <t>60 082 02 0023 000</t>
  </si>
  <si>
    <t>15439 KERSTYN</t>
  </si>
  <si>
    <t>60 082 02 0025 000</t>
  </si>
  <si>
    <t>15621 WENDY</t>
  </si>
  <si>
    <t>60 082 02 0067 000</t>
  </si>
  <si>
    <t>15665 KERSTYN</t>
  </si>
  <si>
    <t>60 082 02 0071 000</t>
  </si>
  <si>
    <t>15711 KERSTYN</t>
  </si>
  <si>
    <t>60 082 02 0078 000</t>
  </si>
  <si>
    <t>15795 KERSTYN</t>
  </si>
  <si>
    <t>60 082 02 0102 000</t>
  </si>
  <si>
    <t>15618 KERSTYN</t>
  </si>
  <si>
    <t>60 082 02 0109 000</t>
  </si>
  <si>
    <t>15619 WELLINGTON</t>
  </si>
  <si>
    <t>60 082 02 0110 000</t>
  </si>
  <si>
    <t>15631 WELLINGTON</t>
  </si>
  <si>
    <t>60 082 02 0123 000</t>
  </si>
  <si>
    <t>15929 WELLINGTON</t>
  </si>
  <si>
    <t>60 082 02 0127 000</t>
  </si>
  <si>
    <t>27019 LEROY</t>
  </si>
  <si>
    <t>60 082 02 0129 000</t>
  </si>
  <si>
    <t>27043 LEROY</t>
  </si>
  <si>
    <t>60 082 02 0147 000</t>
  </si>
  <si>
    <t>27251 BARBARA</t>
  </si>
  <si>
    <t>11/19/1999</t>
  </si>
  <si>
    <t>60 082 02 0148 000</t>
  </si>
  <si>
    <t>27263 BARBARA</t>
  </si>
  <si>
    <t>60 082 02 0182 000</t>
  </si>
  <si>
    <t>15356 WENDY</t>
  </si>
  <si>
    <t>60 082 02 0189 000</t>
  </si>
  <si>
    <t>15333 WENDY</t>
  </si>
  <si>
    <t>60 082 02 0195 000</t>
  </si>
  <si>
    <t>15405 WENDY</t>
  </si>
  <si>
    <t>60 082 02 0202 000</t>
  </si>
  <si>
    <t>27001 STACEY</t>
  </si>
  <si>
    <t>60 082 02 0216 000</t>
  </si>
  <si>
    <t>15104 SIEBERT</t>
  </si>
  <si>
    <t>60 082 02 0226 000</t>
  </si>
  <si>
    <t>15103 SIEBERT</t>
  </si>
  <si>
    <t>60 082 02 0229 000</t>
  </si>
  <si>
    <t>15143 SIEBERT</t>
  </si>
  <si>
    <t>60 082 02 0236 000</t>
  </si>
  <si>
    <t>27002 STACEY</t>
  </si>
  <si>
    <t>60 083 01 0313 000</t>
  </si>
  <si>
    <t>26867 CALIFORNIA</t>
  </si>
  <si>
    <t>60 083 01 0334 000</t>
  </si>
  <si>
    <t>16350 LAUREN</t>
  </si>
  <si>
    <t>60 083 01 0339 000</t>
  </si>
  <si>
    <t>16288 LAUREN</t>
  </si>
  <si>
    <t>RESIDENTIAL</t>
  </si>
  <si>
    <t>60 083 01 0357 000</t>
  </si>
  <si>
    <t>16042 LAUREN</t>
  </si>
  <si>
    <t>60 083 01 0364 000</t>
  </si>
  <si>
    <t>16061 LAUREN</t>
  </si>
  <si>
    <t>60 083 01 0397 000</t>
  </si>
  <si>
    <t>27081 CALIFORNIA</t>
  </si>
  <si>
    <t>60 083 01 0413 000</t>
  </si>
  <si>
    <t>15972 WELLINGTON</t>
  </si>
  <si>
    <t>60 083 99 0006 000</t>
  </si>
  <si>
    <t>16251 INKSTER</t>
  </si>
  <si>
    <t>'483A9</t>
  </si>
  <si>
    <t>52</t>
  </si>
  <si>
    <t>60 083 99 0010 000</t>
  </si>
  <si>
    <t>27296 PENNSYLVANIA</t>
  </si>
  <si>
    <t>60 084 03 0005 000</t>
  </si>
  <si>
    <t>16009 TERRACE VILLAGE DR</t>
  </si>
  <si>
    <t>'584A0</t>
  </si>
  <si>
    <t>TERRACES</t>
  </si>
  <si>
    <t>60 084 03 0034 000</t>
  </si>
  <si>
    <t>16233 TERRACE VILLAGE DR</t>
  </si>
  <si>
    <t>60 084 03 0041 000</t>
  </si>
  <si>
    <t>16251 TERRACE VILLAGE DR</t>
  </si>
  <si>
    <t>60 084 03 0043 000</t>
  </si>
  <si>
    <t>16255 TERRACE VILLAGE DR</t>
  </si>
  <si>
    <t>60 084 03 0050 000</t>
  </si>
  <si>
    <t>16273 TERRACE VILLAGE DR</t>
  </si>
  <si>
    <t>60 084 03 0052 000</t>
  </si>
  <si>
    <t>16201 TERRACE VILLAGE DR</t>
  </si>
  <si>
    <t>60 084 03 0063 000</t>
  </si>
  <si>
    <t>16311 TERRACE VILLAGE DR</t>
  </si>
  <si>
    <t>60 084 03 0070 000</t>
  </si>
  <si>
    <t>16373 TERRACE VILLAGE DR</t>
  </si>
  <si>
    <t>60 084 03 0071 000</t>
  </si>
  <si>
    <t>16369 TERRACE VILLAGE DR</t>
  </si>
  <si>
    <t>60 084 03 0083 000</t>
  </si>
  <si>
    <t>16459 TERRACE VILLAGE DR</t>
  </si>
  <si>
    <t>60 084 03 0088 000</t>
  </si>
  <si>
    <t>16473 TERRACE VILLAGE DR</t>
  </si>
  <si>
    <t>60 084 03 0090 000</t>
  </si>
  <si>
    <t>16401 TERRACE VILLAGE DR</t>
  </si>
  <si>
    <t>60 084 03 0091 000</t>
  </si>
  <si>
    <t>16535 TERRACE VILLAGE DR</t>
  </si>
  <si>
    <t>60 084 03 0094 000</t>
  </si>
  <si>
    <t>16529 TERRACE VILLAGE DR</t>
  </si>
  <si>
    <t>12/06/2010</t>
  </si>
  <si>
    <t>60 084 03 0099 000</t>
  </si>
  <si>
    <t>16515 TERRACE VILLAGE DR</t>
  </si>
  <si>
    <t>60 084 99 0009 000</t>
  </si>
  <si>
    <t>26386 PENNSYLVANIA</t>
  </si>
  <si>
    <t>'488A9</t>
  </si>
  <si>
    <t>350</t>
  </si>
  <si>
    <t>60 084 99 0011 002</t>
  </si>
  <si>
    <t>26360 PENNSYLVANIA</t>
  </si>
  <si>
    <t>60 085 01 0596 000</t>
  </si>
  <si>
    <t>15313 BURR</t>
  </si>
  <si>
    <t>'485B0</t>
  </si>
  <si>
    <t>370</t>
  </si>
  <si>
    <t>60 085 01 0631 000</t>
  </si>
  <si>
    <t>15464 BUCK</t>
  </si>
  <si>
    <t>60 085 01 0642 300</t>
  </si>
  <si>
    <t>15290 BUCK</t>
  </si>
  <si>
    <t>60 085 01 0667 000</t>
  </si>
  <si>
    <t>15565 BUCK</t>
  </si>
  <si>
    <t>60 085 01 0688 000</t>
  </si>
  <si>
    <t>15402 BANNER</t>
  </si>
  <si>
    <t>60 085 01 0712 002</t>
  </si>
  <si>
    <t>15441 BANNER</t>
  </si>
  <si>
    <t>60 085 01 0722 000</t>
  </si>
  <si>
    <t>15579 BANNER</t>
  </si>
  <si>
    <t>60 085 01 0736 000</t>
  </si>
  <si>
    <t>15514 COOPER</t>
  </si>
  <si>
    <t>60 085 02 0004 003</t>
  </si>
  <si>
    <t>15053 WESTLAKE</t>
  </si>
  <si>
    <t>'485C9</t>
  </si>
  <si>
    <t>57</t>
  </si>
  <si>
    <t>60 085 02 0022 002</t>
  </si>
  <si>
    <t>15103 GAGE</t>
  </si>
  <si>
    <t>10/29/2020</t>
  </si>
  <si>
    <t>60 085 02 0065 001</t>
  </si>
  <si>
    <t>15051 BAILEY</t>
  </si>
  <si>
    <t>60 085 02 0077 002</t>
  </si>
  <si>
    <t>15106 BURR</t>
  </si>
  <si>
    <t>60 085 02 0127 000</t>
  </si>
  <si>
    <t>15165 BANNER</t>
  </si>
  <si>
    <t>56</t>
  </si>
  <si>
    <t>60 085 03 0033 000</t>
  </si>
  <si>
    <t>24817 ORCHARD</t>
  </si>
  <si>
    <t>60 085 03 0044 000</t>
  </si>
  <si>
    <t>24716 ORCHARD</t>
  </si>
  <si>
    <t>60 085 03 0079 000</t>
  </si>
  <si>
    <t>15438 WESTLAKE</t>
  </si>
  <si>
    <t>60 085 03 0090 000</t>
  </si>
  <si>
    <t>15343 LEADER</t>
  </si>
  <si>
    <t>60 085 03 0115 000</t>
  </si>
  <si>
    <t>15400 LEADER</t>
  </si>
  <si>
    <t>60 085 03 0156 000</t>
  </si>
  <si>
    <t>24716 ORIOLE</t>
  </si>
  <si>
    <t>60 085 03 0157 000</t>
  </si>
  <si>
    <t>24702 ORIOLE</t>
  </si>
  <si>
    <t>60 085 04 0010 000</t>
  </si>
  <si>
    <t>15400 BURR</t>
  </si>
  <si>
    <t>60 086 02 0202 000</t>
  </si>
  <si>
    <t>15723 LEADER</t>
  </si>
  <si>
    <t>60 086 02 0216 000</t>
  </si>
  <si>
    <t>15630 LEADER</t>
  </si>
  <si>
    <t>60 086 02 0217 000</t>
  </si>
  <si>
    <t>15638 LEADER</t>
  </si>
  <si>
    <t>60 086 02 0218 000</t>
  </si>
  <si>
    <t>15646 LEADER</t>
  </si>
  <si>
    <t>60 086 02 0223 000</t>
  </si>
  <si>
    <t>15677 VIVIAN</t>
  </si>
  <si>
    <t>60 086 02 0302 000</t>
  </si>
  <si>
    <t>15708 MICHAEL</t>
  </si>
  <si>
    <t>60 086 03 0044 000</t>
  </si>
  <si>
    <t>25373 KELLI CT</t>
  </si>
  <si>
    <t>811</t>
  </si>
  <si>
    <t>60 086 04 0322 000</t>
  </si>
  <si>
    <t>15427 GULLEY</t>
  </si>
  <si>
    <t>60 086 99 0013 702</t>
  </si>
  <si>
    <t>15279 GULLEY</t>
  </si>
  <si>
    <t>60 087 99 0007 001</t>
  </si>
  <si>
    <t>15971 BEECH DALY</t>
  </si>
  <si>
    <t>60 087 99 0015 001</t>
  </si>
  <si>
    <t>16587 BEECH DALY</t>
  </si>
  <si>
    <t>60 087 99 0014 004</t>
  </si>
  <si>
    <t>60 087 99 0037 000</t>
  </si>
  <si>
    <t>25330 PENNSYLVANIA</t>
  </si>
  <si>
    <t>60 087 99 0041 000</t>
  </si>
  <si>
    <t>25306 PENNSYLVANIA</t>
  </si>
  <si>
    <t>60 088 01 0006 000</t>
  </si>
  <si>
    <t>TELEGRAPH</t>
  </si>
  <si>
    <t>60 090 01 0560 008</t>
  </si>
  <si>
    <t>15615 PARDEE</t>
  </si>
  <si>
    <t>'490A0</t>
  </si>
  <si>
    <t>191</t>
  </si>
  <si>
    <t>60 090 08 0005 000</t>
  </si>
  <si>
    <t>15709 DUPAGE</t>
  </si>
  <si>
    <t>'590B0</t>
  </si>
  <si>
    <t>926</t>
  </si>
  <si>
    <t>DUPAGE</t>
  </si>
  <si>
    <t>60 090 08 0014 000</t>
  </si>
  <si>
    <t>15806 DUPAGE</t>
  </si>
  <si>
    <t>60 090 08 0042 000</t>
  </si>
  <si>
    <t>15786 DUPAGE</t>
  </si>
  <si>
    <t>60 090 08 0050 000</t>
  </si>
  <si>
    <t>15766 DUPAGE</t>
  </si>
  <si>
    <t>60 090 08 0056 000</t>
  </si>
  <si>
    <t>15724 DUPAGE</t>
  </si>
  <si>
    <t>60 090 08 0059 000</t>
  </si>
  <si>
    <t>15676 DUPAGE</t>
  </si>
  <si>
    <t>60 090 08 0075 000</t>
  </si>
  <si>
    <t>15646 DUPAGE</t>
  </si>
  <si>
    <t>60 090 08 0077 000</t>
  </si>
  <si>
    <t>15658 DUPAGE</t>
  </si>
  <si>
    <t>60 090 08 0080 000</t>
  </si>
  <si>
    <t>15652 DUPAGE</t>
  </si>
  <si>
    <t>60 090 08 0084 000</t>
  </si>
  <si>
    <t>15663 DUPAGE</t>
  </si>
  <si>
    <t>60 090 08 0098 000</t>
  </si>
  <si>
    <t>15592 DUPAGE</t>
  </si>
  <si>
    <t>60 090 08 0100 000</t>
  </si>
  <si>
    <t>15594 DUPAGE</t>
  </si>
  <si>
    <t>60 090 08 0126 000</t>
  </si>
  <si>
    <t>15597 DUPAGE</t>
  </si>
  <si>
    <t>60 090 08 0137 000</t>
  </si>
  <si>
    <t>15563 DUPAGE</t>
  </si>
  <si>
    <t>60 090 08 0160 000</t>
  </si>
  <si>
    <t>15512 DUPAGE</t>
  </si>
  <si>
    <t>60 090 08 0167 000</t>
  </si>
  <si>
    <t>15555 DUPAGE</t>
  </si>
  <si>
    <t>60 090 08 0173 000</t>
  </si>
  <si>
    <t>15539 DUPAGE</t>
  </si>
  <si>
    <t>60 090 08 0182 000</t>
  </si>
  <si>
    <t>15513 DUPAGE</t>
  </si>
  <si>
    <t>60 090 08 0201 000</t>
  </si>
  <si>
    <t>15439 DUPAGE</t>
  </si>
  <si>
    <t>60 090 08 0216 000</t>
  </si>
  <si>
    <t>15452 DUPAGE</t>
  </si>
  <si>
    <t>60 090 08 0230 000</t>
  </si>
  <si>
    <t>15417 DUPAGE</t>
  </si>
  <si>
    <t>60 090 08 0237 000</t>
  </si>
  <si>
    <t>15362 DUPAGE</t>
  </si>
  <si>
    <t>60 090 08 0239 000</t>
  </si>
  <si>
    <t>15366 DUPAGE</t>
  </si>
  <si>
    <t>60 093 01 0657 301</t>
  </si>
  <si>
    <t>ALLEN</t>
  </si>
  <si>
    <t>'493A0</t>
  </si>
  <si>
    <t>446</t>
  </si>
  <si>
    <t>60 093 01 0688 000</t>
  </si>
  <si>
    <t>15049 JACKSON</t>
  </si>
  <si>
    <t>60 096 01 0172 000</t>
  </si>
  <si>
    <t>20264 PENNSYLVANIA</t>
  </si>
  <si>
    <t>'496A0</t>
  </si>
  <si>
    <t>55</t>
  </si>
  <si>
    <t>60 096 01 0180 300</t>
  </si>
  <si>
    <t>20228 PENNSYLVANIA</t>
  </si>
  <si>
    <t>60 096 01 0209 000</t>
  </si>
  <si>
    <t>16933 ZIEGLER</t>
  </si>
  <si>
    <t>60 096 01 0250 300</t>
  </si>
  <si>
    <t>16081 ZIEGLER</t>
  </si>
  <si>
    <t>60 096 01 0254 000</t>
  </si>
  <si>
    <t>16053 ZIEGLER</t>
  </si>
  <si>
    <t>60 096 01 0277 000</t>
  </si>
  <si>
    <t>16348 ZIEGLER</t>
  </si>
  <si>
    <t>60 096 01 0284 000</t>
  </si>
  <si>
    <t>16438 ZIEGLER</t>
  </si>
  <si>
    <t>60 096 01 0305 000</t>
  </si>
  <si>
    <t>16944 ZIEGLER</t>
  </si>
  <si>
    <t>60 096 01 0358 000</t>
  </si>
  <si>
    <t>16069 JACKSON</t>
  </si>
  <si>
    <t>60 096 01 0384 301</t>
  </si>
  <si>
    <t>16370 JACKSON</t>
  </si>
  <si>
    <t>60 096 01 0384 300</t>
  </si>
  <si>
    <t>12/06/2019</t>
  </si>
  <si>
    <t>60 096 01 0387 000</t>
  </si>
  <si>
    <t>16376 JACKSON</t>
  </si>
  <si>
    <t>60 096 01 0412 000</t>
  </si>
  <si>
    <t>16956 JACKSON</t>
  </si>
  <si>
    <t>60 096 01 0425 000</t>
  </si>
  <si>
    <t>16651 WEDDEL</t>
  </si>
  <si>
    <t>60 096 01 0528 302</t>
  </si>
  <si>
    <t>16428 WEDDEL</t>
  </si>
  <si>
    <t>11/23/1999</t>
  </si>
  <si>
    <t>Totals:</t>
  </si>
  <si>
    <t>Sale. Ratio =&gt;</t>
  </si>
  <si>
    <t>Std. Dev. =&gt;</t>
  </si>
  <si>
    <t>Average</t>
  </si>
  <si>
    <t>per FF=&gt;</t>
  </si>
  <si>
    <t>per Net Acre=&gt;</t>
  </si>
  <si>
    <t>per SqFt=&gt;</t>
  </si>
  <si>
    <t>NO</t>
  </si>
  <si>
    <t>NEIGHBORHOOD #935</t>
  </si>
  <si>
    <t>NEIGHBORHOOD #934</t>
  </si>
  <si>
    <t>NEIGHBORHOOD #933</t>
  </si>
  <si>
    <t>NEIGHBORHOOD #932</t>
  </si>
  <si>
    <t>NEIGHBORHOOD #931</t>
  </si>
  <si>
    <t>NEIGHBORHOOD #930</t>
  </si>
  <si>
    <t>NEIGHBORHOOD #929</t>
  </si>
  <si>
    <t>NEIGHBORHOOD #928</t>
  </si>
  <si>
    <t>NEIGHBORHOOD #927</t>
  </si>
  <si>
    <t>NEIGHBORHOOD #926</t>
  </si>
  <si>
    <t>NEIGHBORHOOD #925</t>
  </si>
  <si>
    <t>NEIGHBORHOOD #910</t>
  </si>
  <si>
    <t>NEIGHBORHOOD #900</t>
  </si>
  <si>
    <t>NEIGHBORHOOD #811</t>
  </si>
  <si>
    <t>NEIGHBORHOOD #810</t>
  </si>
  <si>
    <t>NEIGHBORHOOD #808</t>
  </si>
  <si>
    <t>NEIGHBORHOOD #803</t>
  </si>
  <si>
    <t>See Tab</t>
  </si>
  <si>
    <t>see tab</t>
  </si>
  <si>
    <t>NEIGHBORHOOD #716</t>
  </si>
  <si>
    <t>NEIGHBORHOOD #711</t>
  </si>
  <si>
    <t>NEIGHBORHOOD #536</t>
  </si>
  <si>
    <t>NEIGHBORHOOD #515</t>
  </si>
  <si>
    <t>NEIGHBORHOOD #512</t>
  </si>
  <si>
    <t>NEIGHBORHOOD #501</t>
  </si>
  <si>
    <t>NEIGHBORHOOD #463</t>
  </si>
  <si>
    <t>NEIGHBORHOOD #462</t>
  </si>
  <si>
    <t>NEIGHBORHOOD #459</t>
  </si>
  <si>
    <t>NEIGHBORHOOD #458</t>
  </si>
  <si>
    <t>NEIGHBORHOOD #448</t>
  </si>
  <si>
    <t>NEIGHBORHOOD #446</t>
  </si>
  <si>
    <t>See AC Tab</t>
  </si>
  <si>
    <t>NEIGHBORHOOD #442</t>
  </si>
  <si>
    <t>NEIGHBORHOOD #440</t>
  </si>
  <si>
    <t>NEIGHBORHOOD #436</t>
  </si>
  <si>
    <t>NEIGHBORHOOD #432</t>
  </si>
  <si>
    <t>NEIGHBORHOOD #425</t>
  </si>
  <si>
    <t>NEIGHBORHOOD #401</t>
  </si>
  <si>
    <t>NEIGHBORHOOD #370</t>
  </si>
  <si>
    <t>NEIGHBORHOOD #350</t>
  </si>
  <si>
    <t>NEIGHBORHOOD #310</t>
  </si>
  <si>
    <t>NEIGHBORHOOD #300</t>
  </si>
  <si>
    <t>NEIGHBORHOOD #240</t>
  </si>
  <si>
    <t>NEIGHBORHOOD #211</t>
  </si>
  <si>
    <t>NEIGHBORHOOD #191</t>
  </si>
  <si>
    <t>NA</t>
  </si>
  <si>
    <t>NEIGHBORHOOD #110</t>
  </si>
  <si>
    <t>080</t>
  </si>
  <si>
    <t>NEIGHBORHOOD #70</t>
  </si>
  <si>
    <t>070</t>
  </si>
  <si>
    <t>NEIGHBORHOOD #58</t>
  </si>
  <si>
    <t>058</t>
  </si>
  <si>
    <t>NEIGHBORHOOD #57</t>
  </si>
  <si>
    <t>057</t>
  </si>
  <si>
    <t>NEIGHBORHOOD #56</t>
  </si>
  <si>
    <t>056</t>
  </si>
  <si>
    <t>NEIGHBORHOOD #55</t>
  </si>
  <si>
    <t>055</t>
  </si>
  <si>
    <t>NEIGHBORHOOD #54B</t>
  </si>
  <si>
    <t>054B</t>
  </si>
  <si>
    <t>NEIGHBORHOOD #54A</t>
  </si>
  <si>
    <t>054A</t>
  </si>
  <si>
    <t>NEIGHBORHOOD #53B</t>
  </si>
  <si>
    <t>053B</t>
  </si>
  <si>
    <t>NEIGHBORHOOD #53A</t>
  </si>
  <si>
    <t>053A</t>
  </si>
  <si>
    <t>NEIGHBORHOOD #52</t>
  </si>
  <si>
    <t>052</t>
  </si>
  <si>
    <t>NEIGHBORHOOD #51</t>
  </si>
  <si>
    <t>051</t>
  </si>
  <si>
    <t>NEIGHBORHOOD #50</t>
  </si>
  <si>
    <t>050</t>
  </si>
  <si>
    <t>NEIGHBORHOOD #49</t>
  </si>
  <si>
    <t>049</t>
  </si>
  <si>
    <t>NEIGHBORHOOD #48</t>
  </si>
  <si>
    <t>048</t>
  </si>
  <si>
    <t>NEIGHBORHOOD #47</t>
  </si>
  <si>
    <t>047</t>
  </si>
  <si>
    <t>NEIGHBORHOOD #46</t>
  </si>
  <si>
    <t>046</t>
  </si>
  <si>
    <t>NEIGHBORHOOD #45</t>
  </si>
  <si>
    <t>045</t>
  </si>
  <si>
    <t>See Cond. Tab</t>
  </si>
  <si>
    <t>NEIGHBORHOOD #44</t>
  </si>
  <si>
    <t>044</t>
  </si>
  <si>
    <t>NEIGHBORHOOD #43</t>
  </si>
  <si>
    <t>043</t>
  </si>
  <si>
    <t>NEIGHBORHOOD #42</t>
  </si>
  <si>
    <t>042</t>
  </si>
  <si>
    <t>NEIGHBORHOOD #41</t>
  </si>
  <si>
    <t>041</t>
  </si>
  <si>
    <t>NEIGHBORHOOD #40</t>
  </si>
  <si>
    <t>040</t>
  </si>
  <si>
    <t>NEIGHBORHOOD #39B</t>
  </si>
  <si>
    <t>039B</t>
  </si>
  <si>
    <t>NEIGHBORHOOD #39A</t>
  </si>
  <si>
    <t>039A</t>
  </si>
  <si>
    <t>NEIGHBORHOOD #38</t>
  </si>
  <si>
    <t>038</t>
  </si>
  <si>
    <t>NEIGHBORHOOD #37</t>
  </si>
  <si>
    <t>037</t>
  </si>
  <si>
    <t>NEIGHBORHOOD #36</t>
  </si>
  <si>
    <t>036</t>
  </si>
  <si>
    <t>NEIGHBORHOOD #35</t>
  </si>
  <si>
    <t>035</t>
  </si>
  <si>
    <t>NEIGHBORHOOD #34</t>
  </si>
  <si>
    <t>034</t>
  </si>
  <si>
    <t>NEIGHBORHOOD #33</t>
  </si>
  <si>
    <t>033</t>
  </si>
  <si>
    <t>NEIGHBORHOOD #32</t>
  </si>
  <si>
    <t>032</t>
  </si>
  <si>
    <t>NEIGHBORHOOD #31</t>
  </si>
  <si>
    <t>031</t>
  </si>
  <si>
    <t>NEIGHBORHOOD #30</t>
  </si>
  <si>
    <t>030</t>
  </si>
  <si>
    <t>NEIGHBORHOOD #29</t>
  </si>
  <si>
    <t>029</t>
  </si>
  <si>
    <t>NEIGHBORHOOD #28</t>
  </si>
  <si>
    <t>028</t>
  </si>
  <si>
    <t>NEIGHBORHOOD #27</t>
  </si>
  <si>
    <t>027</t>
  </si>
  <si>
    <t>NEIGHBORHOOD #26</t>
  </si>
  <si>
    <t>026</t>
  </si>
  <si>
    <t>NEIGHBORHOOD #25</t>
  </si>
  <si>
    <t>025</t>
  </si>
  <si>
    <t>NEIGHBORHOOD #24A</t>
  </si>
  <si>
    <t>024A</t>
  </si>
  <si>
    <t>NEIGHBORHOOD #23B</t>
  </si>
  <si>
    <t>023B</t>
  </si>
  <si>
    <t>NEIGHBORHOOD #23A</t>
  </si>
  <si>
    <t>023A</t>
  </si>
  <si>
    <t>NEIGHBORHOOD #22</t>
  </si>
  <si>
    <t>022</t>
  </si>
  <si>
    <t>NEIGHBORHOOD #21</t>
  </si>
  <si>
    <t>021</t>
  </si>
  <si>
    <t>NEIGHBORHOOD #19</t>
  </si>
  <si>
    <t>019</t>
  </si>
  <si>
    <t>NEIGHBORHOOD #18</t>
  </si>
  <si>
    <t>018</t>
  </si>
  <si>
    <t>NEIGHBORHOOD #17</t>
  </si>
  <si>
    <t>017</t>
  </si>
  <si>
    <t>NEIGHBORHOOD #16</t>
  </si>
  <si>
    <t>016</t>
  </si>
  <si>
    <t>NEIGHBORHOOD #15</t>
  </si>
  <si>
    <t>015</t>
  </si>
  <si>
    <t>NEIGHBORHOOD #14E</t>
  </si>
  <si>
    <t>014E</t>
  </si>
  <si>
    <t>NEIGHBORHOOD #14D</t>
  </si>
  <si>
    <t>014D</t>
  </si>
  <si>
    <t>NEIGHBORHOOD #14C</t>
  </si>
  <si>
    <t>014C</t>
  </si>
  <si>
    <t>NEIGHBORHOOD #14B</t>
  </si>
  <si>
    <t>014B</t>
  </si>
  <si>
    <t>NEIGHBORHOOD #14A</t>
  </si>
  <si>
    <t>014A</t>
  </si>
  <si>
    <t>NEIGHBORHOOD #13</t>
  </si>
  <si>
    <t>013</t>
  </si>
  <si>
    <t>NEIGHBORHOOD #12</t>
  </si>
  <si>
    <t>012</t>
  </si>
  <si>
    <t>NEIGHBORHOOD #11</t>
  </si>
  <si>
    <t>011</t>
  </si>
  <si>
    <t>NEIGHBORHOOD #10</t>
  </si>
  <si>
    <t>010</t>
  </si>
  <si>
    <t>NEIGHBORHOOD #9</t>
  </si>
  <si>
    <t>009</t>
  </si>
  <si>
    <t>NEIGHBORHOOD #8</t>
  </si>
  <si>
    <t>008</t>
  </si>
  <si>
    <t>NEIGHBORHOOD #7</t>
  </si>
  <si>
    <t>007</t>
  </si>
  <si>
    <t>NEIGHBORHOOD #6</t>
  </si>
  <si>
    <t>006</t>
  </si>
  <si>
    <t>NEIGHBORHOOD #5</t>
  </si>
  <si>
    <t>005</t>
  </si>
  <si>
    <t>NEIGHBORHOOD #4</t>
  </si>
  <si>
    <t>004</t>
  </si>
  <si>
    <t>NEIGHBORHOOD #3</t>
  </si>
  <si>
    <t>003</t>
  </si>
  <si>
    <t>NEIGHBORHOOD #2</t>
  </si>
  <si>
    <t>002</t>
  </si>
  <si>
    <t>NEIGHBORHOOD #1</t>
  </si>
  <si>
    <t>001</t>
  </si>
  <si>
    <t>Comments</t>
  </si>
  <si>
    <t>LV/Sale</t>
  </si>
  <si>
    <t>Table Name</t>
  </si>
  <si>
    <t>Table Number</t>
  </si>
  <si>
    <t>20% LV</t>
  </si>
  <si>
    <t>LV/FF</t>
  </si>
  <si>
    <t>1 sale-2023-using to set basis for all</t>
  </si>
  <si>
    <t>No Sales</t>
  </si>
  <si>
    <t>Per Analysis 2026 FF</t>
  </si>
  <si>
    <t>Per Analysis 2026 AC</t>
  </si>
  <si>
    <t>Per Analysis 2026 Site</t>
  </si>
  <si>
    <t>Final 2026 FF</t>
  </si>
  <si>
    <t>Final 2026 AC</t>
  </si>
  <si>
    <t>Final 2026 Site</t>
  </si>
  <si>
    <t>2025 Per Analysis Finding</t>
  </si>
  <si>
    <t>2025 FF Actual</t>
  </si>
  <si>
    <t>2025 AC</t>
  </si>
  <si>
    <t>2025 Site</t>
  </si>
  <si>
    <t>LL</t>
  </si>
  <si>
    <t>$ 0.25/SF</t>
  </si>
  <si>
    <t>60 068 01 0099 001</t>
  </si>
  <si>
    <t>HIPP</t>
  </si>
  <si>
    <t>LANDLOCKED-RESIDENTIAL</t>
  </si>
  <si>
    <t>LV/Acre</t>
  </si>
  <si>
    <t>2026 Notes</t>
  </si>
  <si>
    <t>No increase warranted from 2025 to 2026, leaving values the same for North Acreage: $17,500</t>
  </si>
  <si>
    <t>No increase warranted from 2025 to 2026, leaving values the same for South Acreage: $20,000</t>
  </si>
  <si>
    <t>Not Used</t>
  </si>
  <si>
    <t>North Acreage</t>
  </si>
  <si>
    <t>South Acreage</t>
  </si>
  <si>
    <t>Tables 29, 52, 53A, 54A, 240, 300, 440, 442, 448, 716, 808, 810, 931, 935</t>
  </si>
  <si>
    <t>2026 Notes:</t>
  </si>
  <si>
    <t>* For all Large/Deep lot tables that didn't have enough sales, utilizing a $278/FF value*</t>
  </si>
  <si>
    <t>Per Analysis % Change in Suggested</t>
  </si>
  <si>
    <t xml:space="preserve">2026 Changes </t>
  </si>
  <si>
    <t>Anything over 15% LV/Sale Ratio and under 25% - No change</t>
  </si>
  <si>
    <t>Acreage</t>
  </si>
  <si>
    <t>Increasing by 10%</t>
  </si>
  <si>
    <t>Blended sales from tab 43, 240, and 436</t>
  </si>
  <si>
    <t>FF</t>
  </si>
  <si>
    <t>Done</t>
  </si>
  <si>
    <t>Leaving as-is</t>
  </si>
  <si>
    <t>See DL Tab</t>
  </si>
  <si>
    <t>Leave as-is</t>
  </si>
  <si>
    <t>Midtown</t>
  </si>
  <si>
    <t>Parcels 040-06-0001 to 040-06-0074</t>
  </si>
  <si>
    <t>3 Story, 2 Car Att Gar</t>
  </si>
  <si>
    <t>Avg</t>
  </si>
  <si>
    <t>Glenn Abbey</t>
  </si>
  <si>
    <t>Comparable to Pinewoods &amp; Cove Creek</t>
  </si>
  <si>
    <t>Parcels 030-06-0001 to 030-06-0014</t>
  </si>
  <si>
    <t>1 Sty with 2 Car Att Gar</t>
  </si>
  <si>
    <t>Pinewoods</t>
  </si>
  <si>
    <t>Comparable to Glenn Abbey &amp; Cove Creek</t>
  </si>
  <si>
    <t>Parcels 038-04-0001 to 038-04-0124</t>
  </si>
  <si>
    <t>**</t>
  </si>
  <si>
    <t>**See Timbers Edge &amp; Glenn Abbey for 1 Sty with 2 Car Att Garage</t>
  </si>
  <si>
    <t>($46,200 + $47,000) / 2 =  $45,100</t>
  </si>
  <si>
    <t>Kinyon Woods</t>
  </si>
  <si>
    <t>Parcels 040-05-0001- to 040-05-0079</t>
  </si>
  <si>
    <t>Apt Style, No Garage</t>
  </si>
  <si>
    <t>Cove Creek Dev</t>
  </si>
  <si>
    <t>Comparable to Glenn Abbey &amp; Pinewoods</t>
  </si>
  <si>
    <t>Parcels 049-03-0025 to 049-03-0044</t>
  </si>
  <si>
    <t>Average Change from 25-26</t>
  </si>
  <si>
    <t>Timbers Edge</t>
  </si>
  <si>
    <t>Att. Condos</t>
  </si>
  <si>
    <t>Parcels 053-03-0001 to 053-03-0088</t>
  </si>
  <si>
    <t>Ranch with 2 car Att Gar</t>
  </si>
  <si>
    <t>Northstone</t>
  </si>
  <si>
    <t>Parcels 059-05-0001 to 059-05-0096</t>
  </si>
  <si>
    <t>2 Sty with 1 car Att Gar</t>
  </si>
  <si>
    <t>Chatham Village(aka Parkview)</t>
  </si>
  <si>
    <t>Parcels 069-05-0001 to 069-05-0047</t>
  </si>
  <si>
    <t>3 Sty with 1 Car Att Gar</t>
  </si>
  <si>
    <t>Comparable with Midtown(See Att. Condo Tab)</t>
  </si>
  <si>
    <t>Timberline Meadows</t>
  </si>
  <si>
    <t>Parcels 071-01-0001 to 071-01-0108</t>
  </si>
  <si>
    <t>2 Sty with 1 Car Gar</t>
  </si>
  <si>
    <t>Golf Pointe</t>
  </si>
  <si>
    <t>Parcels 074-01-0001 to 074-01-0032</t>
  </si>
  <si>
    <t>3 Sty with 2 Car Gar(Golf Course)</t>
  </si>
  <si>
    <t>Westlake Common</t>
  </si>
  <si>
    <t xml:space="preserve">No Sales </t>
  </si>
  <si>
    <t>Parcels 075-04-0001 to 075-04-0060</t>
  </si>
  <si>
    <t>Comparable with Northstone</t>
  </si>
  <si>
    <t>2 Sty with 2 Car Gar</t>
  </si>
  <si>
    <t>Terraces</t>
  </si>
  <si>
    <t>Parcels 084-03-0001 to 084-03-0121</t>
  </si>
  <si>
    <t>2 Sty Apt Style</t>
  </si>
  <si>
    <t>Chatham Village(Parkview)</t>
  </si>
  <si>
    <t>Westlake Commons</t>
  </si>
  <si>
    <t>See AC Tab.</t>
  </si>
  <si>
    <t>See DL &amp; AC tab, Leave as-is</t>
  </si>
  <si>
    <t>72-Att Condo</t>
  </si>
  <si>
    <t>119-Det. Condo</t>
  </si>
  <si>
    <t>X</t>
  </si>
  <si>
    <t>Increasing by 10%, FF Only</t>
  </si>
  <si>
    <t xml:space="preserve">Anything under 15% LV/Sale Ratio w/ over 50% in 24-25 reccomnded changes= 30% increase </t>
  </si>
  <si>
    <t xml:space="preserve">Anything under 15% LV/Sale Ratio w/ over 25% in 24-25 reccomnded changes= 20% increase </t>
  </si>
  <si>
    <t xml:space="preserve">Anything under 15% LV/Sale Ratio w/ under  25% in 24-25 reccomnded changes= 10% increase </t>
  </si>
  <si>
    <t>Anything over 15% LV/Sale Ratio over 50%= 10% increase</t>
  </si>
  <si>
    <t>Anything over 15% LV/Sale Ratio under 25%= 5% increase</t>
  </si>
  <si>
    <t>Increasing by 30%</t>
  </si>
  <si>
    <t>Increasing by 20%</t>
  </si>
  <si>
    <t>See tab 012; Increasing by 20%</t>
  </si>
  <si>
    <t>See tab 036, Increasing by 20%</t>
  </si>
  <si>
    <t>Increasing by 30%, FF Only</t>
  </si>
  <si>
    <t>Increasing by 30%, See DL Tab</t>
  </si>
  <si>
    <t>Increasing by 20%, See DL Tab</t>
  </si>
  <si>
    <t>See tab 044; Increasing by 10%</t>
  </si>
  <si>
    <t>Increasing by 20%, FF only</t>
  </si>
  <si>
    <t>See tab 910; Increasing by 10%</t>
  </si>
  <si>
    <t>See tab 43; Increasing by 10%</t>
  </si>
  <si>
    <t>See tab 440; Increasing by 10%</t>
  </si>
  <si>
    <t>See tab 036; Increasing by 20%</t>
  </si>
  <si>
    <t>See tab 070; Increasing by 30%</t>
  </si>
  <si>
    <t>See tab 932, Increasing by 30%</t>
  </si>
  <si>
    <t>Inactive Land Tables</t>
  </si>
  <si>
    <t>Merged with 023A</t>
  </si>
  <si>
    <t>Merged with 046</t>
  </si>
  <si>
    <t>Merged with 240</t>
  </si>
  <si>
    <t>Merged with 459</t>
  </si>
  <si>
    <t>Merged with 900</t>
  </si>
  <si>
    <t>Merged with 925</t>
  </si>
  <si>
    <t>Merged with 929</t>
  </si>
  <si>
    <t>See tab 39A; Increasing by 30%</t>
  </si>
  <si>
    <t>x       20%</t>
  </si>
  <si>
    <t>X        20%</t>
  </si>
  <si>
    <t>x           20%</t>
  </si>
  <si>
    <t>See tab 39A; Increasing by 20%</t>
  </si>
  <si>
    <t>LANDLOCKED - Residental</t>
  </si>
  <si>
    <t>Merged table with 002</t>
  </si>
  <si>
    <t>Merged table with 023A</t>
  </si>
  <si>
    <t>Merged table with 046</t>
  </si>
  <si>
    <t>Merged table with 240</t>
  </si>
  <si>
    <t>Merged table with 459</t>
  </si>
  <si>
    <t>Merged with table 900</t>
  </si>
  <si>
    <t>Merged with table 925</t>
  </si>
  <si>
    <t>Merged with table 926</t>
  </si>
  <si>
    <t>Merged table with 030</t>
  </si>
  <si>
    <t>Merged with 002</t>
  </si>
  <si>
    <t>Merged with 030</t>
  </si>
  <si>
    <t>Increasing by 30%, Values too low</t>
  </si>
  <si>
    <t>See DL Tab, 10% Increase</t>
  </si>
  <si>
    <t>Merged with 14D</t>
  </si>
  <si>
    <t>Merged with 041</t>
  </si>
  <si>
    <t>Merged with 933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</si>
</sst>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4" formatCode="_(&quot;$&quot;* #,##0.00_);_(&quot;$&quot;* \(#,##0.00\);_(&quot;$&quot;* &quot;-&quot;??_);_(@_)"/>
    <numFmt numFmtId="164" formatCode="\$#,##0_);[Red]\(\$#,##0\)"/>
    <numFmt numFmtId="165" formatCode="#0.00_);[Red]\(#0.00\)"/>
    <numFmt numFmtId="166" formatCode="#,##0.0_);[Red]\(#,##0.0\)"/>
    <numFmt numFmtId="167" formatCode="#0.0_);[Red]\(#0.0\)"/>
    <numFmt numFmtId="168" formatCode="\$#,##0.00_);[Red]\(\$#,##0.00\)"/>
    <numFmt numFmtId="169" formatCode="\$#,##0_);[Red]\(\$#,##0.00\)"/>
    <numFmt numFmtId="170" formatCode="0.0%"/>
    <numFmt numFmtId="171" formatCode="_(&quot;$&quot;* #,##0_);_(&quot;$&quot;* \(#,##0\);_(&quot;$&quot;* &quot;-&quot;??_);_(@_)"/>
    <numFmt numFmtId="172" formatCode="mm/dd/yy"/>
  </numFmts>
  <fonts count="34" x14ac:knownFonts="1"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i/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</font>
    <font>
      <i/>
      <sz val="11"/>
      <color rgb="FF000000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rgb="FFED0000"/>
      <name val="Arial"/>
      <family val="2"/>
    </font>
    <font>
      <b/>
      <sz val="10"/>
      <color rgb="FFED0000"/>
      <name val="Arial"/>
      <family val="2"/>
    </font>
    <font>
      <sz val="11"/>
      <color rgb="FFED0000"/>
      <name val="Calibri"/>
      <family val="2"/>
      <scheme val="minor"/>
    </font>
    <font>
      <b/>
      <sz val="11"/>
      <color rgb="FFED0000"/>
      <name val="Calibri"/>
      <family val="2"/>
      <scheme val="minor"/>
    </font>
    <font>
      <b/>
      <sz val="11"/>
      <color rgb="FFED0000"/>
      <name val="Calibri"/>
      <family val="2"/>
    </font>
    <font>
      <b/>
      <i/>
      <sz val="11"/>
      <color rgb="FFED0000"/>
      <name val="Calibri"/>
      <family val="2"/>
      <scheme val="minor"/>
    </font>
    <font>
      <b/>
      <sz val="10"/>
      <color rgb="FFC10000"/>
      <name val="Arial"/>
      <family val="2"/>
    </font>
    <font>
      <sz val="10"/>
      <color rgb="FFC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008080"/>
      </patternFill>
    </fill>
    <fill>
      <patternFill patternType="solid">
        <fgColor rgb="FFA7E4CD"/>
      </patternFill>
    </fill>
    <fill>
      <patternFill patternType="none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00206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6868"/>
        <bgColor indexed="64"/>
      </patternFill>
    </fill>
    <fill>
      <patternFill patternType="solid">
        <fgColor rgb="FFFFC000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4" borderId="1"/>
    <xf numFmtId="9" fontId="2" fillId="4" borderId="1" applyFont="0" applyFill="0" applyBorder="0" applyAlignment="0" applyProtection="0"/>
    <xf numFmtId="44" fontId="2" fillId="4" borderId="1" applyFont="0" applyFill="0" applyBorder="0" applyAlignment="0" applyProtection="0"/>
    <xf numFmtId="0" fontId="8" fillId="4" borderId="1"/>
    <xf numFmtId="44" fontId="8" fillId="4" borderId="1" applyFont="0" applyFill="0" applyBorder="0" applyAlignment="0" applyProtection="0"/>
    <xf numFmtId="0" fontId="2" fillId="4" borderId="1"/>
    <xf numFmtId="0" fontId="5" fillId="4" borderId="1"/>
    <xf numFmtId="44" fontId="5" fillId="4" borderId="1" applyFont="0" applyFill="0" applyBorder="0" applyAlignment="0" applyProtection="0"/>
    <xf numFmtId="9" fontId="5" fillId="4" borderId="1" applyFont="0" applyFill="0" applyBorder="0" applyAlignment="0" applyProtection="0"/>
  </cellStyleXfs>
  <cellXfs count="385">
    <xf numFmtId="0" fontId="0" fillId="0" borderId="0" xfId="0"/>
    <xf numFmtId="0" fontId="3" fillId="2" borderId="1" xfId="0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166" fontId="3" fillId="2" borderId="1" xfId="0" applyNumberFormat="1" applyFont="1" applyFill="1" applyBorder="1" applyAlignment="1">
      <alignment horizontal="center"/>
    </xf>
    <xf numFmtId="167" fontId="3" fillId="2" borderId="1" xfId="0" applyNumberFormat="1" applyFont="1" applyFill="1" applyBorder="1" applyAlignment="1">
      <alignment horizontal="center"/>
    </xf>
    <xf numFmtId="40" fontId="3" fillId="2" borderId="1" xfId="0" applyNumberFormat="1" applyFont="1" applyFill="1" applyBorder="1" applyAlignment="1">
      <alignment horizontal="center"/>
    </xf>
    <xf numFmtId="168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0" fillId="3" borderId="1" xfId="0" applyFill="1" applyBorder="1"/>
    <xf numFmtId="14" fontId="0" fillId="3" borderId="1" xfId="0" applyNumberFormat="1" applyFill="1" applyBorder="1"/>
    <xf numFmtId="164" fontId="0" fillId="3" borderId="1" xfId="0" applyNumberFormat="1" applyFill="1" applyBorder="1"/>
    <xf numFmtId="165" fontId="0" fillId="3" borderId="1" xfId="0" applyNumberFormat="1" applyFill="1" applyBorder="1"/>
    <xf numFmtId="166" fontId="0" fillId="3" borderId="1" xfId="0" applyNumberFormat="1" applyFill="1" applyBorder="1"/>
    <xf numFmtId="167" fontId="0" fillId="3" borderId="1" xfId="0" applyNumberFormat="1" applyFill="1" applyBorder="1"/>
    <xf numFmtId="40" fontId="0" fillId="3" borderId="1" xfId="0" applyNumberFormat="1" applyFill="1" applyBorder="1"/>
    <xf numFmtId="168" fontId="0" fillId="3" borderId="1" xfId="0" applyNumberFormat="1" applyFill="1" applyBorder="1"/>
    <xf numFmtId="0" fontId="0" fillId="3" borderId="1" xfId="0" applyFill="1" applyBorder="1" applyAlignment="1">
      <alignment horizontal="right"/>
    </xf>
    <xf numFmtId="0" fontId="0" fillId="5" borderId="1" xfId="0" applyFill="1" applyBorder="1"/>
    <xf numFmtId="14" fontId="0" fillId="5" borderId="1" xfId="0" applyNumberFormat="1" applyFill="1" applyBorder="1"/>
    <xf numFmtId="164" fontId="0" fillId="5" borderId="1" xfId="0" applyNumberFormat="1" applyFill="1" applyBorder="1"/>
    <xf numFmtId="165" fontId="0" fillId="5" borderId="1" xfId="0" applyNumberFormat="1" applyFill="1" applyBorder="1"/>
    <xf numFmtId="166" fontId="0" fillId="5" borderId="1" xfId="0" applyNumberFormat="1" applyFill="1" applyBorder="1"/>
    <xf numFmtId="167" fontId="0" fillId="5" borderId="1" xfId="0" applyNumberFormat="1" applyFill="1" applyBorder="1"/>
    <xf numFmtId="40" fontId="0" fillId="5" borderId="1" xfId="0" applyNumberFormat="1" applyFill="1" applyBorder="1"/>
    <xf numFmtId="168" fontId="0" fillId="5" borderId="1" xfId="0" applyNumberFormat="1" applyFill="1" applyBorder="1"/>
    <xf numFmtId="0" fontId="0" fillId="5" borderId="1" xfId="0" applyFill="1" applyBorder="1" applyAlignment="1">
      <alignment horizontal="right"/>
    </xf>
    <xf numFmtId="0" fontId="4" fillId="5" borderId="1" xfId="0" applyFont="1" applyFill="1" applyBorder="1"/>
    <xf numFmtId="14" fontId="4" fillId="5" borderId="1" xfId="0" applyNumberFormat="1" applyFont="1" applyFill="1" applyBorder="1"/>
    <xf numFmtId="164" fontId="4" fillId="5" borderId="1" xfId="0" applyNumberFormat="1" applyFont="1" applyFill="1" applyBorder="1"/>
    <xf numFmtId="165" fontId="4" fillId="5" borderId="1" xfId="0" applyNumberFormat="1" applyFont="1" applyFill="1" applyBorder="1"/>
    <xf numFmtId="166" fontId="4" fillId="5" borderId="1" xfId="0" applyNumberFormat="1" applyFont="1" applyFill="1" applyBorder="1"/>
    <xf numFmtId="167" fontId="4" fillId="5" borderId="1" xfId="0" applyNumberFormat="1" applyFont="1" applyFill="1" applyBorder="1"/>
    <xf numFmtId="40" fontId="4" fillId="5" borderId="1" xfId="0" applyNumberFormat="1" applyFont="1" applyFill="1" applyBorder="1"/>
    <xf numFmtId="168" fontId="4" fillId="5" borderId="1" xfId="0" applyNumberFormat="1" applyFont="1" applyFill="1" applyBorder="1"/>
    <xf numFmtId="0" fontId="4" fillId="5" borderId="1" xfId="0" applyFont="1" applyFill="1" applyBorder="1" applyAlignment="1">
      <alignment horizontal="right"/>
    </xf>
    <xf numFmtId="0" fontId="4" fillId="5" borderId="2" xfId="0" applyFont="1" applyFill="1" applyBorder="1"/>
    <xf numFmtId="14" fontId="4" fillId="5" borderId="2" xfId="0" applyNumberFormat="1" applyFont="1" applyFill="1" applyBorder="1"/>
    <xf numFmtId="164" fontId="4" fillId="5" borderId="2" xfId="0" applyNumberFormat="1" applyFont="1" applyFill="1" applyBorder="1"/>
    <xf numFmtId="165" fontId="4" fillId="5" borderId="2" xfId="0" applyNumberFormat="1" applyFont="1" applyFill="1" applyBorder="1"/>
    <xf numFmtId="166" fontId="4" fillId="5" borderId="2" xfId="0" applyNumberFormat="1" applyFont="1" applyFill="1" applyBorder="1"/>
    <xf numFmtId="167" fontId="4" fillId="5" borderId="2" xfId="0" applyNumberFormat="1" applyFont="1" applyFill="1" applyBorder="1"/>
    <xf numFmtId="40" fontId="4" fillId="5" borderId="2" xfId="0" applyNumberFormat="1" applyFont="1" applyFill="1" applyBorder="1"/>
    <xf numFmtId="168" fontId="4" fillId="5" borderId="2" xfId="0" applyNumberFormat="1" applyFont="1" applyFill="1" applyBorder="1"/>
    <xf numFmtId="0" fontId="4" fillId="5" borderId="2" xfId="0" applyFont="1" applyFill="1" applyBorder="1" applyAlignment="1">
      <alignment horizontal="right"/>
    </xf>
    <xf numFmtId="0" fontId="4" fillId="5" borderId="3" xfId="0" applyFont="1" applyFill="1" applyBorder="1"/>
    <xf numFmtId="14" fontId="4" fillId="5" borderId="3" xfId="0" applyNumberFormat="1" applyFont="1" applyFill="1" applyBorder="1"/>
    <xf numFmtId="164" fontId="4" fillId="5" borderId="3" xfId="0" applyNumberFormat="1" applyFont="1" applyFill="1" applyBorder="1"/>
    <xf numFmtId="165" fontId="4" fillId="5" borderId="3" xfId="0" applyNumberFormat="1" applyFont="1" applyFill="1" applyBorder="1"/>
    <xf numFmtId="167" fontId="4" fillId="5" borderId="3" xfId="0" applyNumberFormat="1" applyFont="1" applyFill="1" applyBorder="1"/>
    <xf numFmtId="40" fontId="4" fillId="5" borderId="3" xfId="0" applyNumberFormat="1" applyFont="1" applyFill="1" applyBorder="1"/>
    <xf numFmtId="168" fontId="4" fillId="5" borderId="3" xfId="0" applyNumberFormat="1" applyFont="1" applyFill="1" applyBorder="1"/>
    <xf numFmtId="0" fontId="4" fillId="5" borderId="3" xfId="0" applyFont="1" applyFill="1" applyBorder="1" applyAlignment="1">
      <alignment horizontal="right"/>
    </xf>
    <xf numFmtId="169" fontId="4" fillId="5" borderId="3" xfId="0" applyNumberFormat="1" applyFont="1" applyFill="1" applyBorder="1"/>
    <xf numFmtId="0" fontId="0" fillId="0" borderId="0" xfId="0" applyAlignment="1">
      <alignment horizontal="center"/>
    </xf>
    <xf numFmtId="0" fontId="2" fillId="4" borderId="1" xfId="3"/>
    <xf numFmtId="170" fontId="0" fillId="4" borderId="1" xfId="4" applyNumberFormat="1" applyFont="1"/>
    <xf numFmtId="171" fontId="9" fillId="4" borderId="4" xfId="7" applyNumberFormat="1" applyFont="1" applyFill="1" applyBorder="1" applyAlignment="1">
      <alignment horizontal="center"/>
    </xf>
    <xf numFmtId="171" fontId="9" fillId="4" borderId="7" xfId="7" applyNumberFormat="1" applyFont="1" applyFill="1" applyBorder="1" applyAlignment="1">
      <alignment horizontal="center"/>
    </xf>
    <xf numFmtId="171" fontId="9" fillId="4" borderId="10" xfId="7" applyNumberFormat="1" applyFont="1" applyFill="1" applyBorder="1" applyAlignment="1">
      <alignment horizontal="center"/>
    </xf>
    <xf numFmtId="0" fontId="8" fillId="6" borderId="4" xfId="6" applyFill="1" applyBorder="1"/>
    <xf numFmtId="171" fontId="7" fillId="4" borderId="4" xfId="7" applyNumberFormat="1" applyFont="1" applyFill="1" applyBorder="1" applyAlignment="1">
      <alignment horizontal="center"/>
    </xf>
    <xf numFmtId="44" fontId="4" fillId="5" borderId="1" xfId="1" applyFont="1" applyFill="1" applyBorder="1"/>
    <xf numFmtId="44" fontId="4" fillId="5" borderId="3" xfId="1" applyFont="1" applyFill="1" applyBorder="1"/>
    <xf numFmtId="44" fontId="0" fillId="0" borderId="0" xfId="1" applyFont="1"/>
    <xf numFmtId="9" fontId="0" fillId="3" borderId="1" xfId="2" applyFont="1" applyFill="1" applyBorder="1" applyAlignment="1">
      <alignment horizontal="center"/>
    </xf>
    <xf numFmtId="9" fontId="0" fillId="5" borderId="1" xfId="2" applyFont="1" applyFill="1" applyBorder="1" applyAlignment="1">
      <alignment horizontal="center"/>
    </xf>
    <xf numFmtId="40" fontId="4" fillId="5" borderId="1" xfId="0" applyNumberFormat="1" applyFont="1" applyFill="1" applyBorder="1" applyAlignment="1">
      <alignment horizontal="center"/>
    </xf>
    <xf numFmtId="40" fontId="4" fillId="5" borderId="3" xfId="0" applyNumberFormat="1" applyFont="1" applyFill="1" applyBorder="1" applyAlignment="1">
      <alignment horizontal="center"/>
    </xf>
    <xf numFmtId="0" fontId="8" fillId="4" borderId="4" xfId="6" applyBorder="1"/>
    <xf numFmtId="0" fontId="9" fillId="4" borderId="4" xfId="8" applyFont="1" applyBorder="1" applyAlignment="1">
      <alignment horizontal="left"/>
    </xf>
    <xf numFmtId="0" fontId="8" fillId="4" borderId="10" xfId="6" applyBorder="1"/>
    <xf numFmtId="0" fontId="8" fillId="4" borderId="7" xfId="6" applyBorder="1"/>
    <xf numFmtId="0" fontId="0" fillId="3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164" fontId="4" fillId="5" borderId="3" xfId="0" applyNumberFormat="1" applyFont="1" applyFill="1" applyBorder="1" applyAlignment="1">
      <alignment horizontal="center"/>
    </xf>
    <xf numFmtId="9" fontId="4" fillId="12" borderId="2" xfId="2" applyFont="1" applyFill="1" applyBorder="1" applyAlignment="1">
      <alignment horizontal="center"/>
    </xf>
    <xf numFmtId="44" fontId="4" fillId="12" borderId="2" xfId="1" applyFont="1" applyFill="1" applyBorder="1"/>
    <xf numFmtId="44" fontId="4" fillId="12" borderId="2" xfId="1" applyFont="1" applyFill="1" applyBorder="1" applyAlignment="1">
      <alignment horizontal="center"/>
    </xf>
    <xf numFmtId="168" fontId="4" fillId="12" borderId="3" xfId="0" applyNumberFormat="1" applyFont="1" applyFill="1" applyBorder="1"/>
    <xf numFmtId="40" fontId="4" fillId="12" borderId="3" xfId="0" applyNumberFormat="1" applyFont="1" applyFill="1" applyBorder="1"/>
    <xf numFmtId="167" fontId="6" fillId="12" borderId="0" xfId="0" applyNumberFormat="1" applyFont="1" applyFill="1"/>
    <xf numFmtId="40" fontId="6" fillId="12" borderId="0" xfId="0" applyNumberFormat="1" applyFont="1" applyFill="1"/>
    <xf numFmtId="0" fontId="0" fillId="12" borderId="0" xfId="0" applyFill="1"/>
    <xf numFmtId="172" fontId="0" fillId="12" borderId="0" xfId="0" applyNumberFormat="1" applyFill="1"/>
    <xf numFmtId="6" fontId="0" fillId="12" borderId="0" xfId="0" applyNumberFormat="1" applyFill="1"/>
    <xf numFmtId="169" fontId="4" fillId="12" borderId="3" xfId="0" applyNumberFormat="1" applyFont="1" applyFill="1" applyBorder="1"/>
    <xf numFmtId="0" fontId="0" fillId="0" borderId="0" xfId="0" applyAlignment="1">
      <alignment horizontal="left"/>
    </xf>
    <xf numFmtId="170" fontId="0" fillId="21" borderId="1" xfId="4" applyNumberFormat="1" applyFont="1" applyFill="1"/>
    <xf numFmtId="0" fontId="6" fillId="0" borderId="0" xfId="0" applyFont="1"/>
    <xf numFmtId="9" fontId="0" fillId="0" borderId="0" xfId="2" applyFont="1"/>
    <xf numFmtId="0" fontId="6" fillId="0" borderId="0" xfId="0" applyFont="1" applyAlignment="1">
      <alignment horizontal="left"/>
    </xf>
    <xf numFmtId="0" fontId="3" fillId="2" borderId="1" xfId="9" applyFont="1" applyFill="1" applyAlignment="1">
      <alignment horizontal="center"/>
    </xf>
    <xf numFmtId="14" fontId="3" fillId="2" borderId="1" xfId="9" applyNumberFormat="1" applyFont="1" applyFill="1" applyAlignment="1">
      <alignment horizontal="center"/>
    </xf>
    <xf numFmtId="164" fontId="3" fillId="2" borderId="1" xfId="9" applyNumberFormat="1" applyFont="1" applyFill="1" applyAlignment="1">
      <alignment horizontal="center"/>
    </xf>
    <xf numFmtId="165" fontId="3" fillId="2" borderId="1" xfId="9" applyNumberFormat="1" applyFont="1" applyFill="1" applyAlignment="1">
      <alignment horizontal="center"/>
    </xf>
    <xf numFmtId="166" fontId="3" fillId="2" borderId="1" xfId="9" applyNumberFormat="1" applyFont="1" applyFill="1" applyAlignment="1">
      <alignment horizontal="center"/>
    </xf>
    <xf numFmtId="167" fontId="3" fillId="2" borderId="1" xfId="9" applyNumberFormat="1" applyFont="1" applyFill="1" applyAlignment="1">
      <alignment horizontal="center"/>
    </xf>
    <xf numFmtId="40" fontId="3" fillId="2" borderId="1" xfId="9" applyNumberFormat="1" applyFont="1" applyFill="1" applyAlignment="1">
      <alignment horizontal="center"/>
    </xf>
    <xf numFmtId="168" fontId="3" fillId="2" borderId="1" xfId="9" applyNumberFormat="1" applyFont="1" applyFill="1" applyAlignment="1">
      <alignment horizontal="center"/>
    </xf>
    <xf numFmtId="0" fontId="3" fillId="2" borderId="1" xfId="9" applyFont="1" applyFill="1" applyAlignment="1">
      <alignment horizontal="right"/>
    </xf>
    <xf numFmtId="0" fontId="5" fillId="4" borderId="1" xfId="9"/>
    <xf numFmtId="0" fontId="0" fillId="3" borderId="1" xfId="9" applyFont="1" applyFill="1" applyAlignment="1">
      <alignment horizontal="center"/>
    </xf>
    <xf numFmtId="0" fontId="0" fillId="3" borderId="1" xfId="9" applyFont="1" applyFill="1"/>
    <xf numFmtId="14" fontId="0" fillId="3" borderId="1" xfId="9" applyNumberFormat="1" applyFont="1" applyFill="1"/>
    <xf numFmtId="164" fontId="0" fillId="3" borderId="1" xfId="9" applyNumberFormat="1" applyFont="1" applyFill="1"/>
    <xf numFmtId="165" fontId="0" fillId="3" borderId="1" xfId="9" applyNumberFormat="1" applyFont="1" applyFill="1"/>
    <xf numFmtId="9" fontId="0" fillId="3" borderId="1" xfId="11" applyFont="1" applyFill="1" applyBorder="1" applyAlignment="1">
      <alignment horizontal="center"/>
    </xf>
    <xf numFmtId="166" fontId="0" fillId="3" borderId="1" xfId="9" applyNumberFormat="1" applyFont="1" applyFill="1"/>
    <xf numFmtId="167" fontId="0" fillId="3" borderId="1" xfId="9" applyNumberFormat="1" applyFont="1" applyFill="1"/>
    <xf numFmtId="40" fontId="0" fillId="3" borderId="1" xfId="9" applyNumberFormat="1" applyFont="1" applyFill="1"/>
    <xf numFmtId="168" fontId="0" fillId="3" borderId="1" xfId="9" applyNumberFormat="1" applyFont="1" applyFill="1"/>
    <xf numFmtId="0" fontId="0" fillId="3" borderId="1" xfId="9" applyFont="1" applyFill="1" applyAlignment="1">
      <alignment horizontal="right"/>
    </xf>
    <xf numFmtId="0" fontId="0" fillId="5" borderId="1" xfId="9" applyFont="1" applyFill="1" applyAlignment="1">
      <alignment horizontal="center"/>
    </xf>
    <xf numFmtId="0" fontId="0" fillId="5" borderId="1" xfId="9" applyFont="1" applyFill="1"/>
    <xf numFmtId="14" fontId="0" fillId="5" borderId="1" xfId="9" applyNumberFormat="1" applyFont="1" applyFill="1"/>
    <xf numFmtId="164" fontId="0" fillId="5" borderId="1" xfId="9" applyNumberFormat="1" applyFont="1" applyFill="1"/>
    <xf numFmtId="165" fontId="0" fillId="5" borderId="1" xfId="9" applyNumberFormat="1" applyFont="1" applyFill="1"/>
    <xf numFmtId="9" fontId="0" fillId="5" borderId="1" xfId="11" applyFont="1" applyFill="1" applyBorder="1" applyAlignment="1">
      <alignment horizontal="center"/>
    </xf>
    <xf numFmtId="166" fontId="0" fillId="5" borderId="1" xfId="9" applyNumberFormat="1" applyFont="1" applyFill="1"/>
    <xf numFmtId="167" fontId="0" fillId="5" borderId="1" xfId="9" applyNumberFormat="1" applyFont="1" applyFill="1"/>
    <xf numFmtId="40" fontId="0" fillId="5" borderId="1" xfId="9" applyNumberFormat="1" applyFont="1" applyFill="1"/>
    <xf numFmtId="168" fontId="0" fillId="5" borderId="1" xfId="9" applyNumberFormat="1" applyFont="1" applyFill="1"/>
    <xf numFmtId="0" fontId="0" fillId="5" borderId="1" xfId="9" applyFont="1" applyFill="1" applyAlignment="1">
      <alignment horizontal="right"/>
    </xf>
    <xf numFmtId="0" fontId="4" fillId="5" borderId="2" xfId="9" applyFont="1" applyFill="1" applyBorder="1" applyAlignment="1">
      <alignment horizontal="center"/>
    </xf>
    <xf numFmtId="0" fontId="4" fillId="5" borderId="2" xfId="9" applyFont="1" applyFill="1" applyBorder="1"/>
    <xf numFmtId="14" fontId="4" fillId="5" borderId="2" xfId="9" applyNumberFormat="1" applyFont="1" applyFill="1" applyBorder="1"/>
    <xf numFmtId="164" fontId="4" fillId="5" borderId="2" xfId="9" applyNumberFormat="1" applyFont="1" applyFill="1" applyBorder="1"/>
    <xf numFmtId="165" fontId="4" fillId="5" borderId="2" xfId="9" applyNumberFormat="1" applyFont="1" applyFill="1" applyBorder="1"/>
    <xf numFmtId="9" fontId="4" fillId="12" borderId="2" xfId="11" applyFont="1" applyFill="1" applyBorder="1" applyAlignment="1">
      <alignment horizontal="center"/>
    </xf>
    <xf numFmtId="166" fontId="4" fillId="5" borderId="2" xfId="9" applyNumberFormat="1" applyFont="1" applyFill="1" applyBorder="1"/>
    <xf numFmtId="167" fontId="4" fillId="5" borderId="2" xfId="9" applyNumberFormat="1" applyFont="1" applyFill="1" applyBorder="1"/>
    <xf numFmtId="40" fontId="4" fillId="5" borderId="2" xfId="9" applyNumberFormat="1" applyFont="1" applyFill="1" applyBorder="1"/>
    <xf numFmtId="168" fontId="4" fillId="5" borderId="2" xfId="9" applyNumberFormat="1" applyFont="1" applyFill="1" applyBorder="1"/>
    <xf numFmtId="44" fontId="4" fillId="12" borderId="2" xfId="10" applyFont="1" applyFill="1" applyBorder="1"/>
    <xf numFmtId="44" fontId="4" fillId="12" borderId="2" xfId="10" applyFont="1" applyFill="1" applyBorder="1" applyAlignment="1">
      <alignment horizontal="center"/>
    </xf>
    <xf numFmtId="0" fontId="4" fillId="5" borderId="2" xfId="9" applyFont="1" applyFill="1" applyBorder="1" applyAlignment="1">
      <alignment horizontal="right"/>
    </xf>
    <xf numFmtId="0" fontId="4" fillId="5" borderId="1" xfId="9" applyFont="1" applyFill="1" applyAlignment="1">
      <alignment horizontal="center"/>
    </xf>
    <xf numFmtId="0" fontId="4" fillId="5" borderId="1" xfId="9" applyFont="1" applyFill="1"/>
    <xf numFmtId="14" fontId="4" fillId="5" borderId="1" xfId="9" applyNumberFormat="1" applyFont="1" applyFill="1"/>
    <xf numFmtId="164" fontId="4" fillId="5" borderId="1" xfId="9" applyNumberFormat="1" applyFont="1" applyFill="1"/>
    <xf numFmtId="165" fontId="4" fillId="5" borderId="1" xfId="9" applyNumberFormat="1" applyFont="1" applyFill="1"/>
    <xf numFmtId="164" fontId="4" fillId="5" borderId="1" xfId="9" applyNumberFormat="1" applyFont="1" applyFill="1" applyAlignment="1">
      <alignment horizontal="center"/>
    </xf>
    <xf numFmtId="166" fontId="4" fillId="5" borderId="1" xfId="9" applyNumberFormat="1" applyFont="1" applyFill="1"/>
    <xf numFmtId="167" fontId="4" fillId="5" borderId="1" xfId="9" applyNumberFormat="1" applyFont="1" applyFill="1"/>
    <xf numFmtId="40" fontId="4" fillId="5" borderId="1" xfId="9" applyNumberFormat="1" applyFont="1" applyFill="1"/>
    <xf numFmtId="168" fontId="4" fillId="5" borderId="1" xfId="9" applyNumberFormat="1" applyFont="1" applyFill="1"/>
    <xf numFmtId="44" fontId="4" fillId="5" borderId="1" xfId="10" applyFont="1" applyFill="1" applyBorder="1"/>
    <xf numFmtId="40" fontId="4" fillId="5" borderId="1" xfId="9" applyNumberFormat="1" applyFont="1" applyFill="1" applyAlignment="1">
      <alignment horizontal="center"/>
    </xf>
    <xf numFmtId="0" fontId="4" fillId="5" borderId="1" xfId="9" applyFont="1" applyFill="1" applyAlignment="1">
      <alignment horizontal="right"/>
    </xf>
    <xf numFmtId="0" fontId="4" fillId="5" borderId="3" xfId="9" applyFont="1" applyFill="1" applyBorder="1" applyAlignment="1">
      <alignment horizontal="center"/>
    </xf>
    <xf numFmtId="0" fontId="4" fillId="5" borderId="3" xfId="9" applyFont="1" applyFill="1" applyBorder="1"/>
    <xf numFmtId="14" fontId="4" fillId="5" borderId="3" xfId="9" applyNumberFormat="1" applyFont="1" applyFill="1" applyBorder="1"/>
    <xf numFmtId="164" fontId="4" fillId="5" borderId="3" xfId="9" applyNumberFormat="1" applyFont="1" applyFill="1" applyBorder="1"/>
    <xf numFmtId="165" fontId="4" fillId="5" borderId="3" xfId="9" applyNumberFormat="1" applyFont="1" applyFill="1" applyBorder="1"/>
    <xf numFmtId="164" fontId="4" fillId="5" borderId="3" xfId="9" applyNumberFormat="1" applyFont="1" applyFill="1" applyBorder="1" applyAlignment="1">
      <alignment horizontal="center"/>
    </xf>
    <xf numFmtId="169" fontId="4" fillId="5" borderId="3" xfId="9" applyNumberFormat="1" applyFont="1" applyFill="1" applyBorder="1"/>
    <xf numFmtId="167" fontId="4" fillId="5" borderId="3" xfId="9" applyNumberFormat="1" applyFont="1" applyFill="1" applyBorder="1"/>
    <xf numFmtId="40" fontId="4" fillId="5" borderId="3" xfId="9" applyNumberFormat="1" applyFont="1" applyFill="1" applyBorder="1"/>
    <xf numFmtId="168" fontId="4" fillId="5" borderId="3" xfId="9" applyNumberFormat="1" applyFont="1" applyFill="1" applyBorder="1"/>
    <xf numFmtId="44" fontId="4" fillId="5" borderId="3" xfId="10" applyFont="1" applyFill="1" applyBorder="1"/>
    <xf numFmtId="40" fontId="4" fillId="5" borderId="3" xfId="9" applyNumberFormat="1" applyFont="1" applyFill="1" applyBorder="1" applyAlignment="1">
      <alignment horizontal="center"/>
    </xf>
    <xf numFmtId="0" fontId="4" fillId="5" borderId="3" xfId="9" applyFont="1" applyFill="1" applyBorder="1" applyAlignment="1">
      <alignment horizontal="right"/>
    </xf>
    <xf numFmtId="0" fontId="5" fillId="4" borderId="1" xfId="9" applyAlignment="1">
      <alignment horizontal="center"/>
    </xf>
    <xf numFmtId="44" fontId="0" fillId="4" borderId="1" xfId="10" applyFont="1"/>
    <xf numFmtId="0" fontId="14" fillId="0" borderId="0" xfId="0" applyFont="1" applyAlignment="1">
      <alignment horizontal="center"/>
    </xf>
    <xf numFmtId="0" fontId="14" fillId="0" borderId="0" xfId="0" applyFont="1"/>
    <xf numFmtId="9" fontId="14" fillId="0" borderId="0" xfId="2" applyFont="1"/>
    <xf numFmtId="44" fontId="14" fillId="0" borderId="0" xfId="1" applyFont="1"/>
    <xf numFmtId="0" fontId="1" fillId="0" borderId="0" xfId="0" applyFont="1" applyAlignment="1">
      <alignment horizontal="left"/>
    </xf>
    <xf numFmtId="0" fontId="14" fillId="3" borderId="1" xfId="0" applyFont="1" applyFill="1" applyBorder="1" applyAlignment="1">
      <alignment horizontal="center"/>
    </xf>
    <xf numFmtId="0" fontId="14" fillId="3" borderId="1" xfId="0" applyFont="1" applyFill="1" applyBorder="1"/>
    <xf numFmtId="14" fontId="14" fillId="3" borderId="1" xfId="0" applyNumberFormat="1" applyFont="1" applyFill="1" applyBorder="1"/>
    <xf numFmtId="164" fontId="14" fillId="3" borderId="1" xfId="0" applyNumberFormat="1" applyFont="1" applyFill="1" applyBorder="1"/>
    <xf numFmtId="165" fontId="14" fillId="3" borderId="1" xfId="0" applyNumberFormat="1" applyFont="1" applyFill="1" applyBorder="1"/>
    <xf numFmtId="9" fontId="14" fillId="3" borderId="1" xfId="2" applyFont="1" applyFill="1" applyBorder="1" applyAlignment="1">
      <alignment horizontal="center"/>
    </xf>
    <xf numFmtId="166" fontId="14" fillId="3" borderId="1" xfId="0" applyNumberFormat="1" applyFont="1" applyFill="1" applyBorder="1"/>
    <xf numFmtId="167" fontId="14" fillId="3" borderId="1" xfId="0" applyNumberFormat="1" applyFont="1" applyFill="1" applyBorder="1"/>
    <xf numFmtId="40" fontId="14" fillId="3" borderId="1" xfId="0" applyNumberFormat="1" applyFont="1" applyFill="1" applyBorder="1"/>
    <xf numFmtId="168" fontId="14" fillId="3" borderId="1" xfId="0" applyNumberFormat="1" applyFont="1" applyFill="1" applyBorder="1"/>
    <xf numFmtId="0" fontId="14" fillId="3" borderId="1" xfId="0" applyFont="1" applyFill="1" applyBorder="1" applyAlignment="1">
      <alignment horizontal="right"/>
    </xf>
    <xf numFmtId="171" fontId="9" fillId="6" borderId="4" xfId="7" applyNumberFormat="1" applyFont="1" applyFill="1" applyBorder="1" applyAlignment="1">
      <alignment horizontal="center"/>
    </xf>
    <xf numFmtId="0" fontId="0" fillId="12" borderId="0" xfId="0" applyFill="1" applyAlignment="1">
      <alignment horizontal="left"/>
    </xf>
    <xf numFmtId="0" fontId="17" fillId="24" borderId="3" xfId="0" applyFont="1" applyFill="1" applyBorder="1"/>
    <xf numFmtId="0" fontId="18" fillId="0" borderId="3" xfId="0" applyFont="1" applyBorder="1"/>
    <xf numFmtId="172" fontId="0" fillId="0" borderId="0" xfId="0" applyNumberFormat="1"/>
    <xf numFmtId="6" fontId="0" fillId="0" borderId="0" xfId="0" applyNumberFormat="1"/>
    <xf numFmtId="9" fontId="0" fillId="0" borderId="3" xfId="0" applyNumberFormat="1" applyBorder="1"/>
    <xf numFmtId="6" fontId="6" fillId="12" borderId="0" xfId="0" applyNumberFormat="1" applyFont="1" applyFill="1"/>
    <xf numFmtId="0" fontId="0" fillId="12" borderId="17" xfId="0" applyFill="1" applyBorder="1" applyAlignment="1">
      <alignment horizontal="left"/>
    </xf>
    <xf numFmtId="0" fontId="0" fillId="0" borderId="18" xfId="0" applyBorder="1"/>
    <xf numFmtId="0" fontId="0" fillId="0" borderId="19" xfId="0" applyBorder="1"/>
    <xf numFmtId="0" fontId="4" fillId="5" borderId="20" xfId="0" applyFont="1" applyFill="1" applyBorder="1" applyAlignment="1">
      <alignment horizontal="center"/>
    </xf>
    <xf numFmtId="0" fontId="19" fillId="5" borderId="1" xfId="0" applyFont="1" applyFill="1" applyBorder="1"/>
    <xf numFmtId="14" fontId="4" fillId="5" borderId="21" xfId="0" applyNumberFormat="1" applyFont="1" applyFill="1" applyBorder="1"/>
    <xf numFmtId="0" fontId="17" fillId="24" borderId="22" xfId="0" applyFont="1" applyFill="1" applyBorder="1"/>
    <xf numFmtId="0" fontId="17" fillId="24" borderId="23" xfId="0" applyFont="1" applyFill="1" applyBorder="1"/>
    <xf numFmtId="0" fontId="20" fillId="24" borderId="23" xfId="0" applyFont="1" applyFill="1" applyBorder="1"/>
    <xf numFmtId="0" fontId="0" fillId="0" borderId="1" xfId="0" applyBorder="1"/>
    <xf numFmtId="172" fontId="0" fillId="0" borderId="1" xfId="0" applyNumberFormat="1" applyBorder="1"/>
    <xf numFmtId="6" fontId="0" fillId="0" borderId="1" xfId="0" applyNumberFormat="1" applyBorder="1"/>
    <xf numFmtId="0" fontId="0" fillId="0" borderId="1" xfId="0" applyBorder="1" applyAlignment="1">
      <alignment horizontal="center"/>
    </xf>
    <xf numFmtId="44" fontId="0" fillId="4" borderId="1" xfId="10" applyFont="1" applyBorder="1"/>
    <xf numFmtId="9" fontId="0" fillId="0" borderId="1" xfId="0" applyNumberFormat="1" applyBorder="1"/>
    <xf numFmtId="0" fontId="21" fillId="0" borderId="0" xfId="0" applyFont="1"/>
    <xf numFmtId="6" fontId="22" fillId="4" borderId="0" xfId="0" applyNumberFormat="1" applyFont="1" applyFill="1"/>
    <xf numFmtId="0" fontId="6" fillId="12" borderId="0" xfId="0" applyFont="1" applyFill="1"/>
    <xf numFmtId="0" fontId="20" fillId="24" borderId="3" xfId="0" applyFont="1" applyFill="1" applyBorder="1"/>
    <xf numFmtId="0" fontId="6" fillId="12" borderId="17" xfId="0" applyFont="1" applyFill="1" applyBorder="1"/>
    <xf numFmtId="0" fontId="0" fillId="0" borderId="20" xfId="0" applyBorder="1" applyAlignment="1">
      <alignment horizontal="center"/>
    </xf>
    <xf numFmtId="172" fontId="0" fillId="0" borderId="21" xfId="0" applyNumberFormat="1" applyBorder="1"/>
    <xf numFmtId="6" fontId="6" fillId="4" borderId="0" xfId="0" applyNumberFormat="1" applyFont="1" applyFill="1"/>
    <xf numFmtId="171" fontId="11" fillId="25" borderId="4" xfId="7" applyNumberFormat="1" applyFont="1" applyFill="1" applyBorder="1" applyAlignment="1">
      <alignment horizontal="center" wrapText="1"/>
    </xf>
    <xf numFmtId="171" fontId="0" fillId="4" borderId="4" xfId="10" applyNumberFormat="1" applyFont="1" applyBorder="1"/>
    <xf numFmtId="6" fontId="0" fillId="0" borderId="4" xfId="0" applyNumberFormat="1" applyBorder="1"/>
    <xf numFmtId="170" fontId="0" fillId="4" borderId="4" xfId="11" applyNumberFormat="1" applyFont="1" applyBorder="1" applyAlignment="1">
      <alignment horizontal="center"/>
    </xf>
    <xf numFmtId="170" fontId="0" fillId="4" borderId="4" xfId="11" applyNumberFormat="1" applyFont="1" applyBorder="1"/>
    <xf numFmtId="6" fontId="0" fillId="25" borderId="4" xfId="0" applyNumberFormat="1" applyFill="1" applyBorder="1"/>
    <xf numFmtId="9" fontId="0" fillId="4" borderId="4" xfId="11" applyFont="1" applyBorder="1" applyAlignment="1">
      <alignment horizontal="center"/>
    </xf>
    <xf numFmtId="0" fontId="23" fillId="5" borderId="1" xfId="0" applyFont="1" applyFill="1" applyBorder="1"/>
    <xf numFmtId="0" fontId="0" fillId="0" borderId="3" xfId="0" applyBorder="1"/>
    <xf numFmtId="171" fontId="6" fillId="12" borderId="1" xfId="10" applyNumberFormat="1" applyFont="1" applyFill="1" applyBorder="1"/>
    <xf numFmtId="0" fontId="24" fillId="5" borderId="1" xfId="0" applyFont="1" applyFill="1" applyBorder="1"/>
    <xf numFmtId="0" fontId="18" fillId="0" borderId="19" xfId="0" applyFont="1" applyBorder="1"/>
    <xf numFmtId="0" fontId="0" fillId="0" borderId="23" xfId="0" applyBorder="1"/>
    <xf numFmtId="0" fontId="18" fillId="0" borderId="24" xfId="0" applyFont="1" applyBorder="1"/>
    <xf numFmtId="171" fontId="11" fillId="6" borderId="14" xfId="7" applyNumberFormat="1" applyFont="1" applyFill="1" applyBorder="1" applyAlignment="1">
      <alignment horizontal="center"/>
    </xf>
    <xf numFmtId="171" fontId="9" fillId="4" borderId="29" xfId="7" applyNumberFormat="1" applyFont="1" applyFill="1" applyBorder="1" applyAlignment="1">
      <alignment horizontal="center"/>
    </xf>
    <xf numFmtId="171" fontId="9" fillId="4" borderId="30" xfId="7" applyNumberFormat="1" applyFont="1" applyFill="1" applyBorder="1" applyAlignment="1">
      <alignment horizontal="center"/>
    </xf>
    <xf numFmtId="171" fontId="9" fillId="4" borderId="14" xfId="7" applyNumberFormat="1" applyFont="1" applyFill="1" applyBorder="1" applyAlignment="1">
      <alignment horizontal="center"/>
    </xf>
    <xf numFmtId="171" fontId="11" fillId="4" borderId="14" xfId="7" applyNumberFormat="1" applyFont="1" applyFill="1" applyBorder="1" applyAlignment="1">
      <alignment horizontal="center"/>
    </xf>
    <xf numFmtId="171" fontId="7" fillId="4" borderId="12" xfId="7" quotePrefix="1" applyNumberFormat="1" applyFont="1" applyFill="1" applyBorder="1" applyAlignment="1">
      <alignment horizontal="center" wrapText="1"/>
    </xf>
    <xf numFmtId="171" fontId="7" fillId="4" borderId="10" xfId="7" applyNumberFormat="1" applyFont="1" applyFill="1" applyBorder="1" applyAlignment="1">
      <alignment horizontal="center"/>
    </xf>
    <xf numFmtId="171" fontId="7" fillId="4" borderId="28" xfId="7" applyNumberFormat="1" applyFont="1" applyFill="1" applyBorder="1" applyAlignment="1">
      <alignment horizontal="center"/>
    </xf>
    <xf numFmtId="171" fontId="8" fillId="4" borderId="29" xfId="7" applyNumberFormat="1" applyFont="1" applyFill="1" applyBorder="1" applyAlignment="1">
      <alignment horizontal="center"/>
    </xf>
    <xf numFmtId="171" fontId="11" fillId="9" borderId="12" xfId="7" applyNumberFormat="1" applyFont="1" applyFill="1" applyBorder="1" applyAlignment="1">
      <alignment horizontal="center" wrapText="1"/>
    </xf>
    <xf numFmtId="171" fontId="11" fillId="9" borderId="10" xfId="7" applyNumberFormat="1" applyFont="1" applyFill="1" applyBorder="1" applyAlignment="1">
      <alignment horizontal="center" wrapText="1"/>
    </xf>
    <xf numFmtId="171" fontId="11" fillId="9" borderId="28" xfId="7" applyNumberFormat="1" applyFont="1" applyFill="1" applyBorder="1" applyAlignment="1">
      <alignment horizontal="center" wrapText="1"/>
    </xf>
    <xf numFmtId="0" fontId="6" fillId="4" borderId="1" xfId="3" applyFont="1" applyAlignment="1">
      <alignment horizontal="center"/>
    </xf>
    <xf numFmtId="0" fontId="8" fillId="4" borderId="1" xfId="6"/>
    <xf numFmtId="0" fontId="13" fillId="4" borderId="1" xfId="5" applyNumberFormat="1" applyFont="1" applyFill="1" applyBorder="1" applyAlignment="1">
      <alignment horizontal="center"/>
    </xf>
    <xf numFmtId="0" fontId="2" fillId="4" borderId="1" xfId="3" applyAlignment="1">
      <alignment horizontal="center"/>
    </xf>
    <xf numFmtId="171" fontId="9" fillId="4" borderId="1" xfId="7" applyNumberFormat="1" applyFont="1" applyFill="1" applyBorder="1" applyAlignment="1">
      <alignment horizontal="center"/>
    </xf>
    <xf numFmtId="9" fontId="10" fillId="6" borderId="1" xfId="2" applyFont="1" applyFill="1" applyBorder="1" applyAlignment="1">
      <alignment horizontal="center"/>
    </xf>
    <xf numFmtId="44" fontId="6" fillId="4" borderId="1" xfId="1" applyFont="1" applyFill="1" applyBorder="1"/>
    <xf numFmtId="0" fontId="2" fillId="6" borderId="1" xfId="3" applyFill="1" applyAlignment="1">
      <alignment wrapText="1"/>
    </xf>
    <xf numFmtId="0" fontId="16" fillId="4" borderId="1" xfId="3" applyFont="1" applyAlignment="1">
      <alignment horizontal="center"/>
    </xf>
    <xf numFmtId="0" fontId="7" fillId="4" borderId="14" xfId="6" quotePrefix="1" applyFont="1" applyBorder="1" applyAlignment="1">
      <alignment horizontal="center"/>
    </xf>
    <xf numFmtId="0" fontId="7" fillId="4" borderId="14" xfId="6" applyFont="1" applyBorder="1" applyAlignment="1">
      <alignment horizontal="center"/>
    </xf>
    <xf numFmtId="0" fontId="7" fillId="4" borderId="9" xfId="6" applyFont="1" applyBorder="1" applyAlignment="1">
      <alignment horizontal="center"/>
    </xf>
    <xf numFmtId="164" fontId="6" fillId="0" borderId="0" xfId="0" applyNumberFormat="1" applyFont="1" applyAlignment="1">
      <alignment horizontal="right"/>
    </xf>
    <xf numFmtId="0" fontId="0" fillId="0" borderId="3" xfId="0" applyBorder="1" applyAlignment="1">
      <alignment horizontal="right"/>
    </xf>
    <xf numFmtId="171" fontId="0" fillId="0" borderId="0" xfId="1" applyNumberFormat="1" applyFont="1"/>
    <xf numFmtId="164" fontId="0" fillId="0" borderId="0" xfId="0" applyNumberFormat="1"/>
    <xf numFmtId="0" fontId="0" fillId="4" borderId="1" xfId="3" applyFont="1"/>
    <xf numFmtId="171" fontId="10" fillId="4" borderId="1" xfId="7" applyNumberFormat="1" applyFont="1" applyFill="1" applyBorder="1" applyAlignment="1">
      <alignment horizontal="center"/>
    </xf>
    <xf numFmtId="0" fontId="6" fillId="4" borderId="31" xfId="3" applyFont="1" applyBorder="1" applyAlignment="1">
      <alignment horizontal="left"/>
    </xf>
    <xf numFmtId="0" fontId="8" fillId="4" borderId="32" xfId="6" applyBorder="1"/>
    <xf numFmtId="0" fontId="13" fillId="4" borderId="32" xfId="5" applyNumberFormat="1" applyFont="1" applyFill="1" applyBorder="1" applyAlignment="1">
      <alignment horizontal="center"/>
    </xf>
    <xf numFmtId="0" fontId="2" fillId="4" borderId="32" xfId="3" applyBorder="1" applyAlignment="1">
      <alignment horizontal="center"/>
    </xf>
    <xf numFmtId="171" fontId="9" fillId="4" borderId="32" xfId="7" applyNumberFormat="1" applyFont="1" applyFill="1" applyBorder="1" applyAlignment="1">
      <alignment horizontal="center"/>
    </xf>
    <xf numFmtId="171" fontId="10" fillId="4" borderId="32" xfId="7" applyNumberFormat="1" applyFont="1" applyFill="1" applyBorder="1" applyAlignment="1">
      <alignment horizontal="center"/>
    </xf>
    <xf numFmtId="9" fontId="10" fillId="6" borderId="32" xfId="2" applyFont="1" applyFill="1" applyBorder="1" applyAlignment="1">
      <alignment horizontal="center"/>
    </xf>
    <xf numFmtId="44" fontId="6" fillId="4" borderId="32" xfId="1" applyFont="1" applyFill="1" applyBorder="1"/>
    <xf numFmtId="0" fontId="2" fillId="6" borderId="32" xfId="3" applyFill="1" applyBorder="1" applyAlignment="1">
      <alignment wrapText="1"/>
    </xf>
    <xf numFmtId="0" fontId="7" fillId="4" borderId="12" xfId="6" applyFont="1" applyBorder="1" applyAlignment="1">
      <alignment horizontal="center" wrapText="1"/>
    </xf>
    <xf numFmtId="0" fontId="7" fillId="4" borderId="10" xfId="6" applyFont="1" applyBorder="1"/>
    <xf numFmtId="0" fontId="12" fillId="4" borderId="15" xfId="6" applyFont="1" applyBorder="1" applyAlignment="1">
      <alignment wrapText="1"/>
    </xf>
    <xf numFmtId="0" fontId="6" fillId="4" borderId="10" xfId="3" applyFont="1" applyBorder="1" applyAlignment="1">
      <alignment horizontal="center"/>
    </xf>
    <xf numFmtId="0" fontId="7" fillId="4" borderId="28" xfId="6" applyFont="1" applyBorder="1" applyAlignment="1">
      <alignment horizontal="center" wrapText="1"/>
    </xf>
    <xf numFmtId="171" fontId="10" fillId="7" borderId="14" xfId="7" applyNumberFormat="1" applyFont="1" applyFill="1" applyBorder="1" applyAlignment="1">
      <alignment horizontal="center"/>
    </xf>
    <xf numFmtId="170" fontId="10" fillId="7" borderId="29" xfId="2" applyNumberFormat="1" applyFont="1" applyFill="1" applyBorder="1" applyAlignment="1">
      <alignment horizontal="center"/>
    </xf>
    <xf numFmtId="0" fontId="6" fillId="4" borderId="5" xfId="0" applyFont="1" applyFill="1" applyBorder="1"/>
    <xf numFmtId="0" fontId="7" fillId="4" borderId="29" xfId="6" quotePrefix="1" applyFont="1" applyBorder="1" applyAlignment="1">
      <alignment horizontal="center"/>
    </xf>
    <xf numFmtId="9" fontId="25" fillId="0" borderId="5" xfId="0" applyNumberFormat="1" applyFont="1" applyBorder="1"/>
    <xf numFmtId="0" fontId="15" fillId="22" borderId="14" xfId="6" quotePrefix="1" applyFont="1" applyFill="1" applyBorder="1" applyAlignment="1">
      <alignment horizontal="center"/>
    </xf>
    <xf numFmtId="0" fontId="6" fillId="0" borderId="5" xfId="0" applyFont="1" applyBorder="1"/>
    <xf numFmtId="0" fontId="15" fillId="22" borderId="29" xfId="6" quotePrefix="1" applyFont="1" applyFill="1" applyBorder="1" applyAlignment="1">
      <alignment horizontal="center"/>
    </xf>
    <xf numFmtId="0" fontId="7" fillId="6" borderId="14" xfId="6" quotePrefix="1" applyFont="1" applyFill="1" applyBorder="1" applyAlignment="1">
      <alignment horizontal="center"/>
    </xf>
    <xf numFmtId="0" fontId="7" fillId="6" borderId="29" xfId="6" quotePrefix="1" applyFont="1" applyFill="1" applyBorder="1" applyAlignment="1">
      <alignment horizontal="center"/>
    </xf>
    <xf numFmtId="0" fontId="25" fillId="0" borderId="5" xfId="0" applyFont="1" applyBorder="1"/>
    <xf numFmtId="0" fontId="7" fillId="19" borderId="14" xfId="6" quotePrefix="1" applyFont="1" applyFill="1" applyBorder="1" applyAlignment="1">
      <alignment horizontal="center"/>
    </xf>
    <xf numFmtId="0" fontId="7" fillId="19" borderId="29" xfId="6" quotePrefix="1" applyFont="1" applyFill="1" applyBorder="1" applyAlignment="1">
      <alignment horizontal="center"/>
    </xf>
    <xf numFmtId="0" fontId="7" fillId="18" borderId="14" xfId="6" quotePrefix="1" applyFont="1" applyFill="1" applyBorder="1" applyAlignment="1">
      <alignment horizontal="center"/>
    </xf>
    <xf numFmtId="0" fontId="7" fillId="18" borderId="29" xfId="6" quotePrefix="1" applyFont="1" applyFill="1" applyBorder="1" applyAlignment="1">
      <alignment horizontal="center"/>
    </xf>
    <xf numFmtId="0" fontId="7" fillId="13" borderId="14" xfId="6" quotePrefix="1" applyFont="1" applyFill="1" applyBorder="1" applyAlignment="1">
      <alignment horizontal="center"/>
    </xf>
    <xf numFmtId="0" fontId="7" fillId="13" borderId="29" xfId="6" quotePrefix="1" applyFont="1" applyFill="1" applyBorder="1" applyAlignment="1">
      <alignment horizontal="center"/>
    </xf>
    <xf numFmtId="0" fontId="7" fillId="17" borderId="14" xfId="6" quotePrefix="1" applyFont="1" applyFill="1" applyBorder="1" applyAlignment="1">
      <alignment horizontal="center"/>
    </xf>
    <xf numFmtId="0" fontId="7" fillId="17" borderId="29" xfId="6" quotePrefix="1" applyFont="1" applyFill="1" applyBorder="1" applyAlignment="1">
      <alignment horizontal="center"/>
    </xf>
    <xf numFmtId="0" fontId="7" fillId="15" borderId="14" xfId="6" applyFont="1" applyFill="1" applyBorder="1" applyAlignment="1">
      <alignment horizontal="center"/>
    </xf>
    <xf numFmtId="0" fontId="7" fillId="15" borderId="29" xfId="6" applyFont="1" applyFill="1" applyBorder="1" applyAlignment="1">
      <alignment horizontal="center"/>
    </xf>
    <xf numFmtId="0" fontId="7" fillId="16" borderId="14" xfId="6" quotePrefix="1" applyFont="1" applyFill="1" applyBorder="1" applyAlignment="1">
      <alignment horizontal="center"/>
    </xf>
    <xf numFmtId="0" fontId="7" fillId="16" borderId="29" xfId="6" quotePrefix="1" applyFont="1" applyFill="1" applyBorder="1" applyAlignment="1">
      <alignment horizontal="center"/>
    </xf>
    <xf numFmtId="0" fontId="7" fillId="11" borderId="14" xfId="6" quotePrefix="1" applyFont="1" applyFill="1" applyBorder="1" applyAlignment="1">
      <alignment horizontal="center"/>
    </xf>
    <xf numFmtId="0" fontId="7" fillId="11" borderId="29" xfId="6" quotePrefix="1" applyFont="1" applyFill="1" applyBorder="1" applyAlignment="1">
      <alignment horizontal="center"/>
    </xf>
    <xf numFmtId="0" fontId="11" fillId="10" borderId="14" xfId="6" applyFont="1" applyFill="1" applyBorder="1" applyAlignment="1">
      <alignment horizontal="center"/>
    </xf>
    <xf numFmtId="0" fontId="11" fillId="10" borderId="29" xfId="6" applyFont="1" applyFill="1" applyBorder="1" applyAlignment="1">
      <alignment horizontal="center"/>
    </xf>
    <xf numFmtId="0" fontId="7" fillId="12" borderId="14" xfId="6" quotePrefix="1" applyFont="1" applyFill="1" applyBorder="1" applyAlignment="1">
      <alignment horizontal="center"/>
    </xf>
    <xf numFmtId="0" fontId="7" fillId="12" borderId="29" xfId="6" quotePrefix="1" applyFont="1" applyFill="1" applyBorder="1" applyAlignment="1">
      <alignment horizontal="center"/>
    </xf>
    <xf numFmtId="0" fontId="7" fillId="4" borderId="29" xfId="6" applyFont="1" applyBorder="1" applyAlignment="1">
      <alignment horizontal="center"/>
    </xf>
    <xf numFmtId="0" fontId="7" fillId="26" borderId="14" xfId="6" applyFont="1" applyFill="1" applyBorder="1" applyAlignment="1">
      <alignment horizontal="center"/>
    </xf>
    <xf numFmtId="0" fontId="11" fillId="4" borderId="5" xfId="7" applyNumberFormat="1" applyFont="1" applyFill="1" applyBorder="1" applyAlignment="1">
      <alignment vertical="center"/>
    </xf>
    <xf numFmtId="0" fontId="7" fillId="14" borderId="14" xfId="6" applyFont="1" applyFill="1" applyBorder="1" applyAlignment="1">
      <alignment horizontal="center"/>
    </xf>
    <xf numFmtId="0" fontId="7" fillId="14" borderId="29" xfId="6" applyFont="1" applyFill="1" applyBorder="1" applyAlignment="1">
      <alignment horizontal="center"/>
    </xf>
    <xf numFmtId="0" fontId="7" fillId="11" borderId="14" xfId="6" applyFont="1" applyFill="1" applyBorder="1" applyAlignment="1">
      <alignment horizontal="center"/>
    </xf>
    <xf numFmtId="0" fontId="7" fillId="11" borderId="29" xfId="6" applyFont="1" applyFill="1" applyBorder="1" applyAlignment="1">
      <alignment horizontal="center"/>
    </xf>
    <xf numFmtId="0" fontId="7" fillId="23" borderId="14" xfId="6" applyFont="1" applyFill="1" applyBorder="1" applyAlignment="1">
      <alignment horizontal="center"/>
    </xf>
    <xf numFmtId="0" fontId="7" fillId="23" borderId="29" xfId="6" applyFont="1" applyFill="1" applyBorder="1" applyAlignment="1">
      <alignment horizontal="center"/>
    </xf>
    <xf numFmtId="0" fontId="11" fillId="12" borderId="14" xfId="6" applyFont="1" applyFill="1" applyBorder="1" applyAlignment="1">
      <alignment horizontal="center"/>
    </xf>
    <xf numFmtId="0" fontId="11" fillId="12" borderId="29" xfId="6" applyFont="1" applyFill="1" applyBorder="1" applyAlignment="1">
      <alignment horizontal="center"/>
    </xf>
    <xf numFmtId="0" fontId="11" fillId="26" borderId="14" xfId="6" quotePrefix="1" applyFont="1" applyFill="1" applyBorder="1" applyAlignment="1">
      <alignment horizontal="center"/>
    </xf>
    <xf numFmtId="0" fontId="11" fillId="4" borderId="29" xfId="6" quotePrefix="1" applyFont="1" applyBorder="1" applyAlignment="1">
      <alignment horizontal="center"/>
    </xf>
    <xf numFmtId="0" fontId="11" fillId="4" borderId="14" xfId="6" applyFont="1" applyBorder="1" applyAlignment="1">
      <alignment horizontal="center"/>
    </xf>
    <xf numFmtId="0" fontId="11" fillId="4" borderId="29" xfId="6" applyFont="1" applyBorder="1" applyAlignment="1">
      <alignment horizontal="center"/>
    </xf>
    <xf numFmtId="0" fontId="11" fillId="8" borderId="14" xfId="6" applyFont="1" applyFill="1" applyBorder="1" applyAlignment="1">
      <alignment horizontal="center"/>
    </xf>
    <xf numFmtId="0" fontId="11" fillId="8" borderId="29" xfId="6" applyFont="1" applyFill="1" applyBorder="1" applyAlignment="1">
      <alignment horizontal="center"/>
    </xf>
    <xf numFmtId="0" fontId="11" fillId="11" borderId="14" xfId="6" applyFont="1" applyFill="1" applyBorder="1" applyAlignment="1">
      <alignment horizontal="center"/>
    </xf>
    <xf numFmtId="0" fontId="11" fillId="11" borderId="29" xfId="6" applyFont="1" applyFill="1" applyBorder="1" applyAlignment="1">
      <alignment horizontal="center"/>
    </xf>
    <xf numFmtId="0" fontId="25" fillId="4" borderId="5" xfId="0" applyFont="1" applyFill="1" applyBorder="1"/>
    <xf numFmtId="0" fontId="6" fillId="4" borderId="9" xfId="3" applyFont="1" applyBorder="1" applyAlignment="1">
      <alignment horizontal="center"/>
    </xf>
    <xf numFmtId="0" fontId="2" fillId="4" borderId="9" xfId="3" applyBorder="1" applyAlignment="1">
      <alignment horizontal="center"/>
    </xf>
    <xf numFmtId="44" fontId="6" fillId="4" borderId="9" xfId="1" applyFont="1" applyFill="1" applyBorder="1" applyAlignment="1">
      <alignment horizontal="center"/>
    </xf>
    <xf numFmtId="0" fontId="6" fillId="6" borderId="16" xfId="3" applyFont="1" applyFill="1" applyBorder="1" applyAlignment="1">
      <alignment wrapText="1"/>
    </xf>
    <xf numFmtId="0" fontId="6" fillId="4" borderId="30" xfId="3" applyFont="1" applyBorder="1" applyAlignment="1">
      <alignment horizontal="center"/>
    </xf>
    <xf numFmtId="0" fontId="7" fillId="4" borderId="12" xfId="6" quotePrefix="1" applyFont="1" applyBorder="1" applyAlignment="1">
      <alignment horizontal="center"/>
    </xf>
    <xf numFmtId="0" fontId="7" fillId="4" borderId="4" xfId="6" applyFont="1" applyBorder="1" applyAlignment="1">
      <alignment horizontal="center"/>
    </xf>
    <xf numFmtId="0" fontId="7" fillId="27" borderId="14" xfId="6" applyFont="1" applyFill="1" applyBorder="1" applyAlignment="1">
      <alignment horizontal="center"/>
    </xf>
    <xf numFmtId="0" fontId="7" fillId="27" borderId="29" xfId="6" applyFont="1" applyFill="1" applyBorder="1" applyAlignment="1">
      <alignment horizontal="center"/>
    </xf>
    <xf numFmtId="0" fontId="25" fillId="4" borderId="33" xfId="3" applyFont="1" applyBorder="1" applyAlignment="1">
      <alignment horizontal="center"/>
    </xf>
    <xf numFmtId="171" fontId="9" fillId="6" borderId="10" xfId="7" applyNumberFormat="1" applyFont="1" applyFill="1" applyBorder="1" applyAlignment="1">
      <alignment horizontal="center"/>
    </xf>
    <xf numFmtId="0" fontId="7" fillId="4" borderId="1" xfId="6" quotePrefix="1" applyFont="1" applyAlignment="1">
      <alignment horizontal="center"/>
    </xf>
    <xf numFmtId="0" fontId="7" fillId="4" borderId="1" xfId="6" applyFont="1" applyAlignment="1">
      <alignment horizontal="center"/>
    </xf>
    <xf numFmtId="164" fontId="4" fillId="20" borderId="1" xfId="9" applyNumberFormat="1" applyFont="1" applyFill="1" applyAlignment="1">
      <alignment horizontal="center"/>
    </xf>
    <xf numFmtId="44" fontId="4" fillId="20" borderId="1" xfId="10" applyFont="1" applyFill="1" applyBorder="1" applyAlignment="1">
      <alignment horizontal="center"/>
    </xf>
    <xf numFmtId="164" fontId="4" fillId="20" borderId="1" xfId="0" applyNumberFormat="1" applyFont="1" applyFill="1" applyBorder="1" applyAlignment="1">
      <alignment horizontal="center"/>
    </xf>
    <xf numFmtId="44" fontId="4" fillId="20" borderId="1" xfId="1" applyFont="1" applyFill="1" applyBorder="1" applyAlignment="1">
      <alignment horizontal="center"/>
    </xf>
    <xf numFmtId="0" fontId="26" fillId="4" borderId="4" xfId="6" applyFont="1" applyBorder="1"/>
    <xf numFmtId="9" fontId="26" fillId="6" borderId="25" xfId="2" applyFont="1" applyFill="1" applyBorder="1" applyAlignment="1">
      <alignment horizontal="center"/>
    </xf>
    <xf numFmtId="9" fontId="26" fillId="6" borderId="27" xfId="2" applyFont="1" applyFill="1" applyBorder="1" applyAlignment="1">
      <alignment horizontal="center"/>
    </xf>
    <xf numFmtId="9" fontId="26" fillId="6" borderId="10" xfId="2" applyFont="1" applyFill="1" applyBorder="1" applyAlignment="1">
      <alignment horizontal="center"/>
    </xf>
    <xf numFmtId="9" fontId="26" fillId="6" borderId="4" xfId="2" applyFont="1" applyFill="1" applyBorder="1" applyAlignment="1">
      <alignment horizontal="center"/>
    </xf>
    <xf numFmtId="9" fontId="26" fillId="6" borderId="7" xfId="2" applyFont="1" applyFill="1" applyBorder="1" applyAlignment="1">
      <alignment horizontal="center"/>
    </xf>
    <xf numFmtId="171" fontId="27" fillId="6" borderId="26" xfId="7" applyNumberFormat="1" applyFont="1" applyFill="1" applyBorder="1" applyAlignment="1">
      <alignment horizontal="center" wrapText="1"/>
    </xf>
    <xf numFmtId="0" fontId="28" fillId="4" borderId="4" xfId="3" applyFont="1" applyBorder="1" applyAlignment="1">
      <alignment horizontal="center"/>
    </xf>
    <xf numFmtId="0" fontId="28" fillId="4" borderId="7" xfId="3" applyFont="1" applyBorder="1" applyAlignment="1">
      <alignment horizontal="center"/>
    </xf>
    <xf numFmtId="0" fontId="28" fillId="4" borderId="34" xfId="3" applyFont="1" applyBorder="1" applyAlignment="1">
      <alignment horizontal="center"/>
    </xf>
    <xf numFmtId="0" fontId="28" fillId="4" borderId="35" xfId="3" applyFont="1" applyBorder="1" applyAlignment="1">
      <alignment horizontal="center"/>
    </xf>
    <xf numFmtId="0" fontId="29" fillId="4" borderId="25" xfId="0" applyFont="1" applyFill="1" applyBorder="1" applyAlignment="1">
      <alignment horizontal="center"/>
    </xf>
    <xf numFmtId="14" fontId="30" fillId="5" borderId="24" xfId="0" applyNumberFormat="1" applyFont="1" applyFill="1" applyBorder="1"/>
    <xf numFmtId="0" fontId="29" fillId="0" borderId="11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172" fontId="29" fillId="0" borderId="24" xfId="0" applyNumberFormat="1" applyFont="1" applyBorder="1"/>
    <xf numFmtId="0" fontId="31" fillId="0" borderId="0" xfId="0" applyFont="1" applyAlignment="1">
      <alignment horizontal="left"/>
    </xf>
    <xf numFmtId="172" fontId="31" fillId="0" borderId="0" xfId="0" applyNumberFormat="1" applyFont="1" applyAlignment="1">
      <alignment horizontal="left"/>
    </xf>
    <xf numFmtId="0" fontId="32" fillId="7" borderId="28" xfId="6" applyFont="1" applyFill="1" applyBorder="1" applyAlignment="1">
      <alignment horizontal="center" wrapText="1"/>
    </xf>
    <xf numFmtId="171" fontId="32" fillId="7" borderId="12" xfId="7" applyNumberFormat="1" applyFont="1" applyFill="1" applyBorder="1" applyAlignment="1">
      <alignment horizontal="center" wrapText="1"/>
    </xf>
    <xf numFmtId="171" fontId="32" fillId="7" borderId="10" xfId="7" applyNumberFormat="1" applyFont="1" applyFill="1" applyBorder="1" applyAlignment="1">
      <alignment horizontal="center" wrapText="1"/>
    </xf>
    <xf numFmtId="170" fontId="32" fillId="7" borderId="28" xfId="4" applyNumberFormat="1" applyFont="1" applyFill="1" applyBorder="1" applyAlignment="1">
      <alignment horizontal="center" wrapText="1"/>
    </xf>
    <xf numFmtId="0" fontId="32" fillId="7" borderId="30" xfId="5" applyNumberFormat="1" applyFont="1" applyFill="1" applyBorder="1" applyAlignment="1">
      <alignment horizontal="center"/>
    </xf>
    <xf numFmtId="0" fontId="32" fillId="7" borderId="13" xfId="6" applyFont="1" applyFill="1" applyBorder="1" applyAlignment="1">
      <alignment horizontal="center" wrapText="1"/>
    </xf>
    <xf numFmtId="171" fontId="32" fillId="7" borderId="13" xfId="7" applyNumberFormat="1" applyFont="1" applyFill="1" applyBorder="1" applyAlignment="1">
      <alignment horizontal="center" wrapText="1"/>
    </xf>
    <xf numFmtId="9" fontId="32" fillId="7" borderId="13" xfId="11" applyFont="1" applyFill="1" applyBorder="1" applyAlignment="1">
      <alignment horizontal="center" wrapText="1"/>
    </xf>
    <xf numFmtId="171" fontId="32" fillId="7" borderId="4" xfId="7" applyNumberFormat="1" applyFont="1" applyFill="1" applyBorder="1" applyAlignment="1">
      <alignment horizontal="center" wrapText="1"/>
    </xf>
    <xf numFmtId="170" fontId="33" fillId="7" borderId="29" xfId="2" applyNumberFormat="1" applyFont="1" applyFill="1" applyBorder="1" applyAlignment="1">
      <alignment horizontal="center"/>
    </xf>
    <xf numFmtId="170" fontId="33" fillId="7" borderId="10" xfId="2" applyNumberFormat="1" applyFont="1" applyFill="1" applyBorder="1" applyAlignment="1">
      <alignment horizontal="center"/>
    </xf>
    <xf numFmtId="170" fontId="33" fillId="7" borderId="4" xfId="2" applyNumberFormat="1" applyFont="1" applyFill="1" applyBorder="1" applyAlignment="1">
      <alignment horizontal="center"/>
    </xf>
    <xf numFmtId="170" fontId="33" fillId="7" borderId="7" xfId="2" applyNumberFormat="1" applyFont="1" applyFill="1" applyBorder="1" applyAlignment="1">
      <alignment horizontal="center"/>
    </xf>
    <xf numFmtId="171" fontId="33" fillId="7" borderId="29" xfId="7" applyNumberFormat="1" applyFont="1" applyFill="1" applyBorder="1" applyAlignment="1">
      <alignment horizontal="center"/>
    </xf>
    <xf numFmtId="171" fontId="33" fillId="7" borderId="14" xfId="7" applyNumberFormat="1" applyFont="1" applyFill="1" applyBorder="1" applyAlignment="1">
      <alignment horizontal="center"/>
    </xf>
    <xf numFmtId="171" fontId="33" fillId="7" borderId="4" xfId="7" applyNumberFormat="1" applyFont="1" applyFill="1" applyBorder="1" applyAlignment="1">
      <alignment horizontal="center"/>
    </xf>
    <xf numFmtId="171" fontId="33" fillId="7" borderId="9" xfId="7" applyNumberFormat="1" applyFont="1" applyFill="1" applyBorder="1" applyAlignment="1">
      <alignment horizontal="center"/>
    </xf>
    <xf numFmtId="171" fontId="33" fillId="7" borderId="7" xfId="7" applyNumberFormat="1" applyFont="1" applyFill="1" applyBorder="1" applyAlignment="1">
      <alignment horizontal="center"/>
    </xf>
    <xf numFmtId="171" fontId="33" fillId="7" borderId="30" xfId="7" applyNumberFormat="1" applyFont="1" applyFill="1" applyBorder="1" applyAlignment="1">
      <alignment horizontal="center"/>
    </xf>
    <xf numFmtId="171" fontId="33" fillId="7" borderId="10" xfId="7" applyNumberFormat="1" applyFont="1" applyFill="1" applyBorder="1" applyAlignment="1">
      <alignment horizontal="center"/>
    </xf>
    <xf numFmtId="6" fontId="0" fillId="0" borderId="4" xfId="0" applyNumberFormat="1" applyBorder="1" applyAlignment="1">
      <alignment horizontal="center"/>
    </xf>
    <xf numFmtId="0" fontId="0" fillId="12" borderId="0" xfId="0" applyFill="1" applyAlignment="1">
      <alignment horizontal="left"/>
    </xf>
    <xf numFmtId="0" fontId="6" fillId="0" borderId="0" xfId="0" applyFont="1" applyAlignment="1"/>
    <xf numFmtId="0" fontId="6" fillId="0" borderId="0" xfId="0" applyFont="1" applyAlignment="1">
      <alignment horizontal="center"/>
    </xf>
  </cellXfs>
  <cellStyles count="12">
    <cellStyle name="Currency" xfId="1" builtinId="4"/>
    <cellStyle name="Currency 2" xfId="5" xr:uid="{00000000-0005-0000-0000-000001000000}"/>
    <cellStyle name="Currency 3" xfId="10" xr:uid="{00000000-0005-0000-0000-000002000000}"/>
    <cellStyle name="Currency 4" xfId="7" xr:uid="{00000000-0005-0000-0000-000003000000}"/>
    <cellStyle name="Normal" xfId="0" builtinId="0"/>
    <cellStyle name="Normal 2" xfId="3" xr:uid="{00000000-0005-0000-0000-000005000000}"/>
    <cellStyle name="Normal 3" xfId="8" xr:uid="{00000000-0005-0000-0000-000006000000}"/>
    <cellStyle name="Normal 4" xfId="6" xr:uid="{00000000-0005-0000-0000-000007000000}"/>
    <cellStyle name="Normal 5" xfId="9" xr:uid="{00000000-0005-0000-0000-000008000000}"/>
    <cellStyle name="Percent" xfId="2" builtinId="5"/>
    <cellStyle name="Percent 2" xfId="4" xr:uid="{00000000-0005-0000-0000-00000A000000}"/>
    <cellStyle name="Percent 3" xfId="11" xr:uid="{00000000-0005-0000-0000-00000B000000}"/>
  </cellStyles>
  <dxfs count="0"/>
  <tableStyles count="0" defaultTableStyle="TableStyleMedium2" defaultPivotStyle="PivotStyleLight16"/>
  <colors>
    <mruColors>
      <color rgb="FFF22800"/>
      <color rgb="FFDE2F0C"/>
      <color rgb="FFFF4747"/>
      <color rgb="FFCCFFCC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1331"/>
  <sheetViews>
    <sheetView topLeftCell="O1" workbookViewId="0">
      <selection activeCell="W1" activeCellId="1" sqref="N1 W1:X1"/>
    </sheetView>
  </sheetViews>
  <sheetFormatPr defaultColWidth="9.109375" defaultRowHeight="14.4" x14ac:dyDescent="0.3"/>
  <cols>
    <col min="1" max="1" width="24.5546875" style="168" bestFit="1" customWidth="1" collapsed="1"/>
    <col min="2" max="2" width="20.6640625" style="106" bestFit="1" customWidth="1" collapsed="1"/>
    <col min="3" max="3" width="31.6640625" style="106" bestFit="1" customWidth="1" collapsed="1"/>
    <col min="4" max="4" width="13.6640625" style="106" bestFit="1" customWidth="1" collapsed="1"/>
    <col min="5" max="5" width="12.88671875" style="106" bestFit="1" customWidth="1" collapsed="1"/>
    <col min="6" max="6" width="7.6640625" style="106" bestFit="1" customWidth="1" collapsed="1"/>
    <col min="7" max="7" width="32.6640625" style="106" bestFit="1" customWidth="1" collapsed="1"/>
    <col min="8" max="8" width="12.6640625" style="106" bestFit="1" customWidth="1" collapsed="1"/>
    <col min="9" max="9" width="16.6640625" style="106" bestFit="1" customWidth="1" collapsed="1"/>
    <col min="10" max="10" width="14.6640625" style="106" bestFit="1" customWidth="1" collapsed="1"/>
    <col min="11" max="12" width="15.6640625" style="106" bestFit="1" customWidth="1" collapsed="1"/>
    <col min="13" max="13" width="16.6640625" style="106" bestFit="1" customWidth="1" collapsed="1"/>
    <col min="14" max="14" width="16.6640625" style="168" customWidth="1"/>
    <col min="15" max="15" width="13.6640625" style="106" bestFit="1" customWidth="1" collapsed="1"/>
    <col min="16" max="16" width="8.6640625" style="106" bestFit="1" customWidth="1" collapsed="1"/>
    <col min="17" max="17" width="16.6640625" style="106" bestFit="1" customWidth="1" collapsed="1"/>
    <col min="18" max="19" width="12.6640625" style="106" bestFit="1" customWidth="1" collapsed="1"/>
    <col min="20" max="21" width="14.6640625" style="106" bestFit="1" customWidth="1" collapsed="1"/>
    <col min="22" max="22" width="13.6640625" style="106" bestFit="1" customWidth="1" collapsed="1"/>
    <col min="23" max="23" width="13.6640625" style="169" customWidth="1"/>
    <col min="24" max="24" width="13.6640625" style="168" customWidth="1"/>
    <col min="25" max="25" width="10.6640625" style="106" bestFit="1" customWidth="1" collapsed="1"/>
    <col min="26" max="26" width="12.6640625" style="106" bestFit="1" customWidth="1" collapsed="1"/>
    <col min="27" max="27" width="37.6640625" style="106" bestFit="1" customWidth="1" collapsed="1"/>
    <col min="28" max="28" width="26.6640625" style="106" bestFit="1" customWidth="1" collapsed="1"/>
    <col min="29" max="30" width="8.6640625" style="106" bestFit="1" customWidth="1" collapsed="1"/>
    <col min="31" max="31" width="17.6640625" style="106" bestFit="1" customWidth="1" collapsed="1"/>
    <col min="32" max="32" width="16.6640625" style="106" bestFit="1" customWidth="1" collapsed="1"/>
    <col min="33" max="33" width="7.6640625" style="106" bestFit="1" customWidth="1" collapsed="1"/>
    <col min="34" max="34" width="20.6640625" style="106" bestFit="1" customWidth="1" collapsed="1"/>
    <col min="35" max="16384" width="9.109375" style="106"/>
  </cols>
  <sheetData>
    <row r="1" spans="1:34" x14ac:dyDescent="0.3">
      <c r="A1" s="97" t="s">
        <v>23</v>
      </c>
      <c r="B1" s="97" t="s">
        <v>0</v>
      </c>
      <c r="C1" s="97" t="s">
        <v>1</v>
      </c>
      <c r="D1" s="98" t="s">
        <v>2</v>
      </c>
      <c r="E1" s="99" t="s">
        <v>3</v>
      </c>
      <c r="F1" s="97" t="s">
        <v>4</v>
      </c>
      <c r="G1" s="97" t="s">
        <v>5</v>
      </c>
      <c r="H1" s="99" t="s">
        <v>6</v>
      </c>
      <c r="I1" s="99" t="s">
        <v>7</v>
      </c>
      <c r="J1" s="100" t="s">
        <v>8</v>
      </c>
      <c r="K1" s="99" t="s">
        <v>9</v>
      </c>
      <c r="L1" s="99" t="s">
        <v>10</v>
      </c>
      <c r="M1" s="99" t="s">
        <v>11</v>
      </c>
      <c r="N1" s="337" t="s">
        <v>3066</v>
      </c>
      <c r="O1" s="101" t="s">
        <v>12</v>
      </c>
      <c r="P1" s="102" t="s">
        <v>13</v>
      </c>
      <c r="Q1" s="103" t="s">
        <v>14</v>
      </c>
      <c r="R1" s="103" t="s">
        <v>15</v>
      </c>
      <c r="S1" s="99" t="s">
        <v>16</v>
      </c>
      <c r="T1" s="99" t="s">
        <v>17</v>
      </c>
      <c r="U1" s="104" t="s">
        <v>18</v>
      </c>
      <c r="V1" s="103" t="s">
        <v>19</v>
      </c>
      <c r="W1" s="338" t="s">
        <v>3069</v>
      </c>
      <c r="X1" s="337" t="s">
        <v>3070</v>
      </c>
      <c r="Y1" s="105" t="s">
        <v>20</v>
      </c>
      <c r="Z1" s="97" t="s">
        <v>21</v>
      </c>
      <c r="AA1" s="97" t="s">
        <v>22</v>
      </c>
      <c r="AB1" s="97" t="s">
        <v>23</v>
      </c>
      <c r="AC1" s="97" t="s">
        <v>24</v>
      </c>
      <c r="AD1" s="97" t="s">
        <v>25</v>
      </c>
      <c r="AE1" s="97" t="s">
        <v>26</v>
      </c>
      <c r="AF1" s="97" t="s">
        <v>27</v>
      </c>
      <c r="AG1" s="97" t="s">
        <v>28</v>
      </c>
      <c r="AH1" s="97" t="s">
        <v>29</v>
      </c>
    </row>
    <row r="2" spans="1:34" x14ac:dyDescent="0.3">
      <c r="A2" s="107" t="s">
        <v>36</v>
      </c>
      <c r="B2" s="108" t="s">
        <v>59</v>
      </c>
      <c r="C2" s="108" t="s">
        <v>60</v>
      </c>
      <c r="D2" s="109">
        <v>45569</v>
      </c>
      <c r="E2" s="110">
        <v>11900</v>
      </c>
      <c r="F2" s="108" t="s">
        <v>32</v>
      </c>
      <c r="G2" s="108" t="s">
        <v>33</v>
      </c>
      <c r="H2" s="110">
        <v>11900</v>
      </c>
      <c r="I2" s="110">
        <v>5000</v>
      </c>
      <c r="J2" s="111">
        <f t="shared" ref="J2:J65" si="0">I2/H2*100</f>
        <v>42.016806722689076</v>
      </c>
      <c r="K2" s="110">
        <v>11100</v>
      </c>
      <c r="L2" s="110">
        <f>H2-0</f>
        <v>11900</v>
      </c>
      <c r="M2" s="110">
        <v>11100</v>
      </c>
      <c r="N2" s="112">
        <f t="shared" ref="N2:N65" si="1">M2/E2</f>
        <v>0.9327731092436975</v>
      </c>
      <c r="O2" s="113">
        <v>60</v>
      </c>
      <c r="P2" s="114">
        <v>125</v>
      </c>
      <c r="Q2" s="115">
        <v>0.17199999999999999</v>
      </c>
      <c r="R2" s="115">
        <v>0.17199999999999999</v>
      </c>
      <c r="S2" s="110">
        <f t="shared" ref="S2:S65" si="2">L2/O2</f>
        <v>198.33333333333334</v>
      </c>
      <c r="T2" s="110">
        <f t="shared" ref="T2:T65" si="3">L2/Q2</f>
        <v>69186.046511627908</v>
      </c>
      <c r="U2" s="116">
        <f t="shared" ref="U2:U65" si="4">L2/Q2/43560</f>
        <v>1.5882930787793368</v>
      </c>
      <c r="V2" s="115">
        <v>60</v>
      </c>
      <c r="W2" s="115">
        <f t="shared" ref="W2:W65" si="5">0.2*E2</f>
        <v>2380</v>
      </c>
      <c r="X2" s="115">
        <f t="shared" ref="X2:X65" si="6">W2/V2</f>
        <v>39.666666666666664</v>
      </c>
      <c r="Y2" s="117" t="s">
        <v>34</v>
      </c>
      <c r="Z2" s="108" t="s">
        <v>35</v>
      </c>
      <c r="AA2" s="108" t="s">
        <v>35</v>
      </c>
      <c r="AB2" s="108" t="s">
        <v>36</v>
      </c>
      <c r="AC2" s="108">
        <v>0</v>
      </c>
      <c r="AD2" s="108">
        <v>0</v>
      </c>
      <c r="AE2" s="108" t="s">
        <v>37</v>
      </c>
      <c r="AF2" s="108" t="s">
        <v>35</v>
      </c>
      <c r="AG2" s="108" t="s">
        <v>61</v>
      </c>
      <c r="AH2" s="108" t="s">
        <v>39</v>
      </c>
    </row>
    <row r="3" spans="1:34" x14ac:dyDescent="0.3">
      <c r="A3" s="107" t="s">
        <v>36</v>
      </c>
      <c r="B3" s="108" t="s">
        <v>30</v>
      </c>
      <c r="C3" s="108" t="s">
        <v>31</v>
      </c>
      <c r="D3" s="109">
        <v>45709</v>
      </c>
      <c r="E3" s="110">
        <v>125000</v>
      </c>
      <c r="F3" s="108" t="s">
        <v>32</v>
      </c>
      <c r="G3" s="108" t="s">
        <v>33</v>
      </c>
      <c r="H3" s="110">
        <v>125000</v>
      </c>
      <c r="I3" s="110">
        <v>61200</v>
      </c>
      <c r="J3" s="111">
        <f t="shared" si="0"/>
        <v>48.96</v>
      </c>
      <c r="K3" s="110">
        <v>148689</v>
      </c>
      <c r="L3" s="110">
        <f>H3-128105</f>
        <v>-3105</v>
      </c>
      <c r="M3" s="110">
        <v>20584</v>
      </c>
      <c r="N3" s="112">
        <f t="shared" si="1"/>
        <v>0.16467200000000001</v>
      </c>
      <c r="O3" s="113">
        <v>111.26</v>
      </c>
      <c r="P3" s="114">
        <v>116</v>
      </c>
      <c r="Q3" s="115">
        <v>0.308</v>
      </c>
      <c r="R3" s="115">
        <v>0.308</v>
      </c>
      <c r="S3" s="110">
        <f t="shared" si="2"/>
        <v>-27.907603810893402</v>
      </c>
      <c r="T3" s="110">
        <f t="shared" si="3"/>
        <v>-10081.168831168832</v>
      </c>
      <c r="U3" s="116">
        <f t="shared" si="4"/>
        <v>-0.23143179134914674</v>
      </c>
      <c r="V3" s="115">
        <v>115.5</v>
      </c>
      <c r="W3" s="115">
        <f t="shared" si="5"/>
        <v>25000</v>
      </c>
      <c r="X3" s="115">
        <f t="shared" si="6"/>
        <v>216.45021645021646</v>
      </c>
      <c r="Y3" s="117" t="s">
        <v>34</v>
      </c>
      <c r="Z3" s="108" t="s">
        <v>35</v>
      </c>
      <c r="AA3" s="108" t="s">
        <v>35</v>
      </c>
      <c r="AB3" s="108" t="s">
        <v>36</v>
      </c>
      <c r="AC3" s="108">
        <v>0</v>
      </c>
      <c r="AD3" s="108">
        <v>0</v>
      </c>
      <c r="AE3" s="108" t="s">
        <v>37</v>
      </c>
      <c r="AF3" s="108" t="s">
        <v>35</v>
      </c>
      <c r="AG3" s="108" t="s">
        <v>38</v>
      </c>
      <c r="AH3" s="108" t="s">
        <v>39</v>
      </c>
    </row>
    <row r="4" spans="1:34" x14ac:dyDescent="0.3">
      <c r="A4" s="118" t="s">
        <v>36</v>
      </c>
      <c r="B4" s="119" t="s">
        <v>54</v>
      </c>
      <c r="C4" s="119" t="s">
        <v>55</v>
      </c>
      <c r="D4" s="120">
        <v>45411</v>
      </c>
      <c r="E4" s="121">
        <v>134000</v>
      </c>
      <c r="F4" s="119" t="s">
        <v>32</v>
      </c>
      <c r="G4" s="119" t="s">
        <v>33</v>
      </c>
      <c r="H4" s="121">
        <v>134000</v>
      </c>
      <c r="I4" s="121">
        <v>69300</v>
      </c>
      <c r="J4" s="122">
        <f t="shared" si="0"/>
        <v>51.716417910447767</v>
      </c>
      <c r="K4" s="121">
        <v>168842</v>
      </c>
      <c r="L4" s="121">
        <f>H4-149769</f>
        <v>-15769</v>
      </c>
      <c r="M4" s="121">
        <v>19073</v>
      </c>
      <c r="N4" s="123">
        <f t="shared" si="1"/>
        <v>0.14233582089552238</v>
      </c>
      <c r="O4" s="124">
        <v>103.09</v>
      </c>
      <c r="P4" s="125">
        <v>116.44</v>
      </c>
      <c r="Q4" s="126">
        <v>0.28599999999999998</v>
      </c>
      <c r="R4" s="126">
        <v>0.28599999999999998</v>
      </c>
      <c r="S4" s="121">
        <f t="shared" si="2"/>
        <v>-152.96343001261033</v>
      </c>
      <c r="T4" s="121">
        <f t="shared" si="3"/>
        <v>-55136.36363636364</v>
      </c>
      <c r="U4" s="127">
        <f t="shared" si="4"/>
        <v>-1.2657567409633526</v>
      </c>
      <c r="V4" s="126">
        <v>106.8</v>
      </c>
      <c r="W4" s="126">
        <f t="shared" si="5"/>
        <v>26800</v>
      </c>
      <c r="X4" s="126">
        <f t="shared" si="6"/>
        <v>250.93632958801498</v>
      </c>
      <c r="Y4" s="128" t="s">
        <v>34</v>
      </c>
      <c r="Z4" s="119" t="s">
        <v>35</v>
      </c>
      <c r="AA4" s="119" t="s">
        <v>35</v>
      </c>
      <c r="AB4" s="119" t="s">
        <v>36</v>
      </c>
      <c r="AC4" s="119">
        <v>0</v>
      </c>
      <c r="AD4" s="119">
        <v>1</v>
      </c>
      <c r="AE4" s="119" t="s">
        <v>42</v>
      </c>
      <c r="AF4" s="119" t="s">
        <v>43</v>
      </c>
      <c r="AG4" s="119" t="s">
        <v>38</v>
      </c>
      <c r="AH4" s="119" t="s">
        <v>39</v>
      </c>
    </row>
    <row r="5" spans="1:34" x14ac:dyDescent="0.3">
      <c r="A5" s="107" t="s">
        <v>36</v>
      </c>
      <c r="B5" s="108" t="s">
        <v>163</v>
      </c>
      <c r="C5" s="108" t="s">
        <v>164</v>
      </c>
      <c r="D5" s="109">
        <v>45572</v>
      </c>
      <c r="E5" s="110">
        <v>55000</v>
      </c>
      <c r="F5" s="108" t="s">
        <v>32</v>
      </c>
      <c r="G5" s="108" t="s">
        <v>33</v>
      </c>
      <c r="H5" s="110">
        <v>55000</v>
      </c>
      <c r="I5" s="110">
        <v>52800</v>
      </c>
      <c r="J5" s="111">
        <f t="shared" si="0"/>
        <v>96</v>
      </c>
      <c r="K5" s="110">
        <v>128968</v>
      </c>
      <c r="L5" s="110">
        <f>H5-121179</f>
        <v>-66179</v>
      </c>
      <c r="M5" s="110">
        <v>7789</v>
      </c>
      <c r="N5" s="112">
        <f t="shared" si="1"/>
        <v>0.14161818181818181</v>
      </c>
      <c r="O5" s="113">
        <v>42.1</v>
      </c>
      <c r="P5" s="114">
        <v>138.5</v>
      </c>
      <c r="Q5" s="115">
        <v>0.127</v>
      </c>
      <c r="R5" s="115">
        <v>0.127</v>
      </c>
      <c r="S5" s="110">
        <f t="shared" si="2"/>
        <v>-1571.9477434679334</v>
      </c>
      <c r="T5" s="110">
        <f t="shared" si="3"/>
        <v>-521094.48818897636</v>
      </c>
      <c r="U5" s="116">
        <f t="shared" si="4"/>
        <v>-11.962683383585317</v>
      </c>
      <c r="V5" s="115">
        <v>40</v>
      </c>
      <c r="W5" s="115">
        <f t="shared" si="5"/>
        <v>11000</v>
      </c>
      <c r="X5" s="115">
        <f t="shared" si="6"/>
        <v>275</v>
      </c>
      <c r="Y5" s="117" t="s">
        <v>34</v>
      </c>
      <c r="Z5" s="108" t="s">
        <v>35</v>
      </c>
      <c r="AA5" s="108" t="s">
        <v>35</v>
      </c>
      <c r="AB5" s="108" t="s">
        <v>36</v>
      </c>
      <c r="AC5" s="108">
        <v>0</v>
      </c>
      <c r="AD5" s="108">
        <v>0</v>
      </c>
      <c r="AE5" s="108" t="s">
        <v>37</v>
      </c>
      <c r="AF5" s="108" t="s">
        <v>35</v>
      </c>
      <c r="AG5" s="108" t="s">
        <v>38</v>
      </c>
      <c r="AH5" s="108" t="s">
        <v>39</v>
      </c>
    </row>
    <row r="6" spans="1:34" x14ac:dyDescent="0.3">
      <c r="A6" s="118" t="s">
        <v>36</v>
      </c>
      <c r="B6" s="119" t="s">
        <v>64</v>
      </c>
      <c r="C6" s="119" t="s">
        <v>65</v>
      </c>
      <c r="D6" s="120">
        <v>45327</v>
      </c>
      <c r="E6" s="121">
        <v>111000</v>
      </c>
      <c r="F6" s="119" t="s">
        <v>32</v>
      </c>
      <c r="G6" s="119" t="s">
        <v>66</v>
      </c>
      <c r="H6" s="121">
        <v>111000</v>
      </c>
      <c r="I6" s="121">
        <v>48600</v>
      </c>
      <c r="J6" s="122">
        <f t="shared" si="0"/>
        <v>43.78378378378379</v>
      </c>
      <c r="K6" s="121">
        <v>140261</v>
      </c>
      <c r="L6" s="121">
        <f>H6-125461</f>
        <v>-14461</v>
      </c>
      <c r="M6" s="121">
        <v>14800</v>
      </c>
      <c r="N6" s="123">
        <f t="shared" si="1"/>
        <v>0.13333333333333333</v>
      </c>
      <c r="O6" s="124">
        <v>80</v>
      </c>
      <c r="P6" s="125">
        <v>250</v>
      </c>
      <c r="Q6" s="126">
        <v>0.23</v>
      </c>
      <c r="R6" s="126">
        <v>0.115</v>
      </c>
      <c r="S6" s="121">
        <f t="shared" si="2"/>
        <v>-180.76249999999999</v>
      </c>
      <c r="T6" s="121">
        <f t="shared" si="3"/>
        <v>-62873.913043478256</v>
      </c>
      <c r="U6" s="127">
        <f t="shared" si="4"/>
        <v>-1.4433864335050104</v>
      </c>
      <c r="V6" s="126">
        <v>80</v>
      </c>
      <c r="W6" s="126">
        <f t="shared" si="5"/>
        <v>22200</v>
      </c>
      <c r="X6" s="126">
        <f t="shared" si="6"/>
        <v>277.5</v>
      </c>
      <c r="Y6" s="128" t="s">
        <v>34</v>
      </c>
      <c r="Z6" s="119" t="s">
        <v>35</v>
      </c>
      <c r="AA6" s="119" t="s">
        <v>67</v>
      </c>
      <c r="AB6" s="119" t="s">
        <v>36</v>
      </c>
      <c r="AC6" s="119">
        <v>0</v>
      </c>
      <c r="AD6" s="119">
        <v>1</v>
      </c>
      <c r="AE6" s="119" t="s">
        <v>58</v>
      </c>
      <c r="AF6" s="119" t="s">
        <v>43</v>
      </c>
      <c r="AG6" s="119" t="s">
        <v>38</v>
      </c>
      <c r="AH6" s="119" t="s">
        <v>39</v>
      </c>
    </row>
    <row r="7" spans="1:34" x14ac:dyDescent="0.3">
      <c r="A7" s="107" t="s">
        <v>36</v>
      </c>
      <c r="B7" s="108" t="s">
        <v>51</v>
      </c>
      <c r="C7" s="108" t="s">
        <v>52</v>
      </c>
      <c r="D7" s="109">
        <v>45259</v>
      </c>
      <c r="E7" s="110">
        <v>130000</v>
      </c>
      <c r="F7" s="108" t="s">
        <v>32</v>
      </c>
      <c r="G7" s="108" t="s">
        <v>33</v>
      </c>
      <c r="H7" s="110">
        <v>130000</v>
      </c>
      <c r="I7" s="110">
        <v>42000</v>
      </c>
      <c r="J7" s="111">
        <f t="shared" si="0"/>
        <v>32.307692307692307</v>
      </c>
      <c r="K7" s="110">
        <v>120942</v>
      </c>
      <c r="L7" s="110">
        <f>H7-106142</f>
        <v>23858</v>
      </c>
      <c r="M7" s="110">
        <v>14800</v>
      </c>
      <c r="N7" s="112">
        <f t="shared" si="1"/>
        <v>0.11384615384615385</v>
      </c>
      <c r="O7" s="113">
        <v>80</v>
      </c>
      <c r="P7" s="114">
        <v>125</v>
      </c>
      <c r="Q7" s="115">
        <v>0.23</v>
      </c>
      <c r="R7" s="115">
        <v>0.23</v>
      </c>
      <c r="S7" s="110">
        <f t="shared" si="2"/>
        <v>298.22500000000002</v>
      </c>
      <c r="T7" s="110">
        <f t="shared" si="3"/>
        <v>103730.43478260869</v>
      </c>
      <c r="U7" s="116">
        <f t="shared" si="4"/>
        <v>2.3813231125484089</v>
      </c>
      <c r="V7" s="115">
        <v>80</v>
      </c>
      <c r="W7" s="115">
        <f t="shared" si="5"/>
        <v>26000</v>
      </c>
      <c r="X7" s="115">
        <f t="shared" si="6"/>
        <v>325</v>
      </c>
      <c r="Y7" s="117" t="s">
        <v>34</v>
      </c>
      <c r="Z7" s="108" t="s">
        <v>35</v>
      </c>
      <c r="AA7" s="108" t="s">
        <v>35</v>
      </c>
      <c r="AB7" s="108" t="s">
        <v>36</v>
      </c>
      <c r="AC7" s="108">
        <v>0</v>
      </c>
      <c r="AD7" s="108">
        <v>1</v>
      </c>
      <c r="AE7" s="108" t="s">
        <v>53</v>
      </c>
      <c r="AF7" s="108" t="s">
        <v>43</v>
      </c>
      <c r="AG7" s="108" t="s">
        <v>38</v>
      </c>
      <c r="AH7" s="108" t="s">
        <v>39</v>
      </c>
    </row>
    <row r="8" spans="1:34" x14ac:dyDescent="0.3">
      <c r="A8" s="107" t="s">
        <v>36</v>
      </c>
      <c r="B8" s="108" t="s">
        <v>48</v>
      </c>
      <c r="C8" s="108" t="s">
        <v>49</v>
      </c>
      <c r="D8" s="109">
        <v>45215</v>
      </c>
      <c r="E8" s="110">
        <v>145000</v>
      </c>
      <c r="F8" s="108" t="s">
        <v>32</v>
      </c>
      <c r="G8" s="108" t="s">
        <v>33</v>
      </c>
      <c r="H8" s="110">
        <v>145000</v>
      </c>
      <c r="I8" s="110">
        <v>55300</v>
      </c>
      <c r="J8" s="111">
        <f t="shared" si="0"/>
        <v>38.137931034482762</v>
      </c>
      <c r="K8" s="110">
        <v>150369</v>
      </c>
      <c r="L8" s="110">
        <f>H8-135569</f>
        <v>9431</v>
      </c>
      <c r="M8" s="110">
        <v>14800</v>
      </c>
      <c r="N8" s="112">
        <f t="shared" si="1"/>
        <v>0.10206896551724139</v>
      </c>
      <c r="O8" s="113">
        <v>80</v>
      </c>
      <c r="P8" s="114">
        <v>125</v>
      </c>
      <c r="Q8" s="115">
        <v>0.23</v>
      </c>
      <c r="R8" s="115">
        <v>0.23</v>
      </c>
      <c r="S8" s="110">
        <f t="shared" si="2"/>
        <v>117.8875</v>
      </c>
      <c r="T8" s="110">
        <f t="shared" si="3"/>
        <v>41004.347826086952</v>
      </c>
      <c r="U8" s="116">
        <f t="shared" si="4"/>
        <v>0.94133029903780885</v>
      </c>
      <c r="V8" s="115">
        <v>80</v>
      </c>
      <c r="W8" s="115">
        <f t="shared" si="5"/>
        <v>29000</v>
      </c>
      <c r="X8" s="115">
        <f t="shared" si="6"/>
        <v>362.5</v>
      </c>
      <c r="Y8" s="117" t="s">
        <v>34</v>
      </c>
      <c r="Z8" s="108" t="s">
        <v>35</v>
      </c>
      <c r="AA8" s="108" t="s">
        <v>35</v>
      </c>
      <c r="AB8" s="108" t="s">
        <v>36</v>
      </c>
      <c r="AC8" s="108">
        <v>0</v>
      </c>
      <c r="AD8" s="108">
        <v>1</v>
      </c>
      <c r="AE8" s="108" t="s">
        <v>50</v>
      </c>
      <c r="AF8" s="108" t="s">
        <v>43</v>
      </c>
      <c r="AG8" s="108" t="s">
        <v>38</v>
      </c>
      <c r="AH8" s="108" t="s">
        <v>39</v>
      </c>
    </row>
    <row r="9" spans="1:34" x14ac:dyDescent="0.3">
      <c r="A9" s="107" t="s">
        <v>36</v>
      </c>
      <c r="B9" s="108" t="s">
        <v>62</v>
      </c>
      <c r="C9" s="108" t="s">
        <v>63</v>
      </c>
      <c r="D9" s="109">
        <v>45155</v>
      </c>
      <c r="E9" s="110">
        <v>150000</v>
      </c>
      <c r="F9" s="108" t="s">
        <v>32</v>
      </c>
      <c r="G9" s="108" t="s">
        <v>33</v>
      </c>
      <c r="H9" s="110">
        <v>150000</v>
      </c>
      <c r="I9" s="110">
        <v>47500</v>
      </c>
      <c r="J9" s="111">
        <f t="shared" si="0"/>
        <v>31.666666666666664</v>
      </c>
      <c r="K9" s="110">
        <v>142123</v>
      </c>
      <c r="L9" s="110">
        <f>H9-127323</f>
        <v>22677</v>
      </c>
      <c r="M9" s="110">
        <v>14800</v>
      </c>
      <c r="N9" s="112">
        <f t="shared" si="1"/>
        <v>9.8666666666666666E-2</v>
      </c>
      <c r="O9" s="113">
        <v>80</v>
      </c>
      <c r="P9" s="114">
        <v>125</v>
      </c>
      <c r="Q9" s="115">
        <v>0.23</v>
      </c>
      <c r="R9" s="115">
        <v>0.23</v>
      </c>
      <c r="S9" s="110">
        <f t="shared" si="2"/>
        <v>283.46249999999998</v>
      </c>
      <c r="T9" s="110">
        <f t="shared" si="3"/>
        <v>98595.65217391304</v>
      </c>
      <c r="U9" s="116">
        <f t="shared" si="4"/>
        <v>2.2634447239190321</v>
      </c>
      <c r="V9" s="115">
        <v>80</v>
      </c>
      <c r="W9" s="115">
        <f t="shared" si="5"/>
        <v>30000</v>
      </c>
      <c r="X9" s="115">
        <f t="shared" si="6"/>
        <v>375</v>
      </c>
      <c r="Y9" s="117" t="s">
        <v>34</v>
      </c>
      <c r="Z9" s="108" t="s">
        <v>35</v>
      </c>
      <c r="AA9" s="108" t="s">
        <v>35</v>
      </c>
      <c r="AB9" s="108" t="s">
        <v>36</v>
      </c>
      <c r="AC9" s="108">
        <v>0</v>
      </c>
      <c r="AD9" s="108">
        <v>1</v>
      </c>
      <c r="AE9" s="108" t="s">
        <v>58</v>
      </c>
      <c r="AF9" s="108" t="s">
        <v>43</v>
      </c>
      <c r="AG9" s="108" t="s">
        <v>38</v>
      </c>
      <c r="AH9" s="108" t="s">
        <v>39</v>
      </c>
    </row>
    <row r="10" spans="1:34" x14ac:dyDescent="0.3">
      <c r="A10" s="107" t="s">
        <v>36</v>
      </c>
      <c r="B10" s="108" t="s">
        <v>72</v>
      </c>
      <c r="C10" s="108" t="s">
        <v>73</v>
      </c>
      <c r="D10" s="109">
        <v>45552</v>
      </c>
      <c r="E10" s="110">
        <v>79900</v>
      </c>
      <c r="F10" s="108" t="s">
        <v>32</v>
      </c>
      <c r="G10" s="108" t="s">
        <v>33</v>
      </c>
      <c r="H10" s="110">
        <v>79900</v>
      </c>
      <c r="I10" s="110">
        <v>48900</v>
      </c>
      <c r="J10" s="111">
        <f t="shared" si="0"/>
        <v>61.201501877346686</v>
      </c>
      <c r="K10" s="110">
        <v>119243</v>
      </c>
      <c r="L10" s="110">
        <f>H10-111696</f>
        <v>-31796</v>
      </c>
      <c r="M10" s="110">
        <v>7547</v>
      </c>
      <c r="N10" s="112">
        <f t="shared" si="1"/>
        <v>9.4455569461827288E-2</v>
      </c>
      <c r="O10" s="113">
        <v>40.79</v>
      </c>
      <c r="P10" s="114">
        <v>130</v>
      </c>
      <c r="Q10" s="115">
        <v>0.11899999999999999</v>
      </c>
      <c r="R10" s="115">
        <v>0.11899999999999999</v>
      </c>
      <c r="S10" s="110">
        <f t="shared" si="2"/>
        <v>-779.5047805834763</v>
      </c>
      <c r="T10" s="110">
        <f t="shared" si="3"/>
        <v>-267193.27731092437</v>
      </c>
      <c r="U10" s="116">
        <f t="shared" si="4"/>
        <v>-6.1339136205446367</v>
      </c>
      <c r="V10" s="115">
        <v>40</v>
      </c>
      <c r="W10" s="115">
        <f t="shared" si="5"/>
        <v>15980</v>
      </c>
      <c r="X10" s="115">
        <f t="shared" si="6"/>
        <v>399.5</v>
      </c>
      <c r="Y10" s="117" t="s">
        <v>34</v>
      </c>
      <c r="Z10" s="108" t="s">
        <v>35</v>
      </c>
      <c r="AA10" s="108" t="s">
        <v>35</v>
      </c>
      <c r="AB10" s="108" t="s">
        <v>36</v>
      </c>
      <c r="AC10" s="108">
        <v>0</v>
      </c>
      <c r="AD10" s="108">
        <v>0</v>
      </c>
      <c r="AE10" s="108" t="s">
        <v>37</v>
      </c>
      <c r="AF10" s="108" t="s">
        <v>43</v>
      </c>
      <c r="AG10" s="108" t="s">
        <v>38</v>
      </c>
      <c r="AH10" s="108" t="s">
        <v>39</v>
      </c>
    </row>
    <row r="11" spans="1:34" x14ac:dyDescent="0.3">
      <c r="A11" s="118" t="s">
        <v>36</v>
      </c>
      <c r="B11" s="119" t="s">
        <v>163</v>
      </c>
      <c r="C11" s="119" t="s">
        <v>164</v>
      </c>
      <c r="D11" s="120">
        <v>45622</v>
      </c>
      <c r="E11" s="121">
        <v>80000</v>
      </c>
      <c r="F11" s="119" t="s">
        <v>32</v>
      </c>
      <c r="G11" s="119" t="s">
        <v>33</v>
      </c>
      <c r="H11" s="121">
        <v>80000</v>
      </c>
      <c r="I11" s="121">
        <v>52800</v>
      </c>
      <c r="J11" s="122">
        <f t="shared" si="0"/>
        <v>66</v>
      </c>
      <c r="K11" s="121">
        <v>128968</v>
      </c>
      <c r="L11" s="121">
        <f>H11-121179</f>
        <v>-41179</v>
      </c>
      <c r="M11" s="121">
        <v>7789</v>
      </c>
      <c r="N11" s="123">
        <f t="shared" si="1"/>
        <v>9.7362500000000005E-2</v>
      </c>
      <c r="O11" s="124">
        <v>42.1</v>
      </c>
      <c r="P11" s="125">
        <v>138.5</v>
      </c>
      <c r="Q11" s="126">
        <v>0.127</v>
      </c>
      <c r="R11" s="126">
        <v>0.127</v>
      </c>
      <c r="S11" s="121">
        <f t="shared" si="2"/>
        <v>-978.12351543942987</v>
      </c>
      <c r="T11" s="121">
        <f t="shared" si="3"/>
        <v>-324244.09448818897</v>
      </c>
      <c r="U11" s="127">
        <f t="shared" si="4"/>
        <v>-7.4436201673137967</v>
      </c>
      <c r="V11" s="126">
        <v>40</v>
      </c>
      <c r="W11" s="126">
        <f t="shared" si="5"/>
        <v>16000</v>
      </c>
      <c r="X11" s="126">
        <f t="shared" si="6"/>
        <v>400</v>
      </c>
      <c r="Y11" s="128" t="s">
        <v>34</v>
      </c>
      <c r="Z11" s="119" t="s">
        <v>35</v>
      </c>
      <c r="AA11" s="119" t="s">
        <v>35</v>
      </c>
      <c r="AB11" s="119" t="s">
        <v>36</v>
      </c>
      <c r="AC11" s="119">
        <v>0</v>
      </c>
      <c r="AD11" s="119">
        <v>0</v>
      </c>
      <c r="AE11" s="119" t="s">
        <v>37</v>
      </c>
      <c r="AF11" s="119" t="s">
        <v>35</v>
      </c>
      <c r="AG11" s="119" t="s">
        <v>38</v>
      </c>
      <c r="AH11" s="119" t="s">
        <v>39</v>
      </c>
    </row>
    <row r="12" spans="1:34" x14ac:dyDescent="0.3">
      <c r="A12" s="107" t="s">
        <v>36</v>
      </c>
      <c r="B12" s="108" t="s">
        <v>169</v>
      </c>
      <c r="C12" s="108" t="s">
        <v>170</v>
      </c>
      <c r="D12" s="109">
        <v>45104</v>
      </c>
      <c r="E12" s="110">
        <v>115000</v>
      </c>
      <c r="F12" s="108" t="s">
        <v>32</v>
      </c>
      <c r="G12" s="108" t="s">
        <v>33</v>
      </c>
      <c r="H12" s="110">
        <v>115000</v>
      </c>
      <c r="I12" s="110">
        <v>48700</v>
      </c>
      <c r="J12" s="111">
        <f t="shared" si="0"/>
        <v>42.347826086956516</v>
      </c>
      <c r="K12" s="110">
        <v>134111</v>
      </c>
      <c r="L12" s="110">
        <f>H12-124525</f>
        <v>-9525</v>
      </c>
      <c r="M12" s="110">
        <v>9586</v>
      </c>
      <c r="N12" s="112">
        <f t="shared" si="1"/>
        <v>8.335652173913044E-2</v>
      </c>
      <c r="O12" s="113">
        <v>51.81</v>
      </c>
      <c r="P12" s="114">
        <v>134.25</v>
      </c>
      <c r="Q12" s="115">
        <v>0.154</v>
      </c>
      <c r="R12" s="115">
        <v>0.154</v>
      </c>
      <c r="S12" s="110">
        <f t="shared" si="2"/>
        <v>-183.84481760277939</v>
      </c>
      <c r="T12" s="110">
        <f t="shared" si="3"/>
        <v>-61850.64935064935</v>
      </c>
      <c r="U12" s="116">
        <f t="shared" si="4"/>
        <v>-1.4198955314657793</v>
      </c>
      <c r="V12" s="115">
        <v>50</v>
      </c>
      <c r="W12" s="115">
        <f t="shared" si="5"/>
        <v>23000</v>
      </c>
      <c r="X12" s="115">
        <f t="shared" si="6"/>
        <v>460</v>
      </c>
      <c r="Y12" s="117" t="s">
        <v>34</v>
      </c>
      <c r="Z12" s="108" t="s">
        <v>35</v>
      </c>
      <c r="AA12" s="108" t="s">
        <v>35</v>
      </c>
      <c r="AB12" s="108" t="s">
        <v>36</v>
      </c>
      <c r="AC12" s="108">
        <v>0</v>
      </c>
      <c r="AD12" s="108">
        <v>0</v>
      </c>
      <c r="AE12" s="108" t="s">
        <v>58</v>
      </c>
      <c r="AF12" s="108" t="s">
        <v>43</v>
      </c>
      <c r="AG12" s="108" t="s">
        <v>38</v>
      </c>
      <c r="AH12" s="108" t="s">
        <v>39</v>
      </c>
    </row>
    <row r="13" spans="1:34" x14ac:dyDescent="0.3">
      <c r="A13" s="118" t="s">
        <v>36</v>
      </c>
      <c r="B13" s="119" t="s">
        <v>86</v>
      </c>
      <c r="C13" s="119" t="s">
        <v>87</v>
      </c>
      <c r="D13" s="120">
        <v>45120</v>
      </c>
      <c r="E13" s="121">
        <v>120000</v>
      </c>
      <c r="F13" s="119" t="s">
        <v>32</v>
      </c>
      <c r="G13" s="119" t="s">
        <v>33</v>
      </c>
      <c r="H13" s="121">
        <v>120000</v>
      </c>
      <c r="I13" s="121">
        <v>38300</v>
      </c>
      <c r="J13" s="122">
        <f t="shared" si="0"/>
        <v>31.916666666666664</v>
      </c>
      <c r="K13" s="121">
        <v>111545</v>
      </c>
      <c r="L13" s="121">
        <f>H13-102673</f>
        <v>17327</v>
      </c>
      <c r="M13" s="121">
        <v>8872</v>
      </c>
      <c r="N13" s="123">
        <f t="shared" si="1"/>
        <v>7.3933333333333337E-2</v>
      </c>
      <c r="O13" s="124">
        <v>47.95</v>
      </c>
      <c r="P13" s="125">
        <v>115</v>
      </c>
      <c r="Q13" s="126">
        <v>0.13200000000000001</v>
      </c>
      <c r="R13" s="126">
        <v>0.13200000000000001</v>
      </c>
      <c r="S13" s="121">
        <f t="shared" si="2"/>
        <v>361.35557872784148</v>
      </c>
      <c r="T13" s="121">
        <f t="shared" si="3"/>
        <v>131265.15151515152</v>
      </c>
      <c r="U13" s="127">
        <f t="shared" si="4"/>
        <v>3.0134332303753792</v>
      </c>
      <c r="V13" s="126">
        <v>50</v>
      </c>
      <c r="W13" s="126">
        <f t="shared" si="5"/>
        <v>24000</v>
      </c>
      <c r="X13" s="126">
        <f t="shared" si="6"/>
        <v>480</v>
      </c>
      <c r="Y13" s="128" t="s">
        <v>34</v>
      </c>
      <c r="Z13" s="119" t="s">
        <v>35</v>
      </c>
      <c r="AA13" s="119" t="s">
        <v>35</v>
      </c>
      <c r="AB13" s="119" t="s">
        <v>36</v>
      </c>
      <c r="AC13" s="119">
        <v>0</v>
      </c>
      <c r="AD13" s="119">
        <v>0</v>
      </c>
      <c r="AE13" s="119" t="s">
        <v>37</v>
      </c>
      <c r="AF13" s="119" t="s">
        <v>43</v>
      </c>
      <c r="AG13" s="119" t="s">
        <v>38</v>
      </c>
      <c r="AH13" s="119" t="s">
        <v>39</v>
      </c>
    </row>
    <row r="14" spans="1:34" x14ac:dyDescent="0.3">
      <c r="A14" s="118" t="s">
        <v>36</v>
      </c>
      <c r="B14" s="119" t="s">
        <v>77</v>
      </c>
      <c r="C14" s="119" t="s">
        <v>78</v>
      </c>
      <c r="D14" s="120">
        <v>45482</v>
      </c>
      <c r="E14" s="121">
        <v>120000</v>
      </c>
      <c r="F14" s="119" t="s">
        <v>32</v>
      </c>
      <c r="G14" s="119" t="s">
        <v>33</v>
      </c>
      <c r="H14" s="121">
        <v>120000</v>
      </c>
      <c r="I14" s="121">
        <v>46300</v>
      </c>
      <c r="J14" s="122">
        <f t="shared" si="0"/>
        <v>38.583333333333329</v>
      </c>
      <c r="K14" s="121">
        <v>112375</v>
      </c>
      <c r="L14" s="121">
        <f>H14-102762</f>
        <v>17238</v>
      </c>
      <c r="M14" s="121">
        <v>9613</v>
      </c>
      <c r="N14" s="123">
        <f t="shared" si="1"/>
        <v>8.0108333333333337E-2</v>
      </c>
      <c r="O14" s="124">
        <v>51.96</v>
      </c>
      <c r="P14" s="125">
        <v>135</v>
      </c>
      <c r="Q14" s="126">
        <v>0.155</v>
      </c>
      <c r="R14" s="126">
        <v>0.155</v>
      </c>
      <c r="S14" s="121">
        <f t="shared" si="2"/>
        <v>331.7551963048499</v>
      </c>
      <c r="T14" s="121">
        <f t="shared" si="3"/>
        <v>111212.90322580645</v>
      </c>
      <c r="U14" s="127">
        <f t="shared" si="4"/>
        <v>2.5530969519239313</v>
      </c>
      <c r="V14" s="126">
        <v>50</v>
      </c>
      <c r="W14" s="126">
        <f t="shared" si="5"/>
        <v>24000</v>
      </c>
      <c r="X14" s="126">
        <f t="shared" si="6"/>
        <v>480</v>
      </c>
      <c r="Y14" s="128" t="s">
        <v>34</v>
      </c>
      <c r="Z14" s="119" t="s">
        <v>35</v>
      </c>
      <c r="AA14" s="119" t="s">
        <v>35</v>
      </c>
      <c r="AB14" s="119" t="s">
        <v>36</v>
      </c>
      <c r="AC14" s="119">
        <v>0</v>
      </c>
      <c r="AD14" s="119">
        <v>0</v>
      </c>
      <c r="AE14" s="119" t="s">
        <v>37</v>
      </c>
      <c r="AF14" s="119" t="s">
        <v>43</v>
      </c>
      <c r="AG14" s="119" t="s">
        <v>38</v>
      </c>
      <c r="AH14" s="119" t="s">
        <v>39</v>
      </c>
    </row>
    <row r="15" spans="1:34" x14ac:dyDescent="0.3">
      <c r="A15" s="107" t="s">
        <v>36</v>
      </c>
      <c r="B15" s="108" t="s">
        <v>82</v>
      </c>
      <c r="C15" s="108" t="s">
        <v>83</v>
      </c>
      <c r="D15" s="109">
        <v>45373</v>
      </c>
      <c r="E15" s="110">
        <v>108000</v>
      </c>
      <c r="F15" s="108" t="s">
        <v>32</v>
      </c>
      <c r="G15" s="108" t="s">
        <v>33</v>
      </c>
      <c r="H15" s="110">
        <v>108000</v>
      </c>
      <c r="I15" s="110">
        <v>32400</v>
      </c>
      <c r="J15" s="111">
        <f t="shared" si="0"/>
        <v>30</v>
      </c>
      <c r="K15" s="110">
        <v>95175</v>
      </c>
      <c r="L15" s="110">
        <f>H15-87485</f>
        <v>20515</v>
      </c>
      <c r="M15" s="110">
        <v>7690</v>
      </c>
      <c r="N15" s="112">
        <f t="shared" si="1"/>
        <v>7.12037037037037E-2</v>
      </c>
      <c r="O15" s="113">
        <v>41.56</v>
      </c>
      <c r="P15" s="114">
        <v>135</v>
      </c>
      <c r="Q15" s="115">
        <v>0.124</v>
      </c>
      <c r="R15" s="115">
        <v>0.124</v>
      </c>
      <c r="S15" s="110">
        <f t="shared" si="2"/>
        <v>493.62367661212704</v>
      </c>
      <c r="T15" s="110">
        <f t="shared" si="3"/>
        <v>165443.54838709679</v>
      </c>
      <c r="U15" s="116">
        <f t="shared" si="4"/>
        <v>3.7980612577386772</v>
      </c>
      <c r="V15" s="115">
        <v>40</v>
      </c>
      <c r="W15" s="115">
        <f t="shared" si="5"/>
        <v>21600</v>
      </c>
      <c r="X15" s="115">
        <f t="shared" si="6"/>
        <v>540</v>
      </c>
      <c r="Y15" s="117" t="s">
        <v>34</v>
      </c>
      <c r="Z15" s="108" t="s">
        <v>35</v>
      </c>
      <c r="AA15" s="108" t="s">
        <v>35</v>
      </c>
      <c r="AB15" s="108" t="s">
        <v>36</v>
      </c>
      <c r="AC15" s="108">
        <v>0</v>
      </c>
      <c r="AD15" s="108">
        <v>0</v>
      </c>
      <c r="AE15" s="108" t="s">
        <v>37</v>
      </c>
      <c r="AF15" s="108" t="s">
        <v>43</v>
      </c>
      <c r="AG15" s="108" t="s">
        <v>38</v>
      </c>
      <c r="AH15" s="108" t="s">
        <v>39</v>
      </c>
    </row>
    <row r="16" spans="1:34" x14ac:dyDescent="0.3">
      <c r="A16" s="107" t="s">
        <v>36</v>
      </c>
      <c r="B16" s="108" t="s">
        <v>70</v>
      </c>
      <c r="C16" s="108" t="s">
        <v>71</v>
      </c>
      <c r="D16" s="109">
        <v>45631</v>
      </c>
      <c r="E16" s="110">
        <v>109900</v>
      </c>
      <c r="F16" s="108" t="s">
        <v>32</v>
      </c>
      <c r="G16" s="108" t="s">
        <v>33</v>
      </c>
      <c r="H16" s="110">
        <v>109900</v>
      </c>
      <c r="I16" s="110">
        <v>39300</v>
      </c>
      <c r="J16" s="111">
        <f t="shared" si="0"/>
        <v>35.759781619654227</v>
      </c>
      <c r="K16" s="110">
        <v>96132</v>
      </c>
      <c r="L16" s="110">
        <f>H16-88585</f>
        <v>21315</v>
      </c>
      <c r="M16" s="110">
        <v>7547</v>
      </c>
      <c r="N16" s="112">
        <f t="shared" si="1"/>
        <v>6.8671519563239303E-2</v>
      </c>
      <c r="O16" s="113">
        <v>40.79</v>
      </c>
      <c r="P16" s="114">
        <v>130</v>
      </c>
      <c r="Q16" s="115">
        <v>0.11899999999999999</v>
      </c>
      <c r="R16" s="115">
        <v>0.11899999999999999</v>
      </c>
      <c r="S16" s="110">
        <f t="shared" si="2"/>
        <v>522.55454768325569</v>
      </c>
      <c r="T16" s="110">
        <f t="shared" si="3"/>
        <v>179117.64705882352</v>
      </c>
      <c r="U16" s="116">
        <f t="shared" si="4"/>
        <v>4.1119753686598601</v>
      </c>
      <c r="V16" s="115">
        <v>40</v>
      </c>
      <c r="W16" s="115">
        <f t="shared" si="5"/>
        <v>21980</v>
      </c>
      <c r="X16" s="115">
        <f t="shared" si="6"/>
        <v>549.5</v>
      </c>
      <c r="Y16" s="117" t="s">
        <v>34</v>
      </c>
      <c r="Z16" s="108" t="s">
        <v>35</v>
      </c>
      <c r="AA16" s="108" t="s">
        <v>35</v>
      </c>
      <c r="AB16" s="108" t="s">
        <v>36</v>
      </c>
      <c r="AC16" s="108">
        <v>0</v>
      </c>
      <c r="AD16" s="108">
        <v>0</v>
      </c>
      <c r="AE16" s="108" t="s">
        <v>37</v>
      </c>
      <c r="AF16" s="108" t="s">
        <v>35</v>
      </c>
      <c r="AG16" s="108" t="s">
        <v>38</v>
      </c>
      <c r="AH16" s="108" t="s">
        <v>39</v>
      </c>
    </row>
    <row r="17" spans="1:34" x14ac:dyDescent="0.3">
      <c r="A17" s="107" t="s">
        <v>36</v>
      </c>
      <c r="B17" s="108" t="s">
        <v>79</v>
      </c>
      <c r="C17" s="108" t="s">
        <v>80</v>
      </c>
      <c r="D17" s="109">
        <v>45665</v>
      </c>
      <c r="E17" s="110">
        <v>114000</v>
      </c>
      <c r="F17" s="108" t="s">
        <v>81</v>
      </c>
      <c r="G17" s="108" t="s">
        <v>33</v>
      </c>
      <c r="H17" s="110">
        <v>114000</v>
      </c>
      <c r="I17" s="110">
        <v>46700</v>
      </c>
      <c r="J17" s="111">
        <f t="shared" si="0"/>
        <v>40.964912280701753</v>
      </c>
      <c r="K17" s="110">
        <v>113765</v>
      </c>
      <c r="L17" s="110">
        <f>H17-106075</f>
        <v>7925</v>
      </c>
      <c r="M17" s="110">
        <v>7690</v>
      </c>
      <c r="N17" s="112">
        <f t="shared" si="1"/>
        <v>6.7456140350877186E-2</v>
      </c>
      <c r="O17" s="113">
        <v>41.56</v>
      </c>
      <c r="P17" s="114">
        <v>135</v>
      </c>
      <c r="Q17" s="115">
        <v>0.124</v>
      </c>
      <c r="R17" s="115">
        <v>0.124</v>
      </c>
      <c r="S17" s="110">
        <f t="shared" si="2"/>
        <v>190.68816169393648</v>
      </c>
      <c r="T17" s="110">
        <f t="shared" si="3"/>
        <v>63911.290322580644</v>
      </c>
      <c r="U17" s="116">
        <f t="shared" si="4"/>
        <v>1.4672013389022187</v>
      </c>
      <c r="V17" s="115">
        <v>40</v>
      </c>
      <c r="W17" s="115">
        <f t="shared" si="5"/>
        <v>22800</v>
      </c>
      <c r="X17" s="115">
        <f t="shared" si="6"/>
        <v>570</v>
      </c>
      <c r="Y17" s="117" t="s">
        <v>34</v>
      </c>
      <c r="Z17" s="108" t="s">
        <v>35</v>
      </c>
      <c r="AA17" s="108" t="s">
        <v>35</v>
      </c>
      <c r="AB17" s="108" t="s">
        <v>36</v>
      </c>
      <c r="AC17" s="108">
        <v>0</v>
      </c>
      <c r="AD17" s="108">
        <v>0</v>
      </c>
      <c r="AE17" s="108" t="s">
        <v>37</v>
      </c>
      <c r="AF17" s="108" t="s">
        <v>35</v>
      </c>
      <c r="AG17" s="108" t="s">
        <v>38</v>
      </c>
      <c r="AH17" s="108" t="s">
        <v>39</v>
      </c>
    </row>
    <row r="18" spans="1:34" x14ac:dyDescent="0.3">
      <c r="A18" s="118" t="s">
        <v>36</v>
      </c>
      <c r="B18" s="119" t="s">
        <v>56</v>
      </c>
      <c r="C18" s="119" t="s">
        <v>57</v>
      </c>
      <c r="D18" s="120">
        <v>45387</v>
      </c>
      <c r="E18" s="121">
        <v>120000</v>
      </c>
      <c r="F18" s="119" t="s">
        <v>32</v>
      </c>
      <c r="G18" s="119" t="s">
        <v>33</v>
      </c>
      <c r="H18" s="121">
        <v>120000</v>
      </c>
      <c r="I18" s="121">
        <v>41500</v>
      </c>
      <c r="J18" s="122">
        <f t="shared" si="0"/>
        <v>34.583333333333336</v>
      </c>
      <c r="K18" s="121">
        <v>101504</v>
      </c>
      <c r="L18" s="121">
        <f>H18-94186</f>
        <v>25814</v>
      </c>
      <c r="M18" s="121">
        <v>7318</v>
      </c>
      <c r="N18" s="123">
        <f t="shared" si="1"/>
        <v>6.0983333333333334E-2</v>
      </c>
      <c r="O18" s="124">
        <v>39.549999999999997</v>
      </c>
      <c r="P18" s="125">
        <v>122.23</v>
      </c>
      <c r="Q18" s="126">
        <v>0.112</v>
      </c>
      <c r="R18" s="126">
        <v>0.112</v>
      </c>
      <c r="S18" s="121">
        <f t="shared" si="2"/>
        <v>652.69279393173201</v>
      </c>
      <c r="T18" s="121">
        <f t="shared" si="3"/>
        <v>230482.14285714284</v>
      </c>
      <c r="U18" s="127">
        <f t="shared" si="4"/>
        <v>5.2911419388692114</v>
      </c>
      <c r="V18" s="126">
        <v>40</v>
      </c>
      <c r="W18" s="126">
        <f t="shared" si="5"/>
        <v>24000</v>
      </c>
      <c r="X18" s="126">
        <f t="shared" si="6"/>
        <v>600</v>
      </c>
      <c r="Y18" s="128" t="s">
        <v>34</v>
      </c>
      <c r="Z18" s="119" t="s">
        <v>35</v>
      </c>
      <c r="AA18" s="119" t="s">
        <v>35</v>
      </c>
      <c r="AB18" s="119" t="s">
        <v>36</v>
      </c>
      <c r="AC18" s="119">
        <v>0</v>
      </c>
      <c r="AD18" s="119">
        <v>1</v>
      </c>
      <c r="AE18" s="119" t="s">
        <v>58</v>
      </c>
      <c r="AF18" s="119" t="s">
        <v>43</v>
      </c>
      <c r="AG18" s="119" t="s">
        <v>38</v>
      </c>
      <c r="AH18" s="119" t="s">
        <v>39</v>
      </c>
    </row>
    <row r="19" spans="1:34" x14ac:dyDescent="0.3">
      <c r="A19" s="118" t="s">
        <v>36</v>
      </c>
      <c r="B19" s="119" t="s">
        <v>68</v>
      </c>
      <c r="C19" s="119" t="s">
        <v>69</v>
      </c>
      <c r="D19" s="120">
        <v>45621</v>
      </c>
      <c r="E19" s="121">
        <v>152500</v>
      </c>
      <c r="F19" s="119" t="s">
        <v>32</v>
      </c>
      <c r="G19" s="119" t="s">
        <v>33</v>
      </c>
      <c r="H19" s="121">
        <v>152500</v>
      </c>
      <c r="I19" s="121">
        <v>56500</v>
      </c>
      <c r="J19" s="122">
        <f t="shared" si="0"/>
        <v>37.049180327868854</v>
      </c>
      <c r="K19" s="121">
        <v>138090</v>
      </c>
      <c r="L19" s="121">
        <f>H19-128840</f>
        <v>23660</v>
      </c>
      <c r="M19" s="121">
        <v>9250</v>
      </c>
      <c r="N19" s="123">
        <f t="shared" si="1"/>
        <v>6.0655737704918035E-2</v>
      </c>
      <c r="O19" s="124">
        <v>50</v>
      </c>
      <c r="P19" s="125">
        <v>125</v>
      </c>
      <c r="Q19" s="126">
        <v>0.14299999999999999</v>
      </c>
      <c r="R19" s="126">
        <v>0.14299999999999999</v>
      </c>
      <c r="S19" s="121">
        <f t="shared" si="2"/>
        <v>473.2</v>
      </c>
      <c r="T19" s="121">
        <f t="shared" si="3"/>
        <v>165454.54545454547</v>
      </c>
      <c r="U19" s="127">
        <f t="shared" si="4"/>
        <v>3.7983137156690878</v>
      </c>
      <c r="V19" s="126">
        <v>50</v>
      </c>
      <c r="W19" s="126">
        <f t="shared" si="5"/>
        <v>30500</v>
      </c>
      <c r="X19" s="126">
        <f t="shared" si="6"/>
        <v>610</v>
      </c>
      <c r="Y19" s="128" t="s">
        <v>34</v>
      </c>
      <c r="Z19" s="119" t="s">
        <v>35</v>
      </c>
      <c r="AA19" s="119" t="s">
        <v>35</v>
      </c>
      <c r="AB19" s="119" t="s">
        <v>36</v>
      </c>
      <c r="AC19" s="119">
        <v>0</v>
      </c>
      <c r="AD19" s="119">
        <v>0</v>
      </c>
      <c r="AE19" s="119" t="s">
        <v>37</v>
      </c>
      <c r="AF19" s="119" t="s">
        <v>35</v>
      </c>
      <c r="AG19" s="119" t="s">
        <v>38</v>
      </c>
      <c r="AH19" s="119" t="s">
        <v>39</v>
      </c>
    </row>
    <row r="20" spans="1:34" x14ac:dyDescent="0.3">
      <c r="A20" s="118" t="s">
        <v>36</v>
      </c>
      <c r="B20" s="119" t="s">
        <v>44</v>
      </c>
      <c r="C20" s="119" t="s">
        <v>45</v>
      </c>
      <c r="D20" s="120">
        <v>45217</v>
      </c>
      <c r="E20" s="121">
        <v>125000</v>
      </c>
      <c r="F20" s="119" t="s">
        <v>32</v>
      </c>
      <c r="G20" s="119" t="s">
        <v>33</v>
      </c>
      <c r="H20" s="121">
        <v>125000</v>
      </c>
      <c r="I20" s="121">
        <v>32800</v>
      </c>
      <c r="J20" s="122">
        <f t="shared" si="0"/>
        <v>26.240000000000002</v>
      </c>
      <c r="K20" s="121">
        <v>96501</v>
      </c>
      <c r="L20" s="121">
        <f>H20-89372</f>
        <v>35628</v>
      </c>
      <c r="M20" s="121">
        <v>7129</v>
      </c>
      <c r="N20" s="123">
        <f t="shared" si="1"/>
        <v>5.7031999999999999E-2</v>
      </c>
      <c r="O20" s="124">
        <v>38.53</v>
      </c>
      <c r="P20" s="125">
        <v>116</v>
      </c>
      <c r="Q20" s="126">
        <v>0.107</v>
      </c>
      <c r="R20" s="126">
        <v>0.107</v>
      </c>
      <c r="S20" s="121">
        <f t="shared" si="2"/>
        <v>924.68206592265767</v>
      </c>
      <c r="T20" s="121">
        <f t="shared" si="3"/>
        <v>332971.96261682245</v>
      </c>
      <c r="U20" s="127">
        <f t="shared" si="4"/>
        <v>7.6439844494220033</v>
      </c>
      <c r="V20" s="126">
        <v>40</v>
      </c>
      <c r="W20" s="126">
        <f t="shared" si="5"/>
        <v>25000</v>
      </c>
      <c r="X20" s="126">
        <f t="shared" si="6"/>
        <v>625</v>
      </c>
      <c r="Y20" s="128" t="s">
        <v>34</v>
      </c>
      <c r="Z20" s="119" t="s">
        <v>35</v>
      </c>
      <c r="AA20" s="119" t="s">
        <v>35</v>
      </c>
      <c r="AB20" s="119" t="s">
        <v>36</v>
      </c>
      <c r="AC20" s="119">
        <v>0</v>
      </c>
      <c r="AD20" s="119">
        <v>1</v>
      </c>
      <c r="AE20" s="119" t="s">
        <v>37</v>
      </c>
      <c r="AF20" s="119" t="s">
        <v>43</v>
      </c>
      <c r="AG20" s="119" t="s">
        <v>38</v>
      </c>
      <c r="AH20" s="119" t="s">
        <v>39</v>
      </c>
    </row>
    <row r="21" spans="1:34" x14ac:dyDescent="0.3">
      <c r="A21" s="118" t="s">
        <v>36</v>
      </c>
      <c r="B21" s="119" t="s">
        <v>165</v>
      </c>
      <c r="C21" s="119" t="s">
        <v>166</v>
      </c>
      <c r="D21" s="120">
        <v>45631</v>
      </c>
      <c r="E21" s="121">
        <v>132000</v>
      </c>
      <c r="F21" s="119" t="s">
        <v>32</v>
      </c>
      <c r="G21" s="119" t="s">
        <v>33</v>
      </c>
      <c r="H21" s="121">
        <v>132000</v>
      </c>
      <c r="I21" s="121">
        <v>44100</v>
      </c>
      <c r="J21" s="122">
        <f t="shared" si="0"/>
        <v>33.409090909090914</v>
      </c>
      <c r="K21" s="121">
        <v>107834</v>
      </c>
      <c r="L21" s="121">
        <f>H21-100172</f>
        <v>31828</v>
      </c>
      <c r="M21" s="121">
        <v>7662</v>
      </c>
      <c r="N21" s="123">
        <f t="shared" si="1"/>
        <v>5.8045454545454546E-2</v>
      </c>
      <c r="O21" s="124">
        <v>41.41</v>
      </c>
      <c r="P21" s="125">
        <v>134</v>
      </c>
      <c r="Q21" s="126">
        <v>0.123</v>
      </c>
      <c r="R21" s="126">
        <v>0.123</v>
      </c>
      <c r="S21" s="121">
        <f t="shared" si="2"/>
        <v>768.606616759237</v>
      </c>
      <c r="T21" s="121">
        <f t="shared" si="3"/>
        <v>258764.22764227644</v>
      </c>
      <c r="U21" s="127">
        <f t="shared" si="4"/>
        <v>5.940409266351617</v>
      </c>
      <c r="V21" s="126">
        <v>40</v>
      </c>
      <c r="W21" s="126">
        <f t="shared" si="5"/>
        <v>26400</v>
      </c>
      <c r="X21" s="126">
        <f t="shared" si="6"/>
        <v>660</v>
      </c>
      <c r="Y21" s="128" t="s">
        <v>34</v>
      </c>
      <c r="Z21" s="119" t="s">
        <v>35</v>
      </c>
      <c r="AA21" s="119" t="s">
        <v>35</v>
      </c>
      <c r="AB21" s="119" t="s">
        <v>36</v>
      </c>
      <c r="AC21" s="119">
        <v>0</v>
      </c>
      <c r="AD21" s="119">
        <v>0</v>
      </c>
      <c r="AE21" s="119" t="s">
        <v>58</v>
      </c>
      <c r="AF21" s="119" t="s">
        <v>35</v>
      </c>
      <c r="AG21" s="119" t="s">
        <v>38</v>
      </c>
      <c r="AH21" s="119" t="s">
        <v>39</v>
      </c>
    </row>
    <row r="22" spans="1:34" x14ac:dyDescent="0.3">
      <c r="A22" s="118" t="s">
        <v>36</v>
      </c>
      <c r="B22" s="119" t="s">
        <v>84</v>
      </c>
      <c r="C22" s="119" t="s">
        <v>85</v>
      </c>
      <c r="D22" s="120">
        <v>45492</v>
      </c>
      <c r="E22" s="121">
        <v>180000</v>
      </c>
      <c r="F22" s="119" t="s">
        <v>32</v>
      </c>
      <c r="G22" s="119" t="s">
        <v>33</v>
      </c>
      <c r="H22" s="121">
        <v>180000</v>
      </c>
      <c r="I22" s="121">
        <v>60600</v>
      </c>
      <c r="J22" s="122">
        <f t="shared" si="0"/>
        <v>33.666666666666664</v>
      </c>
      <c r="K22" s="121">
        <v>148727</v>
      </c>
      <c r="L22" s="121">
        <f>H22-139322</f>
        <v>40678</v>
      </c>
      <c r="M22" s="121">
        <v>9405</v>
      </c>
      <c r="N22" s="123">
        <f t="shared" si="1"/>
        <v>5.2249999999999998E-2</v>
      </c>
      <c r="O22" s="124">
        <v>50.83</v>
      </c>
      <c r="P22" s="125">
        <v>115</v>
      </c>
      <c r="Q22" s="126">
        <v>0.14000000000000001</v>
      </c>
      <c r="R22" s="126">
        <v>0.14000000000000001</v>
      </c>
      <c r="S22" s="121">
        <f t="shared" si="2"/>
        <v>800.27542789691131</v>
      </c>
      <c r="T22" s="121">
        <f t="shared" si="3"/>
        <v>290557.14285714284</v>
      </c>
      <c r="U22" s="127">
        <f t="shared" si="4"/>
        <v>6.6702741702741699</v>
      </c>
      <c r="V22" s="126">
        <v>53</v>
      </c>
      <c r="W22" s="126">
        <f t="shared" si="5"/>
        <v>36000</v>
      </c>
      <c r="X22" s="126">
        <f t="shared" si="6"/>
        <v>679.24528301886789</v>
      </c>
      <c r="Y22" s="128" t="s">
        <v>34</v>
      </c>
      <c r="Z22" s="119" t="s">
        <v>35</v>
      </c>
      <c r="AA22" s="119" t="s">
        <v>35</v>
      </c>
      <c r="AB22" s="119" t="s">
        <v>36</v>
      </c>
      <c r="AC22" s="119">
        <v>0</v>
      </c>
      <c r="AD22" s="119">
        <v>0</v>
      </c>
      <c r="AE22" s="119" t="s">
        <v>37</v>
      </c>
      <c r="AF22" s="119" t="s">
        <v>43</v>
      </c>
      <c r="AG22" s="119" t="s">
        <v>38</v>
      </c>
      <c r="AH22" s="119" t="s">
        <v>39</v>
      </c>
    </row>
    <row r="23" spans="1:34" x14ac:dyDescent="0.3">
      <c r="A23" s="107" t="s">
        <v>36</v>
      </c>
      <c r="B23" s="108" t="s">
        <v>40</v>
      </c>
      <c r="C23" s="108" t="s">
        <v>41</v>
      </c>
      <c r="D23" s="109">
        <v>45392</v>
      </c>
      <c r="E23" s="110">
        <v>138500</v>
      </c>
      <c r="F23" s="108" t="s">
        <v>32</v>
      </c>
      <c r="G23" s="108" t="s">
        <v>33</v>
      </c>
      <c r="H23" s="110">
        <v>138500</v>
      </c>
      <c r="I23" s="110">
        <v>51000</v>
      </c>
      <c r="J23" s="111">
        <f t="shared" si="0"/>
        <v>36.823104693140799</v>
      </c>
      <c r="K23" s="110">
        <v>124238</v>
      </c>
      <c r="L23" s="110">
        <f>H23-117109</f>
        <v>21391</v>
      </c>
      <c r="M23" s="110">
        <v>7129</v>
      </c>
      <c r="N23" s="112">
        <f t="shared" si="1"/>
        <v>5.147292418772563E-2</v>
      </c>
      <c r="O23" s="113">
        <v>38.53</v>
      </c>
      <c r="P23" s="114">
        <v>116</v>
      </c>
      <c r="Q23" s="115">
        <v>0.107</v>
      </c>
      <c r="R23" s="115">
        <v>0.107</v>
      </c>
      <c r="S23" s="110">
        <f t="shared" si="2"/>
        <v>555.17778354528934</v>
      </c>
      <c r="T23" s="110">
        <f t="shared" si="3"/>
        <v>199915.88785046729</v>
      </c>
      <c r="U23" s="116">
        <f t="shared" si="4"/>
        <v>4.5894372784772104</v>
      </c>
      <c r="V23" s="115">
        <v>40</v>
      </c>
      <c r="W23" s="115">
        <f t="shared" si="5"/>
        <v>27700</v>
      </c>
      <c r="X23" s="115">
        <f t="shared" si="6"/>
        <v>692.5</v>
      </c>
      <c r="Y23" s="117" t="s">
        <v>34</v>
      </c>
      <c r="Z23" s="108" t="s">
        <v>35</v>
      </c>
      <c r="AA23" s="108" t="s">
        <v>35</v>
      </c>
      <c r="AB23" s="108" t="s">
        <v>36</v>
      </c>
      <c r="AC23" s="108">
        <v>0</v>
      </c>
      <c r="AD23" s="108">
        <v>1</v>
      </c>
      <c r="AE23" s="108" t="s">
        <v>42</v>
      </c>
      <c r="AF23" s="108" t="s">
        <v>43</v>
      </c>
      <c r="AG23" s="108" t="s">
        <v>38</v>
      </c>
      <c r="AH23" s="108" t="s">
        <v>39</v>
      </c>
    </row>
    <row r="24" spans="1:34" x14ac:dyDescent="0.3">
      <c r="A24" s="118" t="s">
        <v>36</v>
      </c>
      <c r="B24" s="119" t="s">
        <v>46</v>
      </c>
      <c r="C24" s="119" t="s">
        <v>47</v>
      </c>
      <c r="D24" s="120">
        <v>45062</v>
      </c>
      <c r="E24" s="121">
        <v>140000</v>
      </c>
      <c r="F24" s="119" t="s">
        <v>32</v>
      </c>
      <c r="G24" s="119" t="s">
        <v>33</v>
      </c>
      <c r="H24" s="121">
        <v>140000</v>
      </c>
      <c r="I24" s="121">
        <v>49400</v>
      </c>
      <c r="J24" s="122">
        <f t="shared" si="0"/>
        <v>35.285714285714285</v>
      </c>
      <c r="K24" s="121">
        <v>137264</v>
      </c>
      <c r="L24" s="121">
        <f>H24-129864</f>
        <v>10136</v>
      </c>
      <c r="M24" s="121">
        <v>7400</v>
      </c>
      <c r="N24" s="123">
        <f t="shared" si="1"/>
        <v>5.2857142857142859E-2</v>
      </c>
      <c r="O24" s="124">
        <v>40</v>
      </c>
      <c r="P24" s="125">
        <v>125</v>
      </c>
      <c r="Q24" s="126">
        <v>0.115</v>
      </c>
      <c r="R24" s="126">
        <v>0.115</v>
      </c>
      <c r="S24" s="121">
        <f t="shared" si="2"/>
        <v>253.4</v>
      </c>
      <c r="T24" s="121">
        <f t="shared" si="3"/>
        <v>88139.130434782608</v>
      </c>
      <c r="U24" s="127">
        <f t="shared" si="4"/>
        <v>2.023396015490877</v>
      </c>
      <c r="V24" s="126">
        <v>40</v>
      </c>
      <c r="W24" s="126">
        <f t="shared" si="5"/>
        <v>28000</v>
      </c>
      <c r="X24" s="126">
        <f t="shared" si="6"/>
        <v>700</v>
      </c>
      <c r="Y24" s="128" t="s">
        <v>34</v>
      </c>
      <c r="Z24" s="119" t="s">
        <v>35</v>
      </c>
      <c r="AA24" s="119" t="s">
        <v>35</v>
      </c>
      <c r="AB24" s="119" t="s">
        <v>36</v>
      </c>
      <c r="AC24" s="119">
        <v>0</v>
      </c>
      <c r="AD24" s="119">
        <v>1</v>
      </c>
      <c r="AE24" s="119" t="s">
        <v>37</v>
      </c>
      <c r="AF24" s="119" t="s">
        <v>43</v>
      </c>
      <c r="AG24" s="119" t="s">
        <v>38</v>
      </c>
      <c r="AH24" s="119" t="s">
        <v>39</v>
      </c>
    </row>
    <row r="25" spans="1:34" x14ac:dyDescent="0.3">
      <c r="A25" s="107" t="s">
        <v>36</v>
      </c>
      <c r="B25" s="108" t="s">
        <v>167</v>
      </c>
      <c r="C25" s="108" t="s">
        <v>168</v>
      </c>
      <c r="D25" s="109">
        <v>45519</v>
      </c>
      <c r="E25" s="110">
        <v>160000</v>
      </c>
      <c r="F25" s="108" t="s">
        <v>32</v>
      </c>
      <c r="G25" s="108" t="s">
        <v>33</v>
      </c>
      <c r="H25" s="110">
        <v>160000</v>
      </c>
      <c r="I25" s="110">
        <v>62700</v>
      </c>
      <c r="J25" s="111">
        <f t="shared" si="0"/>
        <v>39.1875</v>
      </c>
      <c r="K25" s="110">
        <v>153970</v>
      </c>
      <c r="L25" s="110">
        <f>H25-146181</f>
        <v>13819</v>
      </c>
      <c r="M25" s="110">
        <v>7789</v>
      </c>
      <c r="N25" s="112">
        <f t="shared" si="1"/>
        <v>4.8681250000000002E-2</v>
      </c>
      <c r="O25" s="113">
        <v>42.1</v>
      </c>
      <c r="P25" s="114">
        <v>138.5</v>
      </c>
      <c r="Q25" s="115">
        <v>0.127</v>
      </c>
      <c r="R25" s="115">
        <v>0.127</v>
      </c>
      <c r="S25" s="110">
        <f t="shared" si="2"/>
        <v>328.24228028503563</v>
      </c>
      <c r="T25" s="110">
        <f t="shared" si="3"/>
        <v>108811.02362204724</v>
      </c>
      <c r="U25" s="116">
        <f t="shared" si="4"/>
        <v>2.4979573834262454</v>
      </c>
      <c r="V25" s="115">
        <v>40</v>
      </c>
      <c r="W25" s="115">
        <f t="shared" si="5"/>
        <v>32000</v>
      </c>
      <c r="X25" s="115">
        <f t="shared" si="6"/>
        <v>800</v>
      </c>
      <c r="Y25" s="117" t="s">
        <v>34</v>
      </c>
      <c r="Z25" s="108" t="s">
        <v>35</v>
      </c>
      <c r="AA25" s="108" t="s">
        <v>35</v>
      </c>
      <c r="AB25" s="108" t="s">
        <v>36</v>
      </c>
      <c r="AC25" s="108">
        <v>0</v>
      </c>
      <c r="AD25" s="108">
        <v>0</v>
      </c>
      <c r="AE25" s="108" t="s">
        <v>37</v>
      </c>
      <c r="AF25" s="108" t="s">
        <v>43</v>
      </c>
      <c r="AG25" s="108" t="s">
        <v>38</v>
      </c>
      <c r="AH25" s="108" t="s">
        <v>39</v>
      </c>
    </row>
    <row r="26" spans="1:34" x14ac:dyDescent="0.3">
      <c r="A26" s="118" t="s">
        <v>36</v>
      </c>
      <c r="B26" s="119" t="s">
        <v>74</v>
      </c>
      <c r="C26" s="119" t="s">
        <v>75</v>
      </c>
      <c r="D26" s="120">
        <v>45567</v>
      </c>
      <c r="E26" s="121">
        <v>170000</v>
      </c>
      <c r="F26" s="119" t="s">
        <v>32</v>
      </c>
      <c r="G26" s="119" t="s">
        <v>33</v>
      </c>
      <c r="H26" s="121">
        <v>170000</v>
      </c>
      <c r="I26" s="121">
        <v>53700</v>
      </c>
      <c r="J26" s="122">
        <f t="shared" si="0"/>
        <v>31.588235294117645</v>
      </c>
      <c r="K26" s="121">
        <v>132056</v>
      </c>
      <c r="L26" s="121">
        <f>H26-124366</f>
        <v>45634</v>
      </c>
      <c r="M26" s="121">
        <v>7690</v>
      </c>
      <c r="N26" s="123">
        <f t="shared" si="1"/>
        <v>4.5235294117647061E-2</v>
      </c>
      <c r="O26" s="124">
        <v>41.56</v>
      </c>
      <c r="P26" s="125">
        <v>135</v>
      </c>
      <c r="Q26" s="126">
        <v>0.124</v>
      </c>
      <c r="R26" s="126">
        <v>0.124</v>
      </c>
      <c r="S26" s="121">
        <f t="shared" si="2"/>
        <v>1098.0269489894129</v>
      </c>
      <c r="T26" s="121">
        <f t="shared" si="3"/>
        <v>368016.12903225806</v>
      </c>
      <c r="U26" s="127">
        <f t="shared" si="4"/>
        <v>8.4484878106578982</v>
      </c>
      <c r="V26" s="126">
        <v>40</v>
      </c>
      <c r="W26" s="126">
        <f t="shared" si="5"/>
        <v>34000</v>
      </c>
      <c r="X26" s="126">
        <f t="shared" si="6"/>
        <v>850</v>
      </c>
      <c r="Y26" s="128" t="s">
        <v>34</v>
      </c>
      <c r="Z26" s="119" t="s">
        <v>35</v>
      </c>
      <c r="AA26" s="119" t="s">
        <v>35</v>
      </c>
      <c r="AB26" s="119" t="s">
        <v>36</v>
      </c>
      <c r="AC26" s="119">
        <v>0</v>
      </c>
      <c r="AD26" s="119">
        <v>0</v>
      </c>
      <c r="AE26" s="119" t="s">
        <v>76</v>
      </c>
      <c r="AF26" s="119" t="s">
        <v>43</v>
      </c>
      <c r="AG26" s="119" t="s">
        <v>38</v>
      </c>
      <c r="AH26" s="119" t="s">
        <v>39</v>
      </c>
    </row>
    <row r="27" spans="1:34" x14ac:dyDescent="0.3">
      <c r="A27" s="118" t="s">
        <v>174</v>
      </c>
      <c r="B27" s="119" t="s">
        <v>182</v>
      </c>
      <c r="C27" s="119" t="s">
        <v>183</v>
      </c>
      <c r="D27" s="120">
        <v>45380</v>
      </c>
      <c r="E27" s="121">
        <v>172500</v>
      </c>
      <c r="F27" s="119" t="s">
        <v>32</v>
      </c>
      <c r="G27" s="119" t="s">
        <v>33</v>
      </c>
      <c r="H27" s="121">
        <v>172500</v>
      </c>
      <c r="I27" s="121">
        <v>81000</v>
      </c>
      <c r="J27" s="122">
        <f t="shared" si="0"/>
        <v>46.956521739130437</v>
      </c>
      <c r="K27" s="121">
        <v>181653</v>
      </c>
      <c r="L27" s="121">
        <f>H27-171513</f>
        <v>987</v>
      </c>
      <c r="M27" s="121">
        <v>10140</v>
      </c>
      <c r="N27" s="123">
        <f t="shared" si="1"/>
        <v>5.8782608695652175E-2</v>
      </c>
      <c r="O27" s="124">
        <v>78</v>
      </c>
      <c r="P27" s="125">
        <v>120</v>
      </c>
      <c r="Q27" s="126">
        <v>0.215</v>
      </c>
      <c r="R27" s="126">
        <v>0.215</v>
      </c>
      <c r="S27" s="121">
        <f t="shared" si="2"/>
        <v>12.653846153846153</v>
      </c>
      <c r="T27" s="121">
        <f t="shared" si="3"/>
        <v>4590.6976744186049</v>
      </c>
      <c r="U27" s="127">
        <f t="shared" si="4"/>
        <v>0.1053879172272407</v>
      </c>
      <c r="V27" s="126">
        <v>78</v>
      </c>
      <c r="W27" s="126">
        <f t="shared" si="5"/>
        <v>34500</v>
      </c>
      <c r="X27" s="126">
        <f t="shared" si="6"/>
        <v>442.30769230769232</v>
      </c>
      <c r="Y27" s="128" t="s">
        <v>173</v>
      </c>
      <c r="Z27" s="119" t="s">
        <v>35</v>
      </c>
      <c r="AA27" s="119" t="s">
        <v>35</v>
      </c>
      <c r="AB27" s="119" t="s">
        <v>174</v>
      </c>
      <c r="AC27" s="119">
        <v>0</v>
      </c>
      <c r="AD27" s="119">
        <v>1</v>
      </c>
      <c r="AE27" s="119" t="s">
        <v>37</v>
      </c>
      <c r="AF27" s="119" t="s">
        <v>43</v>
      </c>
      <c r="AG27" s="119" t="s">
        <v>38</v>
      </c>
      <c r="AH27" s="119" t="s">
        <v>92</v>
      </c>
    </row>
    <row r="28" spans="1:34" x14ac:dyDescent="0.3">
      <c r="A28" s="118" t="s">
        <v>174</v>
      </c>
      <c r="B28" s="119" t="s">
        <v>171</v>
      </c>
      <c r="C28" s="119" t="s">
        <v>172</v>
      </c>
      <c r="D28" s="120">
        <v>45175</v>
      </c>
      <c r="E28" s="121">
        <v>220100</v>
      </c>
      <c r="F28" s="119" t="s">
        <v>32</v>
      </c>
      <c r="G28" s="119" t="s">
        <v>33</v>
      </c>
      <c r="H28" s="121">
        <v>220100</v>
      </c>
      <c r="I28" s="121">
        <v>92200</v>
      </c>
      <c r="J28" s="122">
        <f t="shared" si="0"/>
        <v>41.890049977283056</v>
      </c>
      <c r="K28" s="121">
        <v>198649</v>
      </c>
      <c r="L28" s="121">
        <f>H28-187744</f>
        <v>32356</v>
      </c>
      <c r="M28" s="121">
        <v>10905</v>
      </c>
      <c r="N28" s="123">
        <f t="shared" si="1"/>
        <v>4.9545661063153112E-2</v>
      </c>
      <c r="O28" s="124">
        <v>83.88</v>
      </c>
      <c r="P28" s="125">
        <v>130.19</v>
      </c>
      <c r="Q28" s="126">
        <v>0.23699999999999999</v>
      </c>
      <c r="R28" s="126">
        <v>0.23699999999999999</v>
      </c>
      <c r="S28" s="121">
        <f t="shared" si="2"/>
        <v>385.74153552694327</v>
      </c>
      <c r="T28" s="121">
        <f t="shared" si="3"/>
        <v>136523.20675105485</v>
      </c>
      <c r="U28" s="127">
        <f t="shared" si="4"/>
        <v>3.1341415691243077</v>
      </c>
      <c r="V28" s="126">
        <v>82.8</v>
      </c>
      <c r="W28" s="126">
        <f t="shared" si="5"/>
        <v>44020</v>
      </c>
      <c r="X28" s="126">
        <f t="shared" si="6"/>
        <v>531.64251207729467</v>
      </c>
      <c r="Y28" s="128" t="s">
        <v>173</v>
      </c>
      <c r="Z28" s="119" t="s">
        <v>35</v>
      </c>
      <c r="AA28" s="119" t="s">
        <v>35</v>
      </c>
      <c r="AB28" s="119" t="s">
        <v>174</v>
      </c>
      <c r="AC28" s="119">
        <v>0</v>
      </c>
      <c r="AD28" s="119">
        <v>1</v>
      </c>
      <c r="AE28" s="119" t="s">
        <v>175</v>
      </c>
      <c r="AF28" s="119" t="s">
        <v>43</v>
      </c>
      <c r="AG28" s="119" t="s">
        <v>38</v>
      </c>
      <c r="AH28" s="119" t="s">
        <v>92</v>
      </c>
    </row>
    <row r="29" spans="1:34" x14ac:dyDescent="0.3">
      <c r="A29" s="118" t="s">
        <v>174</v>
      </c>
      <c r="B29" s="119" t="s">
        <v>184</v>
      </c>
      <c r="C29" s="119" t="s">
        <v>185</v>
      </c>
      <c r="D29" s="120">
        <v>45604</v>
      </c>
      <c r="E29" s="121">
        <v>210000</v>
      </c>
      <c r="F29" s="119" t="s">
        <v>32</v>
      </c>
      <c r="G29" s="119" t="s">
        <v>33</v>
      </c>
      <c r="H29" s="121">
        <v>210000</v>
      </c>
      <c r="I29" s="121">
        <v>106500</v>
      </c>
      <c r="J29" s="122">
        <f t="shared" si="0"/>
        <v>50.714285714285708</v>
      </c>
      <c r="K29" s="121">
        <v>222493</v>
      </c>
      <c r="L29" s="121">
        <f>H29-212228</f>
        <v>-2228</v>
      </c>
      <c r="M29" s="121">
        <v>10265</v>
      </c>
      <c r="N29" s="123">
        <f t="shared" si="1"/>
        <v>4.8880952380952379E-2</v>
      </c>
      <c r="O29" s="124">
        <v>78.95</v>
      </c>
      <c r="P29" s="125">
        <v>133</v>
      </c>
      <c r="Q29" s="126">
        <v>0.22900000000000001</v>
      </c>
      <c r="R29" s="126">
        <v>0.22900000000000001</v>
      </c>
      <c r="S29" s="121">
        <f t="shared" si="2"/>
        <v>-28.220392653578212</v>
      </c>
      <c r="T29" s="121">
        <f t="shared" si="3"/>
        <v>-9729.2576419213965</v>
      </c>
      <c r="U29" s="127">
        <f t="shared" si="4"/>
        <v>-0.22335302208267668</v>
      </c>
      <c r="V29" s="126">
        <v>75</v>
      </c>
      <c r="W29" s="126">
        <f t="shared" si="5"/>
        <v>42000</v>
      </c>
      <c r="X29" s="126">
        <f t="shared" si="6"/>
        <v>560</v>
      </c>
      <c r="Y29" s="128" t="s">
        <v>173</v>
      </c>
      <c r="Z29" s="119" t="s">
        <v>35</v>
      </c>
      <c r="AA29" s="119" t="s">
        <v>35</v>
      </c>
      <c r="AB29" s="119" t="s">
        <v>174</v>
      </c>
      <c r="AC29" s="119">
        <v>0</v>
      </c>
      <c r="AD29" s="119">
        <v>1</v>
      </c>
      <c r="AE29" s="119" t="s">
        <v>186</v>
      </c>
      <c r="AF29" s="119" t="s">
        <v>35</v>
      </c>
      <c r="AG29" s="119" t="s">
        <v>38</v>
      </c>
      <c r="AH29" s="119" t="s">
        <v>92</v>
      </c>
    </row>
    <row r="30" spans="1:34" x14ac:dyDescent="0.3">
      <c r="A30" s="107" t="s">
        <v>174</v>
      </c>
      <c r="B30" s="108" t="s">
        <v>187</v>
      </c>
      <c r="C30" s="108" t="s">
        <v>188</v>
      </c>
      <c r="D30" s="109">
        <v>45636</v>
      </c>
      <c r="E30" s="110">
        <v>235000</v>
      </c>
      <c r="F30" s="108" t="s">
        <v>32</v>
      </c>
      <c r="G30" s="108" t="s">
        <v>33</v>
      </c>
      <c r="H30" s="110">
        <v>235000</v>
      </c>
      <c r="I30" s="110">
        <v>123700</v>
      </c>
      <c r="J30" s="111">
        <f t="shared" si="0"/>
        <v>52.638297872340424</v>
      </c>
      <c r="K30" s="110">
        <v>249807</v>
      </c>
      <c r="L30" s="110">
        <f>H30-237838</f>
        <v>-2838</v>
      </c>
      <c r="M30" s="110">
        <v>11969</v>
      </c>
      <c r="N30" s="112">
        <f t="shared" si="1"/>
        <v>5.0931914893617022E-2</v>
      </c>
      <c r="O30" s="113">
        <v>92.07</v>
      </c>
      <c r="P30" s="114">
        <v>207.6</v>
      </c>
      <c r="Q30" s="115">
        <v>0.33600000000000002</v>
      </c>
      <c r="R30" s="115">
        <v>0.33400000000000002</v>
      </c>
      <c r="S30" s="110">
        <f t="shared" si="2"/>
        <v>-30.824372759856633</v>
      </c>
      <c r="T30" s="110">
        <f t="shared" si="3"/>
        <v>-8446.4285714285706</v>
      </c>
      <c r="U30" s="116">
        <f t="shared" si="4"/>
        <v>-0.19390331890331888</v>
      </c>
      <c r="V30" s="115">
        <v>70</v>
      </c>
      <c r="W30" s="115">
        <f t="shared" si="5"/>
        <v>47000</v>
      </c>
      <c r="X30" s="115">
        <f t="shared" si="6"/>
        <v>671.42857142857144</v>
      </c>
      <c r="Y30" s="117" t="s">
        <v>173</v>
      </c>
      <c r="Z30" s="108" t="s">
        <v>35</v>
      </c>
      <c r="AA30" s="108" t="s">
        <v>35</v>
      </c>
      <c r="AB30" s="108" t="s">
        <v>174</v>
      </c>
      <c r="AC30" s="108">
        <v>0</v>
      </c>
      <c r="AD30" s="108">
        <v>1</v>
      </c>
      <c r="AE30" s="108" t="s">
        <v>42</v>
      </c>
      <c r="AF30" s="108" t="s">
        <v>35</v>
      </c>
      <c r="AG30" s="108" t="s">
        <v>38</v>
      </c>
      <c r="AH30" s="108" t="s">
        <v>92</v>
      </c>
    </row>
    <row r="31" spans="1:34" x14ac:dyDescent="0.3">
      <c r="A31" s="107" t="s">
        <v>174</v>
      </c>
      <c r="B31" s="108" t="s">
        <v>180</v>
      </c>
      <c r="C31" s="108" t="s">
        <v>181</v>
      </c>
      <c r="D31" s="109">
        <v>45414</v>
      </c>
      <c r="E31" s="110">
        <v>287000</v>
      </c>
      <c r="F31" s="108" t="s">
        <v>32</v>
      </c>
      <c r="G31" s="108" t="s">
        <v>33</v>
      </c>
      <c r="H31" s="110">
        <v>287000</v>
      </c>
      <c r="I31" s="110">
        <v>98800</v>
      </c>
      <c r="J31" s="111">
        <f t="shared" si="0"/>
        <v>34.425087108013933</v>
      </c>
      <c r="K31" s="110">
        <v>198800</v>
      </c>
      <c r="L31" s="110">
        <f>H31-188400</f>
        <v>98600</v>
      </c>
      <c r="M31" s="110">
        <v>10400</v>
      </c>
      <c r="N31" s="112">
        <f t="shared" si="1"/>
        <v>3.6236933797909411E-2</v>
      </c>
      <c r="O31" s="113">
        <v>80</v>
      </c>
      <c r="P31" s="114">
        <v>120</v>
      </c>
      <c r="Q31" s="115">
        <v>0.22</v>
      </c>
      <c r="R31" s="115">
        <v>0.22</v>
      </c>
      <c r="S31" s="110">
        <f t="shared" si="2"/>
        <v>1232.5</v>
      </c>
      <c r="T31" s="110">
        <f t="shared" si="3"/>
        <v>448181.81818181818</v>
      </c>
      <c r="U31" s="116">
        <f t="shared" si="4"/>
        <v>10.288838801235496</v>
      </c>
      <c r="V31" s="115">
        <v>80</v>
      </c>
      <c r="W31" s="115">
        <f t="shared" si="5"/>
        <v>57400</v>
      </c>
      <c r="X31" s="115">
        <f t="shared" si="6"/>
        <v>717.5</v>
      </c>
      <c r="Y31" s="117" t="s">
        <v>173</v>
      </c>
      <c r="Z31" s="108" t="s">
        <v>35</v>
      </c>
      <c r="AA31" s="108" t="s">
        <v>35</v>
      </c>
      <c r="AB31" s="108" t="s">
        <v>174</v>
      </c>
      <c r="AC31" s="108">
        <v>0</v>
      </c>
      <c r="AD31" s="108">
        <v>1</v>
      </c>
      <c r="AE31" s="108" t="s">
        <v>37</v>
      </c>
      <c r="AF31" s="108" t="s">
        <v>43</v>
      </c>
      <c r="AG31" s="108" t="s">
        <v>38</v>
      </c>
      <c r="AH31" s="108" t="s">
        <v>92</v>
      </c>
    </row>
    <row r="32" spans="1:34" x14ac:dyDescent="0.3">
      <c r="A32" s="118" t="s">
        <v>174</v>
      </c>
      <c r="B32" s="119" t="s">
        <v>176</v>
      </c>
      <c r="C32" s="119" t="s">
        <v>177</v>
      </c>
      <c r="D32" s="120">
        <v>45716</v>
      </c>
      <c r="E32" s="121">
        <v>241000</v>
      </c>
      <c r="F32" s="119" t="s">
        <v>32</v>
      </c>
      <c r="G32" s="119" t="s">
        <v>33</v>
      </c>
      <c r="H32" s="121">
        <v>241000</v>
      </c>
      <c r="I32" s="121">
        <v>77900</v>
      </c>
      <c r="J32" s="122">
        <f t="shared" si="0"/>
        <v>32.323651452282157</v>
      </c>
      <c r="K32" s="121">
        <v>152183</v>
      </c>
      <c r="L32" s="121">
        <f>H32-146983</f>
        <v>94017</v>
      </c>
      <c r="M32" s="121">
        <v>5200</v>
      </c>
      <c r="N32" s="123">
        <f t="shared" si="1"/>
        <v>2.1576763485477178E-2</v>
      </c>
      <c r="O32" s="124">
        <v>40</v>
      </c>
      <c r="P32" s="125">
        <v>120</v>
      </c>
      <c r="Q32" s="126">
        <v>0.11</v>
      </c>
      <c r="R32" s="126">
        <v>0.11</v>
      </c>
      <c r="S32" s="121">
        <f t="shared" si="2"/>
        <v>2350.4250000000002</v>
      </c>
      <c r="T32" s="121">
        <f t="shared" si="3"/>
        <v>854700</v>
      </c>
      <c r="U32" s="127">
        <f t="shared" si="4"/>
        <v>19.621212121212121</v>
      </c>
      <c r="V32" s="126">
        <v>40</v>
      </c>
      <c r="W32" s="126">
        <f t="shared" si="5"/>
        <v>48200</v>
      </c>
      <c r="X32" s="126">
        <f t="shared" si="6"/>
        <v>1205</v>
      </c>
      <c r="Y32" s="128" t="s">
        <v>173</v>
      </c>
      <c r="Z32" s="119" t="s">
        <v>35</v>
      </c>
      <c r="AA32" s="119" t="s">
        <v>35</v>
      </c>
      <c r="AB32" s="119" t="s">
        <v>174</v>
      </c>
      <c r="AC32" s="119">
        <v>0</v>
      </c>
      <c r="AD32" s="119">
        <v>1</v>
      </c>
      <c r="AE32" s="119" t="s">
        <v>37</v>
      </c>
      <c r="AF32" s="119" t="s">
        <v>35</v>
      </c>
      <c r="AG32" s="119" t="s">
        <v>38</v>
      </c>
      <c r="AH32" s="119" t="s">
        <v>92</v>
      </c>
    </row>
    <row r="33" spans="1:34" x14ac:dyDescent="0.3">
      <c r="A33" s="107" t="s">
        <v>174</v>
      </c>
      <c r="B33" s="108" t="s">
        <v>178</v>
      </c>
      <c r="C33" s="108" t="s">
        <v>179</v>
      </c>
      <c r="D33" s="109">
        <v>45303</v>
      </c>
      <c r="E33" s="110">
        <v>295000</v>
      </c>
      <c r="F33" s="108" t="s">
        <v>32</v>
      </c>
      <c r="G33" s="108" t="s">
        <v>33</v>
      </c>
      <c r="H33" s="110">
        <v>295000</v>
      </c>
      <c r="I33" s="110">
        <v>151900</v>
      </c>
      <c r="J33" s="111">
        <f t="shared" si="0"/>
        <v>51.49152542372881</v>
      </c>
      <c r="K33" s="110">
        <v>322643</v>
      </c>
      <c r="L33" s="110">
        <f>H33-317443</f>
        <v>-22443</v>
      </c>
      <c r="M33" s="110">
        <v>5200</v>
      </c>
      <c r="N33" s="112">
        <f t="shared" si="1"/>
        <v>1.7627118644067796E-2</v>
      </c>
      <c r="O33" s="113">
        <v>40</v>
      </c>
      <c r="P33" s="114">
        <v>120</v>
      </c>
      <c r="Q33" s="115">
        <v>0.11</v>
      </c>
      <c r="R33" s="115">
        <v>0.11</v>
      </c>
      <c r="S33" s="110">
        <f t="shared" si="2"/>
        <v>-561.07500000000005</v>
      </c>
      <c r="T33" s="110">
        <f t="shared" si="3"/>
        <v>-204027.27272727274</v>
      </c>
      <c r="U33" s="116">
        <f t="shared" si="4"/>
        <v>-4.6838216879539196</v>
      </c>
      <c r="V33" s="115">
        <v>40</v>
      </c>
      <c r="W33" s="115">
        <f t="shared" si="5"/>
        <v>59000</v>
      </c>
      <c r="X33" s="115">
        <f t="shared" si="6"/>
        <v>1475</v>
      </c>
      <c r="Y33" s="117" t="s">
        <v>173</v>
      </c>
      <c r="Z33" s="108" t="s">
        <v>35</v>
      </c>
      <c r="AA33" s="108" t="s">
        <v>35</v>
      </c>
      <c r="AB33" s="108" t="s">
        <v>174</v>
      </c>
      <c r="AC33" s="108">
        <v>0</v>
      </c>
      <c r="AD33" s="108">
        <v>1</v>
      </c>
      <c r="AE33" s="108" t="s">
        <v>37</v>
      </c>
      <c r="AF33" s="108" t="s">
        <v>43</v>
      </c>
      <c r="AG33" s="108" t="s">
        <v>38</v>
      </c>
      <c r="AH33" s="108" t="s">
        <v>92</v>
      </c>
    </row>
    <row r="34" spans="1:34" x14ac:dyDescent="0.3">
      <c r="A34" s="118" t="s">
        <v>267</v>
      </c>
      <c r="B34" s="119" t="s">
        <v>582</v>
      </c>
      <c r="C34" s="119" t="s">
        <v>583</v>
      </c>
      <c r="D34" s="120">
        <v>45712</v>
      </c>
      <c r="E34" s="121">
        <v>6201</v>
      </c>
      <c r="F34" s="119" t="s">
        <v>32</v>
      </c>
      <c r="G34" s="119" t="s">
        <v>33</v>
      </c>
      <c r="H34" s="121">
        <v>6201</v>
      </c>
      <c r="I34" s="121">
        <v>3900</v>
      </c>
      <c r="J34" s="122">
        <f t="shared" si="0"/>
        <v>62.893081761006286</v>
      </c>
      <c r="K34" s="121">
        <v>8274</v>
      </c>
      <c r="L34" s="121">
        <f>H34-0</f>
        <v>6201</v>
      </c>
      <c r="M34" s="121">
        <v>8274</v>
      </c>
      <c r="N34" s="123">
        <f t="shared" si="1"/>
        <v>1.3343009192065796</v>
      </c>
      <c r="O34" s="124">
        <v>40.75</v>
      </c>
      <c r="P34" s="125">
        <v>129.78</v>
      </c>
      <c r="Q34" s="126">
        <v>0.11899999999999999</v>
      </c>
      <c r="R34" s="126">
        <v>0.11899999999999999</v>
      </c>
      <c r="S34" s="121">
        <f t="shared" si="2"/>
        <v>152.17177914110428</v>
      </c>
      <c r="T34" s="121">
        <f t="shared" si="3"/>
        <v>52109.243697478996</v>
      </c>
      <c r="U34" s="127">
        <f t="shared" si="4"/>
        <v>1.1962636294187097</v>
      </c>
      <c r="V34" s="126">
        <v>40</v>
      </c>
      <c r="W34" s="126">
        <f t="shared" si="5"/>
        <v>1240.2</v>
      </c>
      <c r="X34" s="126">
        <f t="shared" si="6"/>
        <v>31.005000000000003</v>
      </c>
      <c r="Y34" s="128" t="s">
        <v>266</v>
      </c>
      <c r="Z34" s="119" t="s">
        <v>35</v>
      </c>
      <c r="AA34" s="119" t="s">
        <v>35</v>
      </c>
      <c r="AB34" s="119" t="s">
        <v>267</v>
      </c>
      <c r="AC34" s="119">
        <v>0</v>
      </c>
      <c r="AD34" s="119">
        <v>0</v>
      </c>
      <c r="AE34" s="119" t="s">
        <v>42</v>
      </c>
      <c r="AF34" s="119" t="s">
        <v>35</v>
      </c>
      <c r="AG34" s="119" t="s">
        <v>61</v>
      </c>
      <c r="AH34" s="119" t="s">
        <v>92</v>
      </c>
    </row>
    <row r="35" spans="1:34" x14ac:dyDescent="0.3">
      <c r="A35" s="118" t="s">
        <v>267</v>
      </c>
      <c r="B35" s="119" t="s">
        <v>268</v>
      </c>
      <c r="C35" s="119" t="s">
        <v>269</v>
      </c>
      <c r="D35" s="120">
        <v>45719</v>
      </c>
      <c r="E35" s="121">
        <v>13000</v>
      </c>
      <c r="F35" s="119" t="s">
        <v>32</v>
      </c>
      <c r="G35" s="119" t="s">
        <v>33</v>
      </c>
      <c r="H35" s="121">
        <v>13000</v>
      </c>
      <c r="I35" s="121">
        <v>61500</v>
      </c>
      <c r="J35" s="122">
        <f t="shared" si="0"/>
        <v>473.07692307692309</v>
      </c>
      <c r="K35" s="121">
        <v>8281</v>
      </c>
      <c r="L35" s="121">
        <f>H35-0</f>
        <v>13000</v>
      </c>
      <c r="M35" s="121">
        <v>8281</v>
      </c>
      <c r="N35" s="123">
        <f t="shared" si="1"/>
        <v>0.63700000000000001</v>
      </c>
      <c r="O35" s="124">
        <v>40.79</v>
      </c>
      <c r="P35" s="125">
        <v>130</v>
      </c>
      <c r="Q35" s="126">
        <v>0.11899999999999999</v>
      </c>
      <c r="R35" s="126">
        <v>0.11899999999999999</v>
      </c>
      <c r="S35" s="121">
        <f t="shared" si="2"/>
        <v>318.70556508948272</v>
      </c>
      <c r="T35" s="121">
        <f t="shared" si="3"/>
        <v>109243.6974789916</v>
      </c>
      <c r="U35" s="127">
        <f t="shared" si="4"/>
        <v>2.5078902084249677</v>
      </c>
      <c r="V35" s="126">
        <v>40</v>
      </c>
      <c r="W35" s="126">
        <f t="shared" si="5"/>
        <v>2600</v>
      </c>
      <c r="X35" s="126">
        <f t="shared" si="6"/>
        <v>65</v>
      </c>
      <c r="Y35" s="128" t="s">
        <v>266</v>
      </c>
      <c r="Z35" s="119" t="s">
        <v>35</v>
      </c>
      <c r="AA35" s="119" t="s">
        <v>35</v>
      </c>
      <c r="AB35" s="119" t="s">
        <v>267</v>
      </c>
      <c r="AC35" s="119">
        <v>0</v>
      </c>
      <c r="AD35" s="119">
        <v>1</v>
      </c>
      <c r="AE35" s="119" t="s">
        <v>42</v>
      </c>
      <c r="AF35" s="119" t="s">
        <v>35</v>
      </c>
      <c r="AG35" s="119" t="s">
        <v>61</v>
      </c>
      <c r="AH35" s="119" t="s">
        <v>92</v>
      </c>
    </row>
    <row r="36" spans="1:34" x14ac:dyDescent="0.3">
      <c r="A36" s="118" t="s">
        <v>267</v>
      </c>
      <c r="B36" s="119" t="s">
        <v>320</v>
      </c>
      <c r="C36" s="119" t="s">
        <v>321</v>
      </c>
      <c r="D36" s="120">
        <v>45687</v>
      </c>
      <c r="E36" s="121">
        <v>50000</v>
      </c>
      <c r="F36" s="119" t="s">
        <v>32</v>
      </c>
      <c r="G36" s="119" t="s">
        <v>33</v>
      </c>
      <c r="H36" s="121">
        <v>50000</v>
      </c>
      <c r="I36" s="121">
        <v>41500</v>
      </c>
      <c r="J36" s="122">
        <f t="shared" si="0"/>
        <v>83</v>
      </c>
      <c r="K36" s="121">
        <v>93655</v>
      </c>
      <c r="L36" s="121">
        <f>H36-79473</f>
        <v>-29473</v>
      </c>
      <c r="M36" s="121">
        <v>14182</v>
      </c>
      <c r="N36" s="123">
        <f t="shared" si="1"/>
        <v>0.28364</v>
      </c>
      <c r="O36" s="124">
        <v>69.849999999999994</v>
      </c>
      <c r="P36" s="125">
        <v>124.5</v>
      </c>
      <c r="Q36" s="126">
        <v>0.2</v>
      </c>
      <c r="R36" s="126">
        <v>0.2</v>
      </c>
      <c r="S36" s="121">
        <f t="shared" si="2"/>
        <v>-421.94702934860419</v>
      </c>
      <c r="T36" s="121">
        <f t="shared" si="3"/>
        <v>-147365</v>
      </c>
      <c r="U36" s="127">
        <f t="shared" si="4"/>
        <v>-3.3830348943985307</v>
      </c>
      <c r="V36" s="126">
        <v>70</v>
      </c>
      <c r="W36" s="126">
        <f t="shared" si="5"/>
        <v>10000</v>
      </c>
      <c r="X36" s="126">
        <f t="shared" si="6"/>
        <v>142.85714285714286</v>
      </c>
      <c r="Y36" s="128" t="s">
        <v>266</v>
      </c>
      <c r="Z36" s="119" t="s">
        <v>35</v>
      </c>
      <c r="AA36" s="119" t="s">
        <v>35</v>
      </c>
      <c r="AB36" s="119" t="s">
        <v>267</v>
      </c>
      <c r="AC36" s="119">
        <v>0</v>
      </c>
      <c r="AD36" s="119">
        <v>1</v>
      </c>
      <c r="AE36" s="119" t="s">
        <v>42</v>
      </c>
      <c r="AF36" s="119" t="s">
        <v>35</v>
      </c>
      <c r="AG36" s="119" t="s">
        <v>38</v>
      </c>
      <c r="AH36" s="119" t="s">
        <v>92</v>
      </c>
    </row>
    <row r="37" spans="1:34" x14ac:dyDescent="0.3">
      <c r="A37" s="118" t="s">
        <v>267</v>
      </c>
      <c r="B37" s="119" t="s">
        <v>540</v>
      </c>
      <c r="C37" s="119" t="s">
        <v>541</v>
      </c>
      <c r="D37" s="120">
        <v>45058</v>
      </c>
      <c r="E37" s="121">
        <v>121900</v>
      </c>
      <c r="F37" s="119" t="s">
        <v>32</v>
      </c>
      <c r="G37" s="119" t="s">
        <v>33</v>
      </c>
      <c r="H37" s="121">
        <v>121900</v>
      </c>
      <c r="I37" s="121">
        <v>62500</v>
      </c>
      <c r="J37" s="122">
        <f t="shared" si="0"/>
        <v>51.271534044298605</v>
      </c>
      <c r="K37" s="121">
        <v>160488</v>
      </c>
      <c r="L37" s="121">
        <f>H37-117594</f>
        <v>4306</v>
      </c>
      <c r="M37" s="121">
        <v>42894</v>
      </c>
      <c r="N37" s="123">
        <f t="shared" si="1"/>
        <v>0.35187858900738311</v>
      </c>
      <c r="O37" s="124">
        <v>211.3</v>
      </c>
      <c r="P37" s="125">
        <v>286.26</v>
      </c>
      <c r="Q37" s="126">
        <v>0.91800000000000004</v>
      </c>
      <c r="R37" s="126">
        <v>0.91800000000000004</v>
      </c>
      <c r="S37" s="121">
        <f t="shared" si="2"/>
        <v>20.378608613345953</v>
      </c>
      <c r="T37" s="121">
        <f t="shared" si="3"/>
        <v>4690.6318082788666</v>
      </c>
      <c r="U37" s="127">
        <f t="shared" si="4"/>
        <v>0.10768208926260024</v>
      </c>
      <c r="V37" s="126">
        <v>139.63</v>
      </c>
      <c r="W37" s="126">
        <f t="shared" si="5"/>
        <v>24380</v>
      </c>
      <c r="X37" s="126">
        <f t="shared" si="6"/>
        <v>174.6043113943995</v>
      </c>
      <c r="Y37" s="128" t="s">
        <v>266</v>
      </c>
      <c r="Z37" s="119" t="s">
        <v>35</v>
      </c>
      <c r="AA37" s="119" t="s">
        <v>35</v>
      </c>
      <c r="AB37" s="119" t="s">
        <v>267</v>
      </c>
      <c r="AC37" s="119">
        <v>0</v>
      </c>
      <c r="AD37" s="119">
        <v>1</v>
      </c>
      <c r="AE37" s="119" t="s">
        <v>37</v>
      </c>
      <c r="AF37" s="119" t="s">
        <v>43</v>
      </c>
      <c r="AG37" s="119" t="s">
        <v>38</v>
      </c>
      <c r="AH37" s="119" t="s">
        <v>92</v>
      </c>
    </row>
    <row r="38" spans="1:34" x14ac:dyDescent="0.3">
      <c r="A38" s="107" t="s">
        <v>267</v>
      </c>
      <c r="B38" s="108" t="s">
        <v>584</v>
      </c>
      <c r="C38" s="108" t="s">
        <v>585</v>
      </c>
      <c r="D38" s="109">
        <v>45656</v>
      </c>
      <c r="E38" s="110">
        <v>35000</v>
      </c>
      <c r="F38" s="108" t="s">
        <v>32</v>
      </c>
      <c r="G38" s="108" t="s">
        <v>33</v>
      </c>
      <c r="H38" s="110">
        <v>35000</v>
      </c>
      <c r="I38" s="110">
        <v>48100</v>
      </c>
      <c r="J38" s="111">
        <f t="shared" si="0"/>
        <v>137.42857142857144</v>
      </c>
      <c r="K38" s="110">
        <v>108653</v>
      </c>
      <c r="L38" s="110">
        <f>H38-100379</f>
        <v>-65379</v>
      </c>
      <c r="M38" s="110">
        <v>8274</v>
      </c>
      <c r="N38" s="112">
        <f t="shared" si="1"/>
        <v>0.2364</v>
      </c>
      <c r="O38" s="113">
        <v>40.75</v>
      </c>
      <c r="P38" s="114">
        <v>129.78</v>
      </c>
      <c r="Q38" s="115">
        <v>0.11899999999999999</v>
      </c>
      <c r="R38" s="115">
        <v>0.11899999999999999</v>
      </c>
      <c r="S38" s="110">
        <f t="shared" si="2"/>
        <v>-1604.3926380368098</v>
      </c>
      <c r="T38" s="110">
        <f t="shared" si="3"/>
        <v>-549403.36134453781</v>
      </c>
      <c r="U38" s="116">
        <f t="shared" si="4"/>
        <v>-12.612565687431998</v>
      </c>
      <c r="V38" s="115">
        <v>40</v>
      </c>
      <c r="W38" s="115">
        <f t="shared" si="5"/>
        <v>7000</v>
      </c>
      <c r="X38" s="115">
        <f t="shared" si="6"/>
        <v>175</v>
      </c>
      <c r="Y38" s="117" t="s">
        <v>266</v>
      </c>
      <c r="Z38" s="108" t="s">
        <v>35</v>
      </c>
      <c r="AA38" s="108" t="s">
        <v>35</v>
      </c>
      <c r="AB38" s="108" t="s">
        <v>267</v>
      </c>
      <c r="AC38" s="108">
        <v>0</v>
      </c>
      <c r="AD38" s="108">
        <v>1</v>
      </c>
      <c r="AE38" s="108" t="s">
        <v>42</v>
      </c>
      <c r="AF38" s="108" t="s">
        <v>35</v>
      </c>
      <c r="AG38" s="108" t="s">
        <v>38</v>
      </c>
      <c r="AH38" s="108" t="s">
        <v>92</v>
      </c>
    </row>
    <row r="39" spans="1:34" x14ac:dyDescent="0.3">
      <c r="A39" s="107" t="s">
        <v>267</v>
      </c>
      <c r="B39" s="108" t="s">
        <v>296</v>
      </c>
      <c r="C39" s="108" t="s">
        <v>297</v>
      </c>
      <c r="D39" s="109">
        <v>45265</v>
      </c>
      <c r="E39" s="110">
        <v>145000</v>
      </c>
      <c r="F39" s="108" t="s">
        <v>32</v>
      </c>
      <c r="G39" s="108" t="s">
        <v>33</v>
      </c>
      <c r="H39" s="110">
        <v>145000</v>
      </c>
      <c r="I39" s="110">
        <v>65300</v>
      </c>
      <c r="J39" s="111">
        <f t="shared" si="0"/>
        <v>45.03448275862069</v>
      </c>
      <c r="K39" s="110">
        <v>169635</v>
      </c>
      <c r="L39" s="110">
        <f>H39-136385</f>
        <v>8615</v>
      </c>
      <c r="M39" s="110">
        <v>33250</v>
      </c>
      <c r="N39" s="112">
        <f t="shared" si="1"/>
        <v>0.22931034482758619</v>
      </c>
      <c r="O39" s="113">
        <v>163.79</v>
      </c>
      <c r="P39" s="114">
        <v>131</v>
      </c>
      <c r="Q39" s="115">
        <v>0.48099999999999998</v>
      </c>
      <c r="R39" s="115">
        <v>0.48099999999999998</v>
      </c>
      <c r="S39" s="110">
        <f t="shared" si="2"/>
        <v>52.597838695891085</v>
      </c>
      <c r="T39" s="110">
        <f t="shared" si="3"/>
        <v>17910.602910602913</v>
      </c>
      <c r="U39" s="116">
        <f t="shared" si="4"/>
        <v>0.41117086571632033</v>
      </c>
      <c r="V39" s="115">
        <v>160</v>
      </c>
      <c r="W39" s="115">
        <f t="shared" si="5"/>
        <v>29000</v>
      </c>
      <c r="X39" s="115">
        <f t="shared" si="6"/>
        <v>181.25</v>
      </c>
      <c r="Y39" s="117" t="s">
        <v>266</v>
      </c>
      <c r="Z39" s="108" t="s">
        <v>35</v>
      </c>
      <c r="AA39" s="108" t="s">
        <v>35</v>
      </c>
      <c r="AB39" s="108" t="s">
        <v>267</v>
      </c>
      <c r="AC39" s="108">
        <v>0</v>
      </c>
      <c r="AD39" s="108">
        <v>1</v>
      </c>
      <c r="AE39" s="108" t="s">
        <v>37</v>
      </c>
      <c r="AF39" s="108" t="s">
        <v>43</v>
      </c>
      <c r="AG39" s="108" t="s">
        <v>38</v>
      </c>
      <c r="AH39" s="108" t="s">
        <v>92</v>
      </c>
    </row>
    <row r="40" spans="1:34" x14ac:dyDescent="0.3">
      <c r="A40" s="118" t="s">
        <v>267</v>
      </c>
      <c r="B40" s="119" t="s">
        <v>540</v>
      </c>
      <c r="C40" s="119" t="s">
        <v>541</v>
      </c>
      <c r="D40" s="120">
        <v>45520</v>
      </c>
      <c r="E40" s="121">
        <v>140500</v>
      </c>
      <c r="F40" s="119" t="s">
        <v>32</v>
      </c>
      <c r="G40" s="119" t="s">
        <v>33</v>
      </c>
      <c r="H40" s="121">
        <v>140500</v>
      </c>
      <c r="I40" s="121">
        <v>72100</v>
      </c>
      <c r="J40" s="122">
        <f t="shared" si="0"/>
        <v>51.316725978647682</v>
      </c>
      <c r="K40" s="121">
        <v>160488</v>
      </c>
      <c r="L40" s="121">
        <f>H40-117594</f>
        <v>22906</v>
      </c>
      <c r="M40" s="121">
        <v>42894</v>
      </c>
      <c r="N40" s="123">
        <f t="shared" si="1"/>
        <v>0.30529537366548043</v>
      </c>
      <c r="O40" s="124">
        <v>211.3</v>
      </c>
      <c r="P40" s="125">
        <v>286.26</v>
      </c>
      <c r="Q40" s="126">
        <v>0.91800000000000004</v>
      </c>
      <c r="R40" s="126">
        <v>0.91800000000000004</v>
      </c>
      <c r="S40" s="121">
        <f t="shared" si="2"/>
        <v>108.40511121628016</v>
      </c>
      <c r="T40" s="121">
        <f t="shared" si="3"/>
        <v>24952.069716775597</v>
      </c>
      <c r="U40" s="127">
        <f t="shared" si="4"/>
        <v>0.57282070056876944</v>
      </c>
      <c r="V40" s="126">
        <v>139.63</v>
      </c>
      <c r="W40" s="126">
        <f t="shared" si="5"/>
        <v>28100</v>
      </c>
      <c r="X40" s="126">
        <f t="shared" si="6"/>
        <v>201.24615054071475</v>
      </c>
      <c r="Y40" s="128" t="s">
        <v>266</v>
      </c>
      <c r="Z40" s="119" t="s">
        <v>35</v>
      </c>
      <c r="AA40" s="119" t="s">
        <v>35</v>
      </c>
      <c r="AB40" s="119" t="s">
        <v>267</v>
      </c>
      <c r="AC40" s="119">
        <v>0</v>
      </c>
      <c r="AD40" s="119">
        <v>1</v>
      </c>
      <c r="AE40" s="119" t="s">
        <v>37</v>
      </c>
      <c r="AF40" s="119" t="s">
        <v>43</v>
      </c>
      <c r="AG40" s="119" t="s">
        <v>38</v>
      </c>
      <c r="AH40" s="119" t="s">
        <v>92</v>
      </c>
    </row>
    <row r="41" spans="1:34" x14ac:dyDescent="0.3">
      <c r="A41" s="118" t="s">
        <v>267</v>
      </c>
      <c r="B41" s="119" t="s">
        <v>291</v>
      </c>
      <c r="C41" s="119" t="s">
        <v>292</v>
      </c>
      <c r="D41" s="120">
        <v>45408</v>
      </c>
      <c r="E41" s="121">
        <v>130000</v>
      </c>
      <c r="F41" s="119" t="s">
        <v>32</v>
      </c>
      <c r="G41" s="119" t="s">
        <v>33</v>
      </c>
      <c r="H41" s="121">
        <v>130000</v>
      </c>
      <c r="I41" s="121">
        <v>72500</v>
      </c>
      <c r="J41" s="122">
        <f t="shared" si="0"/>
        <v>55.769230769230774</v>
      </c>
      <c r="K41" s="121">
        <v>156682</v>
      </c>
      <c r="L41" s="121">
        <f>H41-132875</f>
        <v>-2875</v>
      </c>
      <c r="M41" s="121">
        <v>23807</v>
      </c>
      <c r="N41" s="123">
        <f t="shared" si="1"/>
        <v>0.18313076923076924</v>
      </c>
      <c r="O41" s="124">
        <v>117.27</v>
      </c>
      <c r="P41" s="125">
        <v>130</v>
      </c>
      <c r="Q41" s="126">
        <v>0.34300000000000003</v>
      </c>
      <c r="R41" s="126">
        <v>0.34300000000000003</v>
      </c>
      <c r="S41" s="121">
        <f t="shared" si="2"/>
        <v>-24.516074017225208</v>
      </c>
      <c r="T41" s="121">
        <f t="shared" si="3"/>
        <v>-8381.9241982507283</v>
      </c>
      <c r="U41" s="127">
        <f t="shared" si="4"/>
        <v>-0.19242250225552637</v>
      </c>
      <c r="V41" s="126">
        <v>115</v>
      </c>
      <c r="W41" s="126">
        <f t="shared" si="5"/>
        <v>26000</v>
      </c>
      <c r="X41" s="126">
        <f t="shared" si="6"/>
        <v>226.08695652173913</v>
      </c>
      <c r="Y41" s="128" t="s">
        <v>266</v>
      </c>
      <c r="Z41" s="119" t="s">
        <v>35</v>
      </c>
      <c r="AA41" s="119" t="s">
        <v>35</v>
      </c>
      <c r="AB41" s="119" t="s">
        <v>267</v>
      </c>
      <c r="AC41" s="119">
        <v>0</v>
      </c>
      <c r="AD41" s="119">
        <v>1</v>
      </c>
      <c r="AE41" s="119" t="s">
        <v>37</v>
      </c>
      <c r="AF41" s="119" t="s">
        <v>43</v>
      </c>
      <c r="AG41" s="119" t="s">
        <v>38</v>
      </c>
      <c r="AH41" s="119" t="s">
        <v>92</v>
      </c>
    </row>
    <row r="42" spans="1:34" x14ac:dyDescent="0.3">
      <c r="A42" s="107" t="s">
        <v>267</v>
      </c>
      <c r="B42" s="108" t="s">
        <v>586</v>
      </c>
      <c r="C42" s="108" t="s">
        <v>587</v>
      </c>
      <c r="D42" s="109">
        <v>45497</v>
      </c>
      <c r="E42" s="110">
        <v>96500</v>
      </c>
      <c r="F42" s="108" t="s">
        <v>32</v>
      </c>
      <c r="G42" s="108" t="s">
        <v>33</v>
      </c>
      <c r="H42" s="110">
        <v>96500</v>
      </c>
      <c r="I42" s="110">
        <v>51900</v>
      </c>
      <c r="J42" s="111">
        <f t="shared" si="0"/>
        <v>53.782383419689118</v>
      </c>
      <c r="K42" s="110">
        <v>116159</v>
      </c>
      <c r="L42" s="110">
        <f>H42-99611</f>
        <v>-3111</v>
      </c>
      <c r="M42" s="110">
        <v>16548</v>
      </c>
      <c r="N42" s="112">
        <f t="shared" si="1"/>
        <v>0.17148186528497408</v>
      </c>
      <c r="O42" s="113">
        <v>81.510000000000005</v>
      </c>
      <c r="P42" s="114">
        <v>129.78</v>
      </c>
      <c r="Q42" s="115">
        <v>0.23799999999999999</v>
      </c>
      <c r="R42" s="115">
        <v>0.23799999999999999</v>
      </c>
      <c r="S42" s="110">
        <f t="shared" si="2"/>
        <v>-38.1670960618329</v>
      </c>
      <c r="T42" s="110">
        <f t="shared" si="3"/>
        <v>-13071.428571428572</v>
      </c>
      <c r="U42" s="116">
        <f t="shared" si="4"/>
        <v>-0.30007870916961826</v>
      </c>
      <c r="V42" s="115">
        <v>80</v>
      </c>
      <c r="W42" s="115">
        <f t="shared" si="5"/>
        <v>19300</v>
      </c>
      <c r="X42" s="115">
        <f t="shared" si="6"/>
        <v>241.25</v>
      </c>
      <c r="Y42" s="117" t="s">
        <v>266</v>
      </c>
      <c r="Z42" s="108" t="s">
        <v>35</v>
      </c>
      <c r="AA42" s="108" t="s">
        <v>35</v>
      </c>
      <c r="AB42" s="108" t="s">
        <v>267</v>
      </c>
      <c r="AC42" s="108">
        <v>0</v>
      </c>
      <c r="AD42" s="108">
        <v>1</v>
      </c>
      <c r="AE42" s="108" t="s">
        <v>42</v>
      </c>
      <c r="AF42" s="108" t="s">
        <v>43</v>
      </c>
      <c r="AG42" s="108" t="s">
        <v>38</v>
      </c>
      <c r="AH42" s="108" t="s">
        <v>92</v>
      </c>
    </row>
    <row r="43" spans="1:34" x14ac:dyDescent="0.3">
      <c r="A43" s="118" t="s">
        <v>267</v>
      </c>
      <c r="B43" s="119" t="s">
        <v>548</v>
      </c>
      <c r="C43" s="119" t="s">
        <v>549</v>
      </c>
      <c r="D43" s="120">
        <v>45415</v>
      </c>
      <c r="E43" s="121">
        <v>72000</v>
      </c>
      <c r="F43" s="119" t="s">
        <v>32</v>
      </c>
      <c r="G43" s="119" t="s">
        <v>33</v>
      </c>
      <c r="H43" s="121">
        <v>72000</v>
      </c>
      <c r="I43" s="121">
        <v>60100</v>
      </c>
      <c r="J43" s="122">
        <f t="shared" si="0"/>
        <v>83.472222222222229</v>
      </c>
      <c r="K43" s="121">
        <v>135748</v>
      </c>
      <c r="L43" s="121">
        <f>H43-125397</f>
        <v>-53397</v>
      </c>
      <c r="M43" s="121">
        <v>10351</v>
      </c>
      <c r="N43" s="123">
        <f t="shared" si="1"/>
        <v>0.14376388888888889</v>
      </c>
      <c r="O43" s="124">
        <v>50.99</v>
      </c>
      <c r="P43" s="125">
        <v>130</v>
      </c>
      <c r="Q43" s="126">
        <v>0.14899999999999999</v>
      </c>
      <c r="R43" s="126">
        <v>0.14899999999999999</v>
      </c>
      <c r="S43" s="121">
        <f t="shared" si="2"/>
        <v>-1047.20533437929</v>
      </c>
      <c r="T43" s="121">
        <f t="shared" si="3"/>
        <v>-358369.12751677854</v>
      </c>
      <c r="U43" s="127">
        <f t="shared" si="4"/>
        <v>-8.2270231294026299</v>
      </c>
      <c r="V43" s="126">
        <v>50</v>
      </c>
      <c r="W43" s="126">
        <f t="shared" si="5"/>
        <v>14400</v>
      </c>
      <c r="X43" s="126">
        <f t="shared" si="6"/>
        <v>288</v>
      </c>
      <c r="Y43" s="128" t="s">
        <v>266</v>
      </c>
      <c r="Z43" s="119" t="s">
        <v>35</v>
      </c>
      <c r="AA43" s="119" t="s">
        <v>35</v>
      </c>
      <c r="AB43" s="119" t="s">
        <v>267</v>
      </c>
      <c r="AC43" s="119">
        <v>0</v>
      </c>
      <c r="AD43" s="119">
        <v>1</v>
      </c>
      <c r="AE43" s="119" t="s">
        <v>37</v>
      </c>
      <c r="AF43" s="119" t="s">
        <v>43</v>
      </c>
      <c r="AG43" s="119" t="s">
        <v>38</v>
      </c>
      <c r="AH43" s="119" t="s">
        <v>92</v>
      </c>
    </row>
    <row r="44" spans="1:34" x14ac:dyDescent="0.3">
      <c r="A44" s="118" t="s">
        <v>267</v>
      </c>
      <c r="B44" s="119" t="s">
        <v>573</v>
      </c>
      <c r="C44" s="119" t="s">
        <v>574</v>
      </c>
      <c r="D44" s="120">
        <v>45205</v>
      </c>
      <c r="E44" s="121">
        <v>180000</v>
      </c>
      <c r="F44" s="119" t="s">
        <v>32</v>
      </c>
      <c r="G44" s="119" t="s">
        <v>33</v>
      </c>
      <c r="H44" s="121">
        <v>180000</v>
      </c>
      <c r="I44" s="121">
        <v>71400</v>
      </c>
      <c r="J44" s="122">
        <f t="shared" si="0"/>
        <v>39.666666666666664</v>
      </c>
      <c r="K44" s="121">
        <v>187818</v>
      </c>
      <c r="L44" s="121">
        <f>H44-162508</f>
        <v>17492</v>
      </c>
      <c r="M44" s="121">
        <v>25310</v>
      </c>
      <c r="N44" s="123">
        <f t="shared" si="1"/>
        <v>0.1406111111111111</v>
      </c>
      <c r="O44" s="124">
        <v>124.67</v>
      </c>
      <c r="P44" s="125">
        <v>134.94</v>
      </c>
      <c r="Q44" s="126">
        <v>0.372</v>
      </c>
      <c r="R44" s="126">
        <v>0.372</v>
      </c>
      <c r="S44" s="121">
        <f t="shared" si="2"/>
        <v>140.30640891954761</v>
      </c>
      <c r="T44" s="121">
        <f t="shared" si="3"/>
        <v>47021.505376344088</v>
      </c>
      <c r="U44" s="127">
        <f t="shared" si="4"/>
        <v>1.0794652290253464</v>
      </c>
      <c r="V44" s="126">
        <v>120</v>
      </c>
      <c r="W44" s="126">
        <f t="shared" si="5"/>
        <v>36000</v>
      </c>
      <c r="X44" s="126">
        <f t="shared" si="6"/>
        <v>300</v>
      </c>
      <c r="Y44" s="128" t="s">
        <v>266</v>
      </c>
      <c r="Z44" s="119" t="s">
        <v>35</v>
      </c>
      <c r="AA44" s="119" t="s">
        <v>35</v>
      </c>
      <c r="AB44" s="119" t="s">
        <v>267</v>
      </c>
      <c r="AC44" s="119">
        <v>0</v>
      </c>
      <c r="AD44" s="119">
        <v>1</v>
      </c>
      <c r="AE44" s="119" t="s">
        <v>575</v>
      </c>
      <c r="AF44" s="119" t="s">
        <v>43</v>
      </c>
      <c r="AG44" s="119" t="s">
        <v>38</v>
      </c>
      <c r="AH44" s="119" t="s">
        <v>92</v>
      </c>
    </row>
    <row r="45" spans="1:34" x14ac:dyDescent="0.3">
      <c r="A45" s="107" t="s">
        <v>267</v>
      </c>
      <c r="B45" s="108" t="s">
        <v>306</v>
      </c>
      <c r="C45" s="108" t="s">
        <v>307</v>
      </c>
      <c r="D45" s="109">
        <v>45657</v>
      </c>
      <c r="E45" s="110">
        <v>122000</v>
      </c>
      <c r="F45" s="108" t="s">
        <v>32</v>
      </c>
      <c r="G45" s="108" t="s">
        <v>33</v>
      </c>
      <c r="H45" s="110">
        <v>122000</v>
      </c>
      <c r="I45" s="110">
        <v>56700</v>
      </c>
      <c r="J45" s="111">
        <f t="shared" si="0"/>
        <v>46.475409836065573</v>
      </c>
      <c r="K45" s="110">
        <v>125639</v>
      </c>
      <c r="L45" s="110">
        <f>H45-109014</f>
        <v>12986</v>
      </c>
      <c r="M45" s="110">
        <v>16625</v>
      </c>
      <c r="N45" s="112">
        <f t="shared" si="1"/>
        <v>0.13627049180327869</v>
      </c>
      <c r="O45" s="113">
        <v>81.89</v>
      </c>
      <c r="P45" s="114">
        <v>131</v>
      </c>
      <c r="Q45" s="115">
        <v>0.24099999999999999</v>
      </c>
      <c r="R45" s="115">
        <v>0.24099999999999999</v>
      </c>
      <c r="S45" s="110">
        <f t="shared" si="2"/>
        <v>158.57858102332398</v>
      </c>
      <c r="T45" s="110">
        <f t="shared" si="3"/>
        <v>53883.817427385897</v>
      </c>
      <c r="U45" s="116">
        <f t="shared" si="4"/>
        <v>1.2370022366250206</v>
      </c>
      <c r="V45" s="115">
        <v>80</v>
      </c>
      <c r="W45" s="115">
        <f t="shared" si="5"/>
        <v>24400</v>
      </c>
      <c r="X45" s="115">
        <f t="shared" si="6"/>
        <v>305</v>
      </c>
      <c r="Y45" s="117" t="s">
        <v>266</v>
      </c>
      <c r="Z45" s="108" t="s">
        <v>35</v>
      </c>
      <c r="AA45" s="108" t="s">
        <v>35</v>
      </c>
      <c r="AB45" s="108" t="s">
        <v>267</v>
      </c>
      <c r="AC45" s="108">
        <v>0</v>
      </c>
      <c r="AD45" s="108">
        <v>1</v>
      </c>
      <c r="AE45" s="108" t="s">
        <v>42</v>
      </c>
      <c r="AF45" s="108" t="s">
        <v>35</v>
      </c>
      <c r="AG45" s="108" t="s">
        <v>38</v>
      </c>
      <c r="AH45" s="108" t="s">
        <v>92</v>
      </c>
    </row>
    <row r="46" spans="1:34" x14ac:dyDescent="0.3">
      <c r="A46" s="107" t="s">
        <v>267</v>
      </c>
      <c r="B46" s="108" t="s">
        <v>470</v>
      </c>
      <c r="C46" s="108" t="s">
        <v>471</v>
      </c>
      <c r="D46" s="109">
        <v>45413</v>
      </c>
      <c r="E46" s="110">
        <v>65000</v>
      </c>
      <c r="F46" s="108" t="s">
        <v>81</v>
      </c>
      <c r="G46" s="108" t="s">
        <v>33</v>
      </c>
      <c r="H46" s="110">
        <v>65000</v>
      </c>
      <c r="I46" s="110">
        <v>52200</v>
      </c>
      <c r="J46" s="111">
        <f t="shared" si="0"/>
        <v>80.307692307692307</v>
      </c>
      <c r="K46" s="110">
        <v>117693</v>
      </c>
      <c r="L46" s="110">
        <f>H46-109254</f>
        <v>-44254</v>
      </c>
      <c r="M46" s="110">
        <v>8439</v>
      </c>
      <c r="N46" s="112">
        <f t="shared" si="1"/>
        <v>0.12983076923076922</v>
      </c>
      <c r="O46" s="113">
        <v>41.56</v>
      </c>
      <c r="P46" s="114">
        <v>135</v>
      </c>
      <c r="Q46" s="115">
        <v>0.124</v>
      </c>
      <c r="R46" s="115">
        <v>0.124</v>
      </c>
      <c r="S46" s="110">
        <f t="shared" si="2"/>
        <v>-1064.8219441770932</v>
      </c>
      <c r="T46" s="110">
        <f t="shared" si="3"/>
        <v>-356887.09677419357</v>
      </c>
      <c r="U46" s="116">
        <f t="shared" si="4"/>
        <v>-8.1930003850824971</v>
      </c>
      <c r="V46" s="115">
        <v>40</v>
      </c>
      <c r="W46" s="115">
        <f t="shared" si="5"/>
        <v>13000</v>
      </c>
      <c r="X46" s="115">
        <f t="shared" si="6"/>
        <v>325</v>
      </c>
      <c r="Y46" s="117" t="s">
        <v>266</v>
      </c>
      <c r="Z46" s="108" t="s">
        <v>35</v>
      </c>
      <c r="AA46" s="108" t="s">
        <v>35</v>
      </c>
      <c r="AB46" s="108" t="s">
        <v>267</v>
      </c>
      <c r="AC46" s="108">
        <v>0</v>
      </c>
      <c r="AD46" s="108">
        <v>1</v>
      </c>
      <c r="AE46" s="108" t="s">
        <v>42</v>
      </c>
      <c r="AF46" s="108" t="s">
        <v>43</v>
      </c>
      <c r="AG46" s="108" t="s">
        <v>38</v>
      </c>
      <c r="AH46" s="108" t="s">
        <v>92</v>
      </c>
    </row>
    <row r="47" spans="1:34" x14ac:dyDescent="0.3">
      <c r="A47" s="107" t="s">
        <v>267</v>
      </c>
      <c r="B47" s="108" t="s">
        <v>468</v>
      </c>
      <c r="C47" s="108" t="s">
        <v>469</v>
      </c>
      <c r="D47" s="109">
        <v>45596</v>
      </c>
      <c r="E47" s="110">
        <v>85000</v>
      </c>
      <c r="F47" s="108" t="s">
        <v>32</v>
      </c>
      <c r="G47" s="108" t="s">
        <v>33</v>
      </c>
      <c r="H47" s="110">
        <v>85000</v>
      </c>
      <c r="I47" s="110">
        <v>46200</v>
      </c>
      <c r="J47" s="111">
        <f t="shared" si="0"/>
        <v>54.352941176470594</v>
      </c>
      <c r="K47" s="110">
        <v>103810</v>
      </c>
      <c r="L47" s="110">
        <f>H47-93262</f>
        <v>-8262</v>
      </c>
      <c r="M47" s="110">
        <v>10548</v>
      </c>
      <c r="N47" s="112">
        <f t="shared" si="1"/>
        <v>0.12409411764705883</v>
      </c>
      <c r="O47" s="113">
        <v>51.96</v>
      </c>
      <c r="P47" s="114">
        <v>135</v>
      </c>
      <c r="Q47" s="115">
        <v>0.155</v>
      </c>
      <c r="R47" s="115">
        <v>0.155</v>
      </c>
      <c r="S47" s="110">
        <f t="shared" si="2"/>
        <v>-159.0069284064665</v>
      </c>
      <c r="T47" s="110">
        <f t="shared" si="3"/>
        <v>-53303.225806451614</v>
      </c>
      <c r="U47" s="116">
        <f t="shared" si="4"/>
        <v>-1.2236736870167955</v>
      </c>
      <c r="V47" s="115">
        <v>50</v>
      </c>
      <c r="W47" s="115">
        <f t="shared" si="5"/>
        <v>17000</v>
      </c>
      <c r="X47" s="115">
        <f t="shared" si="6"/>
        <v>340</v>
      </c>
      <c r="Y47" s="117" t="s">
        <v>266</v>
      </c>
      <c r="Z47" s="108" t="s">
        <v>35</v>
      </c>
      <c r="AA47" s="108" t="s">
        <v>35</v>
      </c>
      <c r="AB47" s="108" t="s">
        <v>267</v>
      </c>
      <c r="AC47" s="108">
        <v>0</v>
      </c>
      <c r="AD47" s="108">
        <v>1</v>
      </c>
      <c r="AE47" s="108" t="s">
        <v>42</v>
      </c>
      <c r="AF47" s="108" t="s">
        <v>35</v>
      </c>
      <c r="AG47" s="108" t="s">
        <v>38</v>
      </c>
      <c r="AH47" s="108" t="s">
        <v>92</v>
      </c>
    </row>
    <row r="48" spans="1:34" x14ac:dyDescent="0.3">
      <c r="A48" s="118" t="s">
        <v>267</v>
      </c>
      <c r="B48" s="119" t="s">
        <v>300</v>
      </c>
      <c r="C48" s="119" t="s">
        <v>301</v>
      </c>
      <c r="D48" s="120">
        <v>45195</v>
      </c>
      <c r="E48" s="121">
        <v>155000</v>
      </c>
      <c r="F48" s="119" t="s">
        <v>32</v>
      </c>
      <c r="G48" s="119" t="s">
        <v>33</v>
      </c>
      <c r="H48" s="121">
        <v>155000</v>
      </c>
      <c r="I48" s="121">
        <v>58600</v>
      </c>
      <c r="J48" s="122">
        <f t="shared" si="0"/>
        <v>37.806451612903224</v>
      </c>
      <c r="K48" s="121">
        <v>153474</v>
      </c>
      <c r="L48" s="121">
        <f>H48-134771</f>
        <v>20229</v>
      </c>
      <c r="M48" s="121">
        <v>18703</v>
      </c>
      <c r="N48" s="123">
        <f t="shared" si="1"/>
        <v>0.12066451612903226</v>
      </c>
      <c r="O48" s="124">
        <v>92.13</v>
      </c>
      <c r="P48" s="125">
        <v>131</v>
      </c>
      <c r="Q48" s="126">
        <v>0.27100000000000002</v>
      </c>
      <c r="R48" s="126">
        <v>0.27100000000000002</v>
      </c>
      <c r="S48" s="121">
        <f t="shared" si="2"/>
        <v>219.57017258222078</v>
      </c>
      <c r="T48" s="121">
        <f t="shared" si="3"/>
        <v>74645.756457564567</v>
      </c>
      <c r="U48" s="127">
        <f t="shared" si="4"/>
        <v>1.7136307726713629</v>
      </c>
      <c r="V48" s="126">
        <v>90</v>
      </c>
      <c r="W48" s="126">
        <f t="shared" si="5"/>
        <v>31000</v>
      </c>
      <c r="X48" s="126">
        <f t="shared" si="6"/>
        <v>344.44444444444446</v>
      </c>
      <c r="Y48" s="128" t="s">
        <v>266</v>
      </c>
      <c r="Z48" s="119" t="s">
        <v>35</v>
      </c>
      <c r="AA48" s="119" t="s">
        <v>35</v>
      </c>
      <c r="AB48" s="119" t="s">
        <v>267</v>
      </c>
      <c r="AC48" s="119">
        <v>0</v>
      </c>
      <c r="AD48" s="119">
        <v>1</v>
      </c>
      <c r="AE48" s="119" t="s">
        <v>37</v>
      </c>
      <c r="AF48" s="119" t="s">
        <v>43</v>
      </c>
      <c r="AG48" s="119" t="s">
        <v>38</v>
      </c>
      <c r="AH48" s="119" t="s">
        <v>92</v>
      </c>
    </row>
    <row r="49" spans="1:34" x14ac:dyDescent="0.3">
      <c r="A49" s="107" t="s">
        <v>267</v>
      </c>
      <c r="B49" s="108" t="s">
        <v>322</v>
      </c>
      <c r="C49" s="108" t="s">
        <v>323</v>
      </c>
      <c r="D49" s="109">
        <v>45504</v>
      </c>
      <c r="E49" s="110">
        <v>159000</v>
      </c>
      <c r="F49" s="108" t="s">
        <v>32</v>
      </c>
      <c r="G49" s="108" t="s">
        <v>33</v>
      </c>
      <c r="H49" s="110">
        <v>159000</v>
      </c>
      <c r="I49" s="110">
        <v>61900</v>
      </c>
      <c r="J49" s="111">
        <f t="shared" si="0"/>
        <v>38.930817610062896</v>
      </c>
      <c r="K49" s="110">
        <v>139303</v>
      </c>
      <c r="L49" s="110">
        <f>H49-120057</f>
        <v>38943</v>
      </c>
      <c r="M49" s="110">
        <v>19246</v>
      </c>
      <c r="N49" s="112">
        <f t="shared" si="1"/>
        <v>0.1210440251572327</v>
      </c>
      <c r="O49" s="113">
        <v>94.8</v>
      </c>
      <c r="P49" s="114">
        <v>131.9</v>
      </c>
      <c r="Q49" s="115">
        <v>0.28000000000000003</v>
      </c>
      <c r="R49" s="115">
        <v>0.28000000000000003</v>
      </c>
      <c r="S49" s="110">
        <f t="shared" si="2"/>
        <v>410.79113924050637</v>
      </c>
      <c r="T49" s="110">
        <f t="shared" si="3"/>
        <v>139082.14285714284</v>
      </c>
      <c r="U49" s="116">
        <f t="shared" si="4"/>
        <v>3.1928866587957492</v>
      </c>
      <c r="V49" s="115">
        <v>92.18</v>
      </c>
      <c r="W49" s="115">
        <f t="shared" si="5"/>
        <v>31800</v>
      </c>
      <c r="X49" s="115">
        <f t="shared" si="6"/>
        <v>344.97721848557165</v>
      </c>
      <c r="Y49" s="117" t="s">
        <v>266</v>
      </c>
      <c r="Z49" s="108" t="s">
        <v>35</v>
      </c>
      <c r="AA49" s="108" t="s">
        <v>35</v>
      </c>
      <c r="AB49" s="108" t="s">
        <v>267</v>
      </c>
      <c r="AC49" s="108">
        <v>0</v>
      </c>
      <c r="AD49" s="108">
        <v>1</v>
      </c>
      <c r="AE49" s="108" t="s">
        <v>42</v>
      </c>
      <c r="AF49" s="108" t="s">
        <v>43</v>
      </c>
      <c r="AG49" s="108" t="s">
        <v>38</v>
      </c>
      <c r="AH49" s="108" t="s">
        <v>92</v>
      </c>
    </row>
    <row r="50" spans="1:34" x14ac:dyDescent="0.3">
      <c r="A50" s="107" t="s">
        <v>267</v>
      </c>
      <c r="B50" s="108" t="s">
        <v>457</v>
      </c>
      <c r="C50" s="108" t="s">
        <v>458</v>
      </c>
      <c r="D50" s="109">
        <v>45642</v>
      </c>
      <c r="E50" s="110">
        <v>150000</v>
      </c>
      <c r="F50" s="108" t="s">
        <v>32</v>
      </c>
      <c r="G50" s="108" t="s">
        <v>66</v>
      </c>
      <c r="H50" s="110">
        <v>150000</v>
      </c>
      <c r="I50" s="110">
        <v>85500</v>
      </c>
      <c r="J50" s="111">
        <f t="shared" si="0"/>
        <v>56.999999999999993</v>
      </c>
      <c r="K50" s="110">
        <v>193096</v>
      </c>
      <c r="L50" s="110">
        <f>H50-164898</f>
        <v>-14898</v>
      </c>
      <c r="M50" s="110">
        <v>17374</v>
      </c>
      <c r="N50" s="112">
        <f t="shared" si="1"/>
        <v>0.11582666666666666</v>
      </c>
      <c r="O50" s="113">
        <v>85.58</v>
      </c>
      <c r="P50" s="114">
        <v>252.92</v>
      </c>
      <c r="Q50" s="115">
        <v>0.248</v>
      </c>
      <c r="R50" s="115">
        <v>0.111</v>
      </c>
      <c r="S50" s="110">
        <f t="shared" si="2"/>
        <v>-174.08272960972189</v>
      </c>
      <c r="T50" s="110">
        <f t="shared" si="3"/>
        <v>-60072.580645161288</v>
      </c>
      <c r="U50" s="116">
        <f t="shared" si="4"/>
        <v>-1.3790766906602683</v>
      </c>
      <c r="V50" s="115">
        <v>85</v>
      </c>
      <c r="W50" s="115">
        <f t="shared" si="5"/>
        <v>30000</v>
      </c>
      <c r="X50" s="115">
        <f t="shared" si="6"/>
        <v>352.94117647058823</v>
      </c>
      <c r="Y50" s="117" t="s">
        <v>266</v>
      </c>
      <c r="Z50" s="108" t="s">
        <v>35</v>
      </c>
      <c r="AA50" s="108" t="s">
        <v>459</v>
      </c>
      <c r="AB50" s="108" t="s">
        <v>267</v>
      </c>
      <c r="AC50" s="108">
        <v>0</v>
      </c>
      <c r="AD50" s="108">
        <v>1</v>
      </c>
      <c r="AE50" s="108" t="s">
        <v>37</v>
      </c>
      <c r="AF50" s="108" t="s">
        <v>35</v>
      </c>
      <c r="AG50" s="108" t="s">
        <v>38</v>
      </c>
      <c r="AH50" s="108" t="s">
        <v>92</v>
      </c>
    </row>
    <row r="51" spans="1:34" x14ac:dyDescent="0.3">
      <c r="A51" s="118" t="s">
        <v>267</v>
      </c>
      <c r="B51" s="119" t="s">
        <v>438</v>
      </c>
      <c r="C51" s="119" t="s">
        <v>439</v>
      </c>
      <c r="D51" s="120">
        <v>45210</v>
      </c>
      <c r="E51" s="121">
        <v>72000</v>
      </c>
      <c r="F51" s="119" t="s">
        <v>32</v>
      </c>
      <c r="G51" s="119" t="s">
        <v>33</v>
      </c>
      <c r="H51" s="121">
        <v>72000</v>
      </c>
      <c r="I51" s="121">
        <v>38700</v>
      </c>
      <c r="J51" s="122">
        <f t="shared" si="0"/>
        <v>53.75</v>
      </c>
      <c r="K51" s="121">
        <v>100897</v>
      </c>
      <c r="L51" s="121">
        <f>H51-92972</f>
        <v>-20972</v>
      </c>
      <c r="M51" s="121">
        <v>7925</v>
      </c>
      <c r="N51" s="123">
        <f t="shared" si="1"/>
        <v>0.11006944444444444</v>
      </c>
      <c r="O51" s="124">
        <v>39.03</v>
      </c>
      <c r="P51" s="125">
        <v>119.07</v>
      </c>
      <c r="Q51" s="126">
        <v>0.109</v>
      </c>
      <c r="R51" s="126">
        <v>0.109</v>
      </c>
      <c r="S51" s="121">
        <f t="shared" si="2"/>
        <v>-537.33025877530099</v>
      </c>
      <c r="T51" s="121">
        <f t="shared" si="3"/>
        <v>-192403.66972477065</v>
      </c>
      <c r="U51" s="127">
        <f t="shared" si="4"/>
        <v>-4.4169804803666359</v>
      </c>
      <c r="V51" s="126">
        <v>40</v>
      </c>
      <c r="W51" s="126">
        <f t="shared" si="5"/>
        <v>14400</v>
      </c>
      <c r="X51" s="126">
        <f t="shared" si="6"/>
        <v>360</v>
      </c>
      <c r="Y51" s="128" t="s">
        <v>266</v>
      </c>
      <c r="Z51" s="119" t="s">
        <v>35</v>
      </c>
      <c r="AA51" s="119" t="s">
        <v>35</v>
      </c>
      <c r="AB51" s="119" t="s">
        <v>267</v>
      </c>
      <c r="AC51" s="119">
        <v>0</v>
      </c>
      <c r="AD51" s="119">
        <v>1</v>
      </c>
      <c r="AE51" s="119" t="s">
        <v>42</v>
      </c>
      <c r="AF51" s="119" t="s">
        <v>43</v>
      </c>
      <c r="AG51" s="119" t="s">
        <v>38</v>
      </c>
      <c r="AH51" s="119" t="s">
        <v>92</v>
      </c>
    </row>
    <row r="52" spans="1:34" x14ac:dyDescent="0.3">
      <c r="A52" s="118" t="s">
        <v>267</v>
      </c>
      <c r="B52" s="119" t="s">
        <v>347</v>
      </c>
      <c r="C52" s="119" t="s">
        <v>348</v>
      </c>
      <c r="D52" s="120">
        <v>45456</v>
      </c>
      <c r="E52" s="121">
        <v>73500</v>
      </c>
      <c r="F52" s="119" t="s">
        <v>32</v>
      </c>
      <c r="G52" s="119" t="s">
        <v>33</v>
      </c>
      <c r="H52" s="121">
        <v>73500</v>
      </c>
      <c r="I52" s="121">
        <v>65300</v>
      </c>
      <c r="J52" s="122">
        <f t="shared" si="0"/>
        <v>88.843537414965994</v>
      </c>
      <c r="K52" s="121">
        <v>141826</v>
      </c>
      <c r="L52" s="121">
        <f>H52-133545</f>
        <v>-60045</v>
      </c>
      <c r="M52" s="121">
        <v>8281</v>
      </c>
      <c r="N52" s="123">
        <f t="shared" si="1"/>
        <v>0.11266666666666666</v>
      </c>
      <c r="O52" s="124">
        <v>40.79</v>
      </c>
      <c r="P52" s="125">
        <v>130</v>
      </c>
      <c r="Q52" s="126">
        <v>0.11899999999999999</v>
      </c>
      <c r="R52" s="126">
        <v>0.11899999999999999</v>
      </c>
      <c r="S52" s="121">
        <f t="shared" si="2"/>
        <v>-1472.0519735229223</v>
      </c>
      <c r="T52" s="121">
        <f t="shared" si="3"/>
        <v>-504579.83193277312</v>
      </c>
      <c r="U52" s="127">
        <f t="shared" si="4"/>
        <v>-11.583559043452091</v>
      </c>
      <c r="V52" s="126">
        <v>40</v>
      </c>
      <c r="W52" s="126">
        <f t="shared" si="5"/>
        <v>14700</v>
      </c>
      <c r="X52" s="126">
        <f t="shared" si="6"/>
        <v>367.5</v>
      </c>
      <c r="Y52" s="128" t="s">
        <v>266</v>
      </c>
      <c r="Z52" s="119" t="s">
        <v>35</v>
      </c>
      <c r="AA52" s="119" t="s">
        <v>35</v>
      </c>
      <c r="AB52" s="119" t="s">
        <v>267</v>
      </c>
      <c r="AC52" s="119">
        <v>0</v>
      </c>
      <c r="AD52" s="119">
        <v>1</v>
      </c>
      <c r="AE52" s="119" t="s">
        <v>42</v>
      </c>
      <c r="AF52" s="119" t="s">
        <v>43</v>
      </c>
      <c r="AG52" s="119" t="s">
        <v>38</v>
      </c>
      <c r="AH52" s="119" t="s">
        <v>92</v>
      </c>
    </row>
    <row r="53" spans="1:34" x14ac:dyDescent="0.3">
      <c r="A53" s="118" t="s">
        <v>267</v>
      </c>
      <c r="B53" s="119" t="s">
        <v>293</v>
      </c>
      <c r="C53" s="119" t="s">
        <v>294</v>
      </c>
      <c r="D53" s="120">
        <v>45553</v>
      </c>
      <c r="E53" s="121">
        <v>150000</v>
      </c>
      <c r="F53" s="119" t="s">
        <v>32</v>
      </c>
      <c r="G53" s="119" t="s">
        <v>33</v>
      </c>
      <c r="H53" s="121">
        <v>150000</v>
      </c>
      <c r="I53" s="121">
        <v>67300</v>
      </c>
      <c r="J53" s="122">
        <f t="shared" si="0"/>
        <v>44.866666666666667</v>
      </c>
      <c r="K53" s="121">
        <v>151218</v>
      </c>
      <c r="L53" s="121">
        <f>H53-133909</f>
        <v>16091</v>
      </c>
      <c r="M53" s="121">
        <v>17309</v>
      </c>
      <c r="N53" s="123">
        <f t="shared" si="1"/>
        <v>0.11539333333333333</v>
      </c>
      <c r="O53" s="124">
        <v>85.26</v>
      </c>
      <c r="P53" s="125">
        <v>142</v>
      </c>
      <c r="Q53" s="126">
        <v>0.26100000000000001</v>
      </c>
      <c r="R53" s="126">
        <v>0.26100000000000001</v>
      </c>
      <c r="S53" s="121">
        <f t="shared" si="2"/>
        <v>188.72859488623035</v>
      </c>
      <c r="T53" s="121">
        <f t="shared" si="3"/>
        <v>61651.340996168583</v>
      </c>
      <c r="U53" s="127">
        <f t="shared" si="4"/>
        <v>1.4153200412343567</v>
      </c>
      <c r="V53" s="126">
        <v>80</v>
      </c>
      <c r="W53" s="126">
        <f t="shared" si="5"/>
        <v>30000</v>
      </c>
      <c r="X53" s="126">
        <f t="shared" si="6"/>
        <v>375</v>
      </c>
      <c r="Y53" s="128" t="s">
        <v>266</v>
      </c>
      <c r="Z53" s="119" t="s">
        <v>35</v>
      </c>
      <c r="AA53" s="119" t="s">
        <v>35</v>
      </c>
      <c r="AB53" s="119" t="s">
        <v>267</v>
      </c>
      <c r="AC53" s="119">
        <v>0</v>
      </c>
      <c r="AD53" s="119">
        <v>1</v>
      </c>
      <c r="AE53" s="119" t="s">
        <v>295</v>
      </c>
      <c r="AF53" s="119" t="s">
        <v>43</v>
      </c>
      <c r="AG53" s="119" t="s">
        <v>38</v>
      </c>
      <c r="AH53" s="119" t="s">
        <v>92</v>
      </c>
    </row>
    <row r="54" spans="1:34" x14ac:dyDescent="0.3">
      <c r="A54" s="118" t="s">
        <v>267</v>
      </c>
      <c r="B54" s="119" t="s">
        <v>429</v>
      </c>
      <c r="C54" s="119" t="s">
        <v>430</v>
      </c>
      <c r="D54" s="120">
        <v>45191</v>
      </c>
      <c r="E54" s="121">
        <v>117000</v>
      </c>
      <c r="F54" s="119" t="s">
        <v>32</v>
      </c>
      <c r="G54" s="119" t="s">
        <v>66</v>
      </c>
      <c r="H54" s="121">
        <v>117000</v>
      </c>
      <c r="I54" s="121">
        <v>41200</v>
      </c>
      <c r="J54" s="122">
        <f t="shared" si="0"/>
        <v>35.213675213675216</v>
      </c>
      <c r="K54" s="121">
        <v>107977</v>
      </c>
      <c r="L54" s="121">
        <f>H54-94858</f>
        <v>22142</v>
      </c>
      <c r="M54" s="121">
        <v>13119</v>
      </c>
      <c r="N54" s="123">
        <f t="shared" si="1"/>
        <v>0.11212820512820512</v>
      </c>
      <c r="O54" s="124">
        <v>64.62</v>
      </c>
      <c r="P54" s="125">
        <v>290</v>
      </c>
      <c r="Q54" s="126">
        <v>0.2</v>
      </c>
      <c r="R54" s="126">
        <v>0.13300000000000001</v>
      </c>
      <c r="S54" s="121">
        <f t="shared" si="2"/>
        <v>342.64933457134009</v>
      </c>
      <c r="T54" s="121">
        <f t="shared" si="3"/>
        <v>110710</v>
      </c>
      <c r="U54" s="127">
        <f t="shared" si="4"/>
        <v>2.5415518824609733</v>
      </c>
      <c r="V54" s="126">
        <v>60</v>
      </c>
      <c r="W54" s="126">
        <f t="shared" si="5"/>
        <v>23400</v>
      </c>
      <c r="X54" s="126">
        <f t="shared" si="6"/>
        <v>390</v>
      </c>
      <c r="Y54" s="128" t="s">
        <v>266</v>
      </c>
      <c r="Z54" s="119" t="s">
        <v>35</v>
      </c>
      <c r="AA54" s="119" t="s">
        <v>431</v>
      </c>
      <c r="AB54" s="119" t="s">
        <v>267</v>
      </c>
      <c r="AC54" s="119">
        <v>0</v>
      </c>
      <c r="AD54" s="119">
        <v>1</v>
      </c>
      <c r="AE54" s="119" t="s">
        <v>42</v>
      </c>
      <c r="AF54" s="119" t="s">
        <v>43</v>
      </c>
      <c r="AG54" s="119" t="s">
        <v>38</v>
      </c>
      <c r="AH54" s="119" t="s">
        <v>92</v>
      </c>
    </row>
    <row r="55" spans="1:34" x14ac:dyDescent="0.3">
      <c r="A55" s="118" t="s">
        <v>267</v>
      </c>
      <c r="B55" s="119" t="s">
        <v>546</v>
      </c>
      <c r="C55" s="119" t="s">
        <v>547</v>
      </c>
      <c r="D55" s="120">
        <v>45184</v>
      </c>
      <c r="E55" s="121">
        <v>110000</v>
      </c>
      <c r="F55" s="119" t="s">
        <v>32</v>
      </c>
      <c r="G55" s="119" t="s">
        <v>33</v>
      </c>
      <c r="H55" s="121">
        <v>110000</v>
      </c>
      <c r="I55" s="121">
        <v>51800</v>
      </c>
      <c r="J55" s="122">
        <f t="shared" si="0"/>
        <v>47.090909090909086</v>
      </c>
      <c r="K55" s="121">
        <v>137093</v>
      </c>
      <c r="L55" s="121">
        <f>H55-125663</f>
        <v>-15663</v>
      </c>
      <c r="M55" s="121">
        <v>11430</v>
      </c>
      <c r="N55" s="123">
        <f t="shared" si="1"/>
        <v>0.10390909090909091</v>
      </c>
      <c r="O55" s="124">
        <v>56.3</v>
      </c>
      <c r="P55" s="125">
        <v>130</v>
      </c>
      <c r="Q55" s="126">
        <v>0.16400000000000001</v>
      </c>
      <c r="R55" s="126">
        <v>0.16400000000000001</v>
      </c>
      <c r="S55" s="121">
        <f t="shared" si="2"/>
        <v>-278.20603907637656</v>
      </c>
      <c r="T55" s="121">
        <f t="shared" si="3"/>
        <v>-95506.097560975599</v>
      </c>
      <c r="U55" s="127">
        <f t="shared" si="4"/>
        <v>-2.1925183094806151</v>
      </c>
      <c r="V55" s="126">
        <v>55.77</v>
      </c>
      <c r="W55" s="126">
        <f t="shared" si="5"/>
        <v>22000</v>
      </c>
      <c r="X55" s="126">
        <f t="shared" si="6"/>
        <v>394.47731755424059</v>
      </c>
      <c r="Y55" s="128" t="s">
        <v>266</v>
      </c>
      <c r="Z55" s="119" t="s">
        <v>35</v>
      </c>
      <c r="AA55" s="119" t="s">
        <v>35</v>
      </c>
      <c r="AB55" s="119" t="s">
        <v>267</v>
      </c>
      <c r="AC55" s="119">
        <v>0</v>
      </c>
      <c r="AD55" s="119">
        <v>1</v>
      </c>
      <c r="AE55" s="119" t="s">
        <v>37</v>
      </c>
      <c r="AF55" s="119" t="s">
        <v>43</v>
      </c>
      <c r="AG55" s="119" t="s">
        <v>38</v>
      </c>
      <c r="AH55" s="119" t="s">
        <v>92</v>
      </c>
    </row>
    <row r="56" spans="1:34" x14ac:dyDescent="0.3">
      <c r="A56" s="118" t="s">
        <v>267</v>
      </c>
      <c r="B56" s="119" t="s">
        <v>445</v>
      </c>
      <c r="C56" s="119" t="s">
        <v>446</v>
      </c>
      <c r="D56" s="120">
        <v>45610</v>
      </c>
      <c r="E56" s="121">
        <v>79991</v>
      </c>
      <c r="F56" s="119" t="s">
        <v>32</v>
      </c>
      <c r="G56" s="119" t="s">
        <v>33</v>
      </c>
      <c r="H56" s="121">
        <v>79991</v>
      </c>
      <c r="I56" s="121">
        <v>41300</v>
      </c>
      <c r="J56" s="122">
        <f t="shared" si="0"/>
        <v>51.630808465952413</v>
      </c>
      <c r="K56" s="121">
        <v>88860</v>
      </c>
      <c r="L56" s="121">
        <f>H56-80421</f>
        <v>-430</v>
      </c>
      <c r="M56" s="121">
        <v>8439</v>
      </c>
      <c r="N56" s="123">
        <f t="shared" si="1"/>
        <v>0.10549936867897639</v>
      </c>
      <c r="O56" s="124">
        <v>41.56</v>
      </c>
      <c r="P56" s="125">
        <v>135</v>
      </c>
      <c r="Q56" s="126">
        <v>0.124</v>
      </c>
      <c r="R56" s="126">
        <v>0.124</v>
      </c>
      <c r="S56" s="121">
        <f t="shared" si="2"/>
        <v>-10.346487006737247</v>
      </c>
      <c r="T56" s="121">
        <f t="shared" si="3"/>
        <v>-3467.7419354838712</v>
      </c>
      <c r="U56" s="127">
        <f t="shared" si="4"/>
        <v>-7.9608400722770228E-2</v>
      </c>
      <c r="V56" s="126">
        <v>40</v>
      </c>
      <c r="W56" s="126">
        <f t="shared" si="5"/>
        <v>15998.2</v>
      </c>
      <c r="X56" s="126">
        <f t="shared" si="6"/>
        <v>399.95500000000004</v>
      </c>
      <c r="Y56" s="128" t="s">
        <v>266</v>
      </c>
      <c r="Z56" s="119" t="s">
        <v>35</v>
      </c>
      <c r="AA56" s="119" t="s">
        <v>35</v>
      </c>
      <c r="AB56" s="119" t="s">
        <v>267</v>
      </c>
      <c r="AC56" s="119">
        <v>0</v>
      </c>
      <c r="AD56" s="119">
        <v>1</v>
      </c>
      <c r="AE56" s="119" t="s">
        <v>37</v>
      </c>
      <c r="AF56" s="119" t="s">
        <v>35</v>
      </c>
      <c r="AG56" s="119" t="s">
        <v>38</v>
      </c>
      <c r="AH56" s="119" t="s">
        <v>92</v>
      </c>
    </row>
    <row r="57" spans="1:34" x14ac:dyDescent="0.3">
      <c r="A57" s="118" t="s">
        <v>267</v>
      </c>
      <c r="B57" s="119" t="s">
        <v>328</v>
      </c>
      <c r="C57" s="119" t="s">
        <v>329</v>
      </c>
      <c r="D57" s="120">
        <v>45628</v>
      </c>
      <c r="E57" s="121">
        <v>80000</v>
      </c>
      <c r="F57" s="119" t="s">
        <v>32</v>
      </c>
      <c r="G57" s="119" t="s">
        <v>33</v>
      </c>
      <c r="H57" s="121">
        <v>80000</v>
      </c>
      <c r="I57" s="121">
        <v>38300</v>
      </c>
      <c r="J57" s="122">
        <f t="shared" si="0"/>
        <v>47.875</v>
      </c>
      <c r="K57" s="121">
        <v>86869</v>
      </c>
      <c r="L57" s="121">
        <f>H57-78556</f>
        <v>1444</v>
      </c>
      <c r="M57" s="121">
        <v>8313</v>
      </c>
      <c r="N57" s="123">
        <f t="shared" si="1"/>
        <v>0.1039125</v>
      </c>
      <c r="O57" s="124">
        <v>40.94</v>
      </c>
      <c r="P57" s="125">
        <v>131</v>
      </c>
      <c r="Q57" s="126">
        <v>0.12</v>
      </c>
      <c r="R57" s="126">
        <v>0.12</v>
      </c>
      <c r="S57" s="121">
        <f t="shared" si="2"/>
        <v>35.271128480703467</v>
      </c>
      <c r="T57" s="121">
        <f t="shared" si="3"/>
        <v>12033.333333333334</v>
      </c>
      <c r="U57" s="127">
        <f t="shared" si="4"/>
        <v>0.27624732170186717</v>
      </c>
      <c r="V57" s="126">
        <v>40</v>
      </c>
      <c r="W57" s="126">
        <f t="shared" si="5"/>
        <v>16000</v>
      </c>
      <c r="X57" s="126">
        <f t="shared" si="6"/>
        <v>400</v>
      </c>
      <c r="Y57" s="128" t="s">
        <v>266</v>
      </c>
      <c r="Z57" s="119" t="s">
        <v>35</v>
      </c>
      <c r="AA57" s="119" t="s">
        <v>35</v>
      </c>
      <c r="AB57" s="119" t="s">
        <v>267</v>
      </c>
      <c r="AC57" s="119">
        <v>0</v>
      </c>
      <c r="AD57" s="119">
        <v>1</v>
      </c>
      <c r="AE57" s="119" t="s">
        <v>42</v>
      </c>
      <c r="AF57" s="119" t="s">
        <v>35</v>
      </c>
      <c r="AG57" s="119" t="s">
        <v>38</v>
      </c>
      <c r="AH57" s="119" t="s">
        <v>92</v>
      </c>
    </row>
    <row r="58" spans="1:34" x14ac:dyDescent="0.3">
      <c r="A58" s="107" t="s">
        <v>267</v>
      </c>
      <c r="B58" s="108" t="s">
        <v>280</v>
      </c>
      <c r="C58" s="108" t="s">
        <v>281</v>
      </c>
      <c r="D58" s="109">
        <v>45503</v>
      </c>
      <c r="E58" s="110">
        <v>240001</v>
      </c>
      <c r="F58" s="108" t="s">
        <v>32</v>
      </c>
      <c r="G58" s="108" t="s">
        <v>66</v>
      </c>
      <c r="H58" s="110">
        <v>240001</v>
      </c>
      <c r="I58" s="110">
        <v>107900</v>
      </c>
      <c r="J58" s="111">
        <f t="shared" si="0"/>
        <v>44.95814600772497</v>
      </c>
      <c r="K58" s="110">
        <v>227774</v>
      </c>
      <c r="L58" s="110">
        <f>H58-202836</f>
        <v>37165</v>
      </c>
      <c r="M58" s="110">
        <v>24938</v>
      </c>
      <c r="N58" s="112">
        <f t="shared" si="1"/>
        <v>0.10390790038374841</v>
      </c>
      <c r="O58" s="113">
        <v>122.84</v>
      </c>
      <c r="P58" s="114">
        <v>262</v>
      </c>
      <c r="Q58" s="115">
        <v>0.36099999999999999</v>
      </c>
      <c r="R58" s="115">
        <v>0.24099999999999999</v>
      </c>
      <c r="S58" s="110">
        <f t="shared" si="2"/>
        <v>302.54802995766852</v>
      </c>
      <c r="T58" s="110">
        <f t="shared" si="3"/>
        <v>102950.13850415513</v>
      </c>
      <c r="U58" s="116">
        <f t="shared" si="4"/>
        <v>2.3634099748428632</v>
      </c>
      <c r="V58" s="115">
        <v>120</v>
      </c>
      <c r="W58" s="115">
        <f t="shared" si="5"/>
        <v>48000.200000000004</v>
      </c>
      <c r="X58" s="115">
        <f t="shared" si="6"/>
        <v>400.00166666666672</v>
      </c>
      <c r="Y58" s="117" t="s">
        <v>266</v>
      </c>
      <c r="Z58" s="108" t="s">
        <v>35</v>
      </c>
      <c r="AA58" s="108" t="s">
        <v>282</v>
      </c>
      <c r="AB58" s="108" t="s">
        <v>267</v>
      </c>
      <c r="AC58" s="108">
        <v>0</v>
      </c>
      <c r="AD58" s="108">
        <v>1</v>
      </c>
      <c r="AE58" s="108" t="s">
        <v>37</v>
      </c>
      <c r="AF58" s="108" t="s">
        <v>43</v>
      </c>
      <c r="AG58" s="108" t="s">
        <v>38</v>
      </c>
      <c r="AH58" s="108" t="s">
        <v>92</v>
      </c>
    </row>
    <row r="59" spans="1:34" x14ac:dyDescent="0.3">
      <c r="A59" s="107" t="s">
        <v>267</v>
      </c>
      <c r="B59" s="108" t="s">
        <v>351</v>
      </c>
      <c r="C59" s="108" t="s">
        <v>352</v>
      </c>
      <c r="D59" s="109">
        <v>45257</v>
      </c>
      <c r="E59" s="110">
        <v>245000</v>
      </c>
      <c r="F59" s="108" t="s">
        <v>32</v>
      </c>
      <c r="G59" s="108" t="s">
        <v>33</v>
      </c>
      <c r="H59" s="110">
        <v>245000</v>
      </c>
      <c r="I59" s="110">
        <v>84300</v>
      </c>
      <c r="J59" s="111">
        <f t="shared" si="0"/>
        <v>34.408163265306122</v>
      </c>
      <c r="K59" s="110">
        <v>211752</v>
      </c>
      <c r="L59" s="110">
        <f>H59-187542</f>
        <v>57458</v>
      </c>
      <c r="M59" s="110">
        <v>24210</v>
      </c>
      <c r="N59" s="112">
        <f t="shared" si="1"/>
        <v>9.8816326530612245E-2</v>
      </c>
      <c r="O59" s="113">
        <v>119.26</v>
      </c>
      <c r="P59" s="114">
        <v>123.47</v>
      </c>
      <c r="Q59" s="115">
        <v>0.34</v>
      </c>
      <c r="R59" s="115">
        <v>0.34</v>
      </c>
      <c r="S59" s="110">
        <f t="shared" si="2"/>
        <v>481.78769075968472</v>
      </c>
      <c r="T59" s="110">
        <f t="shared" si="3"/>
        <v>168994.11764705883</v>
      </c>
      <c r="U59" s="116">
        <f t="shared" si="4"/>
        <v>3.8795711121914329</v>
      </c>
      <c r="V59" s="115">
        <v>120</v>
      </c>
      <c r="W59" s="115">
        <f t="shared" si="5"/>
        <v>49000</v>
      </c>
      <c r="X59" s="115">
        <f t="shared" si="6"/>
        <v>408.33333333333331</v>
      </c>
      <c r="Y59" s="117" t="s">
        <v>266</v>
      </c>
      <c r="Z59" s="108" t="s">
        <v>35</v>
      </c>
      <c r="AA59" s="108" t="s">
        <v>35</v>
      </c>
      <c r="AB59" s="108" t="s">
        <v>267</v>
      </c>
      <c r="AC59" s="108">
        <v>0</v>
      </c>
      <c r="AD59" s="108">
        <v>1</v>
      </c>
      <c r="AE59" s="108" t="s">
        <v>42</v>
      </c>
      <c r="AF59" s="108" t="s">
        <v>43</v>
      </c>
      <c r="AG59" s="108" t="s">
        <v>38</v>
      </c>
      <c r="AH59" s="108" t="s">
        <v>92</v>
      </c>
    </row>
    <row r="60" spans="1:34" x14ac:dyDescent="0.3">
      <c r="A60" s="107" t="s">
        <v>267</v>
      </c>
      <c r="B60" s="108" t="s">
        <v>544</v>
      </c>
      <c r="C60" s="108" t="s">
        <v>545</v>
      </c>
      <c r="D60" s="109">
        <v>45737</v>
      </c>
      <c r="E60" s="110">
        <v>103000</v>
      </c>
      <c r="F60" s="108" t="s">
        <v>32</v>
      </c>
      <c r="G60" s="108" t="s">
        <v>33</v>
      </c>
      <c r="H60" s="110">
        <v>103000</v>
      </c>
      <c r="I60" s="110">
        <v>55800</v>
      </c>
      <c r="J60" s="111">
        <f t="shared" si="0"/>
        <v>54.174757281553397</v>
      </c>
      <c r="K60" s="110">
        <v>125798</v>
      </c>
      <c r="L60" s="110">
        <f>H60-115447</f>
        <v>-12447</v>
      </c>
      <c r="M60" s="110">
        <v>10351</v>
      </c>
      <c r="N60" s="112">
        <f t="shared" si="1"/>
        <v>0.10049514563106796</v>
      </c>
      <c r="O60" s="113">
        <v>50.99</v>
      </c>
      <c r="P60" s="114">
        <v>130</v>
      </c>
      <c r="Q60" s="115">
        <v>0.14899999999999999</v>
      </c>
      <c r="R60" s="115">
        <v>0.14899999999999999</v>
      </c>
      <c r="S60" s="110">
        <f t="shared" si="2"/>
        <v>-244.10668758580113</v>
      </c>
      <c r="T60" s="110">
        <f t="shared" si="3"/>
        <v>-83536.912751677854</v>
      </c>
      <c r="U60" s="116">
        <f t="shared" si="4"/>
        <v>-1.9177436352543125</v>
      </c>
      <c r="V60" s="115">
        <v>50</v>
      </c>
      <c r="W60" s="115">
        <f t="shared" si="5"/>
        <v>20600</v>
      </c>
      <c r="X60" s="115">
        <f t="shared" si="6"/>
        <v>412</v>
      </c>
      <c r="Y60" s="117" t="s">
        <v>266</v>
      </c>
      <c r="Z60" s="108" t="s">
        <v>35</v>
      </c>
      <c r="AA60" s="108" t="s">
        <v>35</v>
      </c>
      <c r="AB60" s="108" t="s">
        <v>267</v>
      </c>
      <c r="AC60" s="108">
        <v>0</v>
      </c>
      <c r="AD60" s="108">
        <v>1</v>
      </c>
      <c r="AE60" s="108" t="s">
        <v>37</v>
      </c>
      <c r="AF60" s="108" t="s">
        <v>35</v>
      </c>
      <c r="AG60" s="108" t="s">
        <v>38</v>
      </c>
      <c r="AH60" s="108" t="s">
        <v>92</v>
      </c>
    </row>
    <row r="61" spans="1:34" x14ac:dyDescent="0.3">
      <c r="A61" s="107" t="s">
        <v>267</v>
      </c>
      <c r="B61" s="108" t="s">
        <v>460</v>
      </c>
      <c r="C61" s="108" t="s">
        <v>461</v>
      </c>
      <c r="D61" s="109">
        <v>45464</v>
      </c>
      <c r="E61" s="110">
        <v>93700</v>
      </c>
      <c r="F61" s="108" t="s">
        <v>32</v>
      </c>
      <c r="G61" s="108" t="s">
        <v>33</v>
      </c>
      <c r="H61" s="110">
        <v>93700</v>
      </c>
      <c r="I61" s="110">
        <v>41700</v>
      </c>
      <c r="J61" s="111">
        <f t="shared" si="0"/>
        <v>44.503735325506938</v>
      </c>
      <c r="K61" s="110">
        <v>94215</v>
      </c>
      <c r="L61" s="110">
        <f>H61-85224</f>
        <v>8476</v>
      </c>
      <c r="M61" s="110">
        <v>8991</v>
      </c>
      <c r="N61" s="112">
        <f t="shared" si="1"/>
        <v>9.5955176093916753E-2</v>
      </c>
      <c r="O61" s="113">
        <v>44.29</v>
      </c>
      <c r="P61" s="114">
        <v>121.1</v>
      </c>
      <c r="Q61" s="115">
        <v>0.125</v>
      </c>
      <c r="R61" s="115">
        <v>0.125</v>
      </c>
      <c r="S61" s="110">
        <f t="shared" si="2"/>
        <v>191.37502822307519</v>
      </c>
      <c r="T61" s="110">
        <f t="shared" si="3"/>
        <v>67808</v>
      </c>
      <c r="U61" s="116">
        <f t="shared" si="4"/>
        <v>1.5566574839302112</v>
      </c>
      <c r="V61" s="115">
        <v>45</v>
      </c>
      <c r="W61" s="115">
        <f t="shared" si="5"/>
        <v>18740</v>
      </c>
      <c r="X61" s="115">
        <f t="shared" si="6"/>
        <v>416.44444444444446</v>
      </c>
      <c r="Y61" s="117" t="s">
        <v>266</v>
      </c>
      <c r="Z61" s="108" t="s">
        <v>35</v>
      </c>
      <c r="AA61" s="108" t="s">
        <v>35</v>
      </c>
      <c r="AB61" s="108" t="s">
        <v>267</v>
      </c>
      <c r="AC61" s="108">
        <v>0</v>
      </c>
      <c r="AD61" s="108">
        <v>1</v>
      </c>
      <c r="AE61" s="108" t="s">
        <v>412</v>
      </c>
      <c r="AF61" s="108" t="s">
        <v>43</v>
      </c>
      <c r="AG61" s="108" t="s">
        <v>38</v>
      </c>
      <c r="AH61" s="108" t="s">
        <v>92</v>
      </c>
    </row>
    <row r="62" spans="1:34" x14ac:dyDescent="0.3">
      <c r="A62" s="118" t="s">
        <v>267</v>
      </c>
      <c r="B62" s="119" t="s">
        <v>317</v>
      </c>
      <c r="C62" s="119" t="s">
        <v>318</v>
      </c>
      <c r="D62" s="120">
        <v>45093</v>
      </c>
      <c r="E62" s="121">
        <v>84550</v>
      </c>
      <c r="F62" s="119" t="s">
        <v>32</v>
      </c>
      <c r="G62" s="119" t="s">
        <v>33</v>
      </c>
      <c r="H62" s="121">
        <v>84550</v>
      </c>
      <c r="I62" s="121">
        <v>44600</v>
      </c>
      <c r="J62" s="122">
        <f t="shared" si="0"/>
        <v>52.7498521584861</v>
      </c>
      <c r="K62" s="121">
        <v>117909</v>
      </c>
      <c r="L62" s="121">
        <f>H62-109805</f>
        <v>-25255</v>
      </c>
      <c r="M62" s="121">
        <v>8104</v>
      </c>
      <c r="N62" s="123">
        <f t="shared" si="1"/>
        <v>9.5848610289769362E-2</v>
      </c>
      <c r="O62" s="124">
        <v>39.909999999999997</v>
      </c>
      <c r="P62" s="125">
        <v>124.5</v>
      </c>
      <c r="Q62" s="126">
        <v>0.114</v>
      </c>
      <c r="R62" s="126">
        <v>0.114</v>
      </c>
      <c r="S62" s="121">
        <f t="shared" si="2"/>
        <v>-632.79879729391132</v>
      </c>
      <c r="T62" s="121">
        <f t="shared" si="3"/>
        <v>-221535.08771929823</v>
      </c>
      <c r="U62" s="127">
        <f t="shared" si="4"/>
        <v>-5.0857458154108866</v>
      </c>
      <c r="V62" s="126">
        <v>40</v>
      </c>
      <c r="W62" s="126">
        <f t="shared" si="5"/>
        <v>16910</v>
      </c>
      <c r="X62" s="126">
        <f t="shared" si="6"/>
        <v>422.75</v>
      </c>
      <c r="Y62" s="128" t="s">
        <v>266</v>
      </c>
      <c r="Z62" s="119" t="s">
        <v>35</v>
      </c>
      <c r="AA62" s="119" t="s">
        <v>35</v>
      </c>
      <c r="AB62" s="119" t="s">
        <v>267</v>
      </c>
      <c r="AC62" s="119">
        <v>0</v>
      </c>
      <c r="AD62" s="119">
        <v>1</v>
      </c>
      <c r="AE62" s="119" t="s">
        <v>319</v>
      </c>
      <c r="AF62" s="119" t="s">
        <v>43</v>
      </c>
      <c r="AG62" s="119" t="s">
        <v>38</v>
      </c>
      <c r="AH62" s="119" t="s">
        <v>92</v>
      </c>
    </row>
    <row r="63" spans="1:34" x14ac:dyDescent="0.3">
      <c r="A63" s="107" t="s">
        <v>267</v>
      </c>
      <c r="B63" s="108" t="s">
        <v>552</v>
      </c>
      <c r="C63" s="108" t="s">
        <v>553</v>
      </c>
      <c r="D63" s="109">
        <v>45603</v>
      </c>
      <c r="E63" s="110">
        <v>115000</v>
      </c>
      <c r="F63" s="108" t="s">
        <v>32</v>
      </c>
      <c r="G63" s="108" t="s">
        <v>33</v>
      </c>
      <c r="H63" s="110">
        <v>115000</v>
      </c>
      <c r="I63" s="110">
        <v>53700</v>
      </c>
      <c r="J63" s="111">
        <f t="shared" si="0"/>
        <v>46.695652173913047</v>
      </c>
      <c r="K63" s="110">
        <v>120597</v>
      </c>
      <c r="L63" s="110">
        <f>H63-109244</f>
        <v>5756</v>
      </c>
      <c r="M63" s="110">
        <v>11353</v>
      </c>
      <c r="N63" s="112">
        <f t="shared" si="1"/>
        <v>9.8721739130434777E-2</v>
      </c>
      <c r="O63" s="113">
        <v>55.92</v>
      </c>
      <c r="P63" s="114">
        <v>130.01</v>
      </c>
      <c r="Q63" s="115">
        <v>0.16400000000000001</v>
      </c>
      <c r="R63" s="115">
        <v>0.16400000000000001</v>
      </c>
      <c r="S63" s="110">
        <f t="shared" si="2"/>
        <v>102.93276108726752</v>
      </c>
      <c r="T63" s="110">
        <f t="shared" si="3"/>
        <v>35097.560975609755</v>
      </c>
      <c r="U63" s="116">
        <f t="shared" si="4"/>
        <v>0.80572913167148197</v>
      </c>
      <c r="V63" s="115">
        <v>54.28</v>
      </c>
      <c r="W63" s="115">
        <f t="shared" si="5"/>
        <v>23000</v>
      </c>
      <c r="X63" s="115">
        <f t="shared" si="6"/>
        <v>423.72881355932202</v>
      </c>
      <c r="Y63" s="117" t="s">
        <v>266</v>
      </c>
      <c r="Z63" s="108" t="s">
        <v>35</v>
      </c>
      <c r="AA63" s="108" t="s">
        <v>35</v>
      </c>
      <c r="AB63" s="108" t="s">
        <v>267</v>
      </c>
      <c r="AC63" s="108">
        <v>0</v>
      </c>
      <c r="AD63" s="108">
        <v>1</v>
      </c>
      <c r="AE63" s="108" t="s">
        <v>554</v>
      </c>
      <c r="AF63" s="108" t="s">
        <v>35</v>
      </c>
      <c r="AG63" s="108" t="s">
        <v>38</v>
      </c>
      <c r="AH63" s="108" t="s">
        <v>92</v>
      </c>
    </row>
    <row r="64" spans="1:34" x14ac:dyDescent="0.3">
      <c r="A64" s="107" t="s">
        <v>267</v>
      </c>
      <c r="B64" s="108" t="s">
        <v>542</v>
      </c>
      <c r="C64" s="108" t="s">
        <v>543</v>
      </c>
      <c r="D64" s="109">
        <v>45631</v>
      </c>
      <c r="E64" s="110">
        <v>150000</v>
      </c>
      <c r="F64" s="108" t="s">
        <v>32</v>
      </c>
      <c r="G64" s="108" t="s">
        <v>33</v>
      </c>
      <c r="H64" s="110">
        <v>150000</v>
      </c>
      <c r="I64" s="110">
        <v>59900</v>
      </c>
      <c r="J64" s="111">
        <f t="shared" si="0"/>
        <v>39.93333333333333</v>
      </c>
      <c r="K64" s="110">
        <v>134349</v>
      </c>
      <c r="L64" s="110">
        <f>H64-112878</f>
        <v>37122</v>
      </c>
      <c r="M64" s="110">
        <v>21471</v>
      </c>
      <c r="N64" s="112">
        <f t="shared" si="1"/>
        <v>0.14313999999999999</v>
      </c>
      <c r="O64" s="113">
        <v>105.76</v>
      </c>
      <c r="P64" s="114">
        <v>293.02999999999997</v>
      </c>
      <c r="Q64" s="115">
        <v>0.46500000000000002</v>
      </c>
      <c r="R64" s="115">
        <v>0.46500000000000002</v>
      </c>
      <c r="S64" s="110">
        <f t="shared" si="2"/>
        <v>351.00226928895609</v>
      </c>
      <c r="T64" s="110">
        <f t="shared" si="3"/>
        <v>79832.258064516122</v>
      </c>
      <c r="U64" s="116">
        <f t="shared" si="4"/>
        <v>1.8326964661275511</v>
      </c>
      <c r="V64" s="115">
        <v>69.12</v>
      </c>
      <c r="W64" s="115">
        <f t="shared" si="5"/>
        <v>30000</v>
      </c>
      <c r="X64" s="115">
        <f t="shared" si="6"/>
        <v>434.02777777777777</v>
      </c>
      <c r="Y64" s="117" t="s">
        <v>266</v>
      </c>
      <c r="Z64" s="108" t="s">
        <v>35</v>
      </c>
      <c r="AA64" s="108" t="s">
        <v>35</v>
      </c>
      <c r="AB64" s="108" t="s">
        <v>267</v>
      </c>
      <c r="AC64" s="108">
        <v>0</v>
      </c>
      <c r="AD64" s="108">
        <v>1</v>
      </c>
      <c r="AE64" s="108" t="s">
        <v>42</v>
      </c>
      <c r="AF64" s="108" t="s">
        <v>35</v>
      </c>
      <c r="AG64" s="108" t="s">
        <v>38</v>
      </c>
      <c r="AH64" s="108" t="s">
        <v>92</v>
      </c>
    </row>
    <row r="65" spans="1:34" x14ac:dyDescent="0.3">
      <c r="A65" s="107" t="s">
        <v>267</v>
      </c>
      <c r="B65" s="108" t="s">
        <v>489</v>
      </c>
      <c r="C65" s="108" t="s">
        <v>490</v>
      </c>
      <c r="D65" s="109">
        <v>45160</v>
      </c>
      <c r="E65" s="110">
        <v>100000</v>
      </c>
      <c r="F65" s="108" t="s">
        <v>32</v>
      </c>
      <c r="G65" s="108" t="s">
        <v>33</v>
      </c>
      <c r="H65" s="110">
        <v>100000</v>
      </c>
      <c r="I65" s="110">
        <v>46400</v>
      </c>
      <c r="J65" s="111">
        <f t="shared" si="0"/>
        <v>46.400000000000006</v>
      </c>
      <c r="K65" s="110">
        <v>122894</v>
      </c>
      <c r="L65" s="110">
        <f>H65-113401</f>
        <v>-13401</v>
      </c>
      <c r="M65" s="110">
        <v>9493</v>
      </c>
      <c r="N65" s="112">
        <f t="shared" si="1"/>
        <v>9.493E-2</v>
      </c>
      <c r="O65" s="113">
        <v>46.76</v>
      </c>
      <c r="P65" s="114">
        <v>135</v>
      </c>
      <c r="Q65" s="115">
        <v>0.13900000000000001</v>
      </c>
      <c r="R65" s="115">
        <v>0.13900000000000001</v>
      </c>
      <c r="S65" s="110">
        <f t="shared" si="2"/>
        <v>-286.59110350727116</v>
      </c>
      <c r="T65" s="110">
        <f t="shared" si="3"/>
        <v>-96410.07194244604</v>
      </c>
      <c r="U65" s="116">
        <f t="shared" si="4"/>
        <v>-2.2132707057494501</v>
      </c>
      <c r="V65" s="115">
        <v>45</v>
      </c>
      <c r="W65" s="115">
        <f t="shared" si="5"/>
        <v>20000</v>
      </c>
      <c r="X65" s="115">
        <f t="shared" si="6"/>
        <v>444.44444444444446</v>
      </c>
      <c r="Y65" s="117" t="s">
        <v>266</v>
      </c>
      <c r="Z65" s="108" t="s">
        <v>35</v>
      </c>
      <c r="AA65" s="108" t="s">
        <v>35</v>
      </c>
      <c r="AB65" s="108" t="s">
        <v>267</v>
      </c>
      <c r="AC65" s="108">
        <v>0</v>
      </c>
      <c r="AD65" s="108">
        <v>1</v>
      </c>
      <c r="AE65" s="108" t="s">
        <v>42</v>
      </c>
      <c r="AF65" s="108" t="s">
        <v>43</v>
      </c>
      <c r="AG65" s="108" t="s">
        <v>38</v>
      </c>
      <c r="AH65" s="108" t="s">
        <v>92</v>
      </c>
    </row>
    <row r="66" spans="1:34" x14ac:dyDescent="0.3">
      <c r="A66" s="107" t="s">
        <v>267</v>
      </c>
      <c r="B66" s="108" t="s">
        <v>499</v>
      </c>
      <c r="C66" s="108" t="s">
        <v>500</v>
      </c>
      <c r="D66" s="109">
        <v>45321</v>
      </c>
      <c r="E66" s="110">
        <v>91000</v>
      </c>
      <c r="F66" s="108" t="s">
        <v>32</v>
      </c>
      <c r="G66" s="108" t="s">
        <v>33</v>
      </c>
      <c r="H66" s="110">
        <v>91000</v>
      </c>
      <c r="I66" s="110">
        <v>36500</v>
      </c>
      <c r="J66" s="111">
        <f t="shared" ref="J66:J129" si="7">I66/H66*100</f>
        <v>40.109890109890109</v>
      </c>
      <c r="K66" s="110">
        <v>96115</v>
      </c>
      <c r="L66" s="110">
        <f>H66-87708</f>
        <v>3292</v>
      </c>
      <c r="M66" s="110">
        <v>8407</v>
      </c>
      <c r="N66" s="112">
        <f t="shared" ref="N66:N129" si="8">M66/E66</f>
        <v>9.2384615384615384E-2</v>
      </c>
      <c r="O66" s="113">
        <v>41.41</v>
      </c>
      <c r="P66" s="114">
        <v>134</v>
      </c>
      <c r="Q66" s="115">
        <v>0.123</v>
      </c>
      <c r="R66" s="115">
        <v>0.123</v>
      </c>
      <c r="S66" s="110">
        <f t="shared" ref="S66:S129" si="9">L66/O66</f>
        <v>79.49770586814779</v>
      </c>
      <c r="T66" s="110">
        <f t="shared" ref="T66:T129" si="10">L66/Q66</f>
        <v>26764.227642276423</v>
      </c>
      <c r="U66" s="116">
        <f t="shared" ref="U66:U129" si="11">L66/Q66/43560</f>
        <v>0.61442212218265435</v>
      </c>
      <c r="V66" s="115">
        <v>40</v>
      </c>
      <c r="W66" s="115">
        <f t="shared" ref="W66:W129" si="12">0.2*E66</f>
        <v>18200</v>
      </c>
      <c r="X66" s="115">
        <f t="shared" ref="X66:X129" si="13">W66/V66</f>
        <v>455</v>
      </c>
      <c r="Y66" s="117" t="s">
        <v>266</v>
      </c>
      <c r="Z66" s="108" t="s">
        <v>35</v>
      </c>
      <c r="AA66" s="108" t="s">
        <v>35</v>
      </c>
      <c r="AB66" s="108" t="s">
        <v>267</v>
      </c>
      <c r="AC66" s="108">
        <v>0</v>
      </c>
      <c r="AD66" s="108">
        <v>1</v>
      </c>
      <c r="AE66" s="108" t="s">
        <v>37</v>
      </c>
      <c r="AF66" s="108" t="s">
        <v>43</v>
      </c>
      <c r="AG66" s="108" t="s">
        <v>38</v>
      </c>
      <c r="AH66" s="108" t="s">
        <v>92</v>
      </c>
    </row>
    <row r="67" spans="1:34" x14ac:dyDescent="0.3">
      <c r="A67" s="107" t="s">
        <v>267</v>
      </c>
      <c r="B67" s="108" t="s">
        <v>349</v>
      </c>
      <c r="C67" s="108" t="s">
        <v>350</v>
      </c>
      <c r="D67" s="109">
        <v>45686</v>
      </c>
      <c r="E67" s="110">
        <v>92500</v>
      </c>
      <c r="F67" s="108" t="s">
        <v>32</v>
      </c>
      <c r="G67" s="108" t="s">
        <v>33</v>
      </c>
      <c r="H67" s="110">
        <v>92500</v>
      </c>
      <c r="I67" s="110">
        <v>45500</v>
      </c>
      <c r="J67" s="111">
        <f t="shared" si="7"/>
        <v>49.189189189189193</v>
      </c>
      <c r="K67" s="110">
        <v>101614</v>
      </c>
      <c r="L67" s="110">
        <f>H67-93558</f>
        <v>-1058</v>
      </c>
      <c r="M67" s="110">
        <v>8056</v>
      </c>
      <c r="N67" s="112">
        <f t="shared" si="8"/>
        <v>8.7091891891891898E-2</v>
      </c>
      <c r="O67" s="113">
        <v>39.68</v>
      </c>
      <c r="P67" s="114">
        <v>123.05</v>
      </c>
      <c r="Q67" s="115">
        <v>0.113</v>
      </c>
      <c r="R67" s="115">
        <v>0.113</v>
      </c>
      <c r="S67" s="110">
        <f t="shared" si="9"/>
        <v>-26.663306451612904</v>
      </c>
      <c r="T67" s="110">
        <f t="shared" si="10"/>
        <v>-9362.8318584070785</v>
      </c>
      <c r="U67" s="116">
        <f t="shared" si="11"/>
        <v>-0.21494104358142971</v>
      </c>
      <c r="V67" s="115">
        <v>40</v>
      </c>
      <c r="W67" s="115">
        <f t="shared" si="12"/>
        <v>18500</v>
      </c>
      <c r="X67" s="115">
        <f t="shared" si="13"/>
        <v>462.5</v>
      </c>
      <c r="Y67" s="117" t="s">
        <v>266</v>
      </c>
      <c r="Z67" s="108" t="s">
        <v>35</v>
      </c>
      <c r="AA67" s="108" t="s">
        <v>35</v>
      </c>
      <c r="AB67" s="108" t="s">
        <v>267</v>
      </c>
      <c r="AC67" s="108">
        <v>0</v>
      </c>
      <c r="AD67" s="108">
        <v>1</v>
      </c>
      <c r="AE67" s="108" t="s">
        <v>42</v>
      </c>
      <c r="AF67" s="108" t="s">
        <v>35</v>
      </c>
      <c r="AG67" s="108" t="s">
        <v>38</v>
      </c>
      <c r="AH67" s="108" t="s">
        <v>92</v>
      </c>
    </row>
    <row r="68" spans="1:34" x14ac:dyDescent="0.3">
      <c r="A68" s="118" t="s">
        <v>267</v>
      </c>
      <c r="B68" s="119" t="s">
        <v>343</v>
      </c>
      <c r="C68" s="119" t="s">
        <v>344</v>
      </c>
      <c r="D68" s="120">
        <v>45099</v>
      </c>
      <c r="E68" s="121">
        <v>140000</v>
      </c>
      <c r="F68" s="119" t="s">
        <v>32</v>
      </c>
      <c r="G68" s="119" t="s">
        <v>33</v>
      </c>
      <c r="H68" s="121">
        <v>140000</v>
      </c>
      <c r="I68" s="121">
        <v>52900</v>
      </c>
      <c r="J68" s="122">
        <f t="shared" si="7"/>
        <v>37.785714285714285</v>
      </c>
      <c r="K68" s="121">
        <v>140087</v>
      </c>
      <c r="L68" s="121">
        <f>H68-128661</f>
        <v>11339</v>
      </c>
      <c r="M68" s="121">
        <v>11426</v>
      </c>
      <c r="N68" s="123">
        <f t="shared" si="8"/>
        <v>8.1614285714285709E-2</v>
      </c>
      <c r="O68" s="124">
        <v>56.28</v>
      </c>
      <c r="P68" s="125">
        <v>110</v>
      </c>
      <c r="Q68" s="126">
        <v>0.152</v>
      </c>
      <c r="R68" s="126">
        <v>0.152</v>
      </c>
      <c r="S68" s="121">
        <f t="shared" si="9"/>
        <v>201.47476901208245</v>
      </c>
      <c r="T68" s="121">
        <f t="shared" si="10"/>
        <v>74598.68421052632</v>
      </c>
      <c r="U68" s="127">
        <f t="shared" si="11"/>
        <v>1.7125501425740661</v>
      </c>
      <c r="V68" s="126">
        <v>60</v>
      </c>
      <c r="W68" s="126">
        <f t="shared" si="12"/>
        <v>28000</v>
      </c>
      <c r="X68" s="126">
        <f t="shared" si="13"/>
        <v>466.66666666666669</v>
      </c>
      <c r="Y68" s="128" t="s">
        <v>266</v>
      </c>
      <c r="Z68" s="119" t="s">
        <v>35</v>
      </c>
      <c r="AA68" s="119" t="s">
        <v>35</v>
      </c>
      <c r="AB68" s="119" t="s">
        <v>267</v>
      </c>
      <c r="AC68" s="119">
        <v>0</v>
      </c>
      <c r="AD68" s="119">
        <v>1</v>
      </c>
      <c r="AE68" s="119" t="s">
        <v>42</v>
      </c>
      <c r="AF68" s="119" t="s">
        <v>314</v>
      </c>
      <c r="AG68" s="119" t="s">
        <v>38</v>
      </c>
      <c r="AH68" s="119" t="s">
        <v>92</v>
      </c>
    </row>
    <row r="69" spans="1:34" x14ac:dyDescent="0.3">
      <c r="A69" s="118" t="s">
        <v>267</v>
      </c>
      <c r="B69" s="119" t="s">
        <v>462</v>
      </c>
      <c r="C69" s="119" t="s">
        <v>463</v>
      </c>
      <c r="D69" s="120">
        <v>45293</v>
      </c>
      <c r="E69" s="121">
        <v>188000</v>
      </c>
      <c r="F69" s="119" t="s">
        <v>32</v>
      </c>
      <c r="G69" s="119" t="s">
        <v>33</v>
      </c>
      <c r="H69" s="121">
        <v>188000</v>
      </c>
      <c r="I69" s="121">
        <v>39000</v>
      </c>
      <c r="J69" s="122">
        <f t="shared" si="7"/>
        <v>20.74468085106383</v>
      </c>
      <c r="K69" s="121">
        <v>101427</v>
      </c>
      <c r="L69" s="121">
        <f>H69-84655</f>
        <v>103345</v>
      </c>
      <c r="M69" s="121">
        <v>16772</v>
      </c>
      <c r="N69" s="123">
        <f t="shared" si="8"/>
        <v>8.9212765957446802E-2</v>
      </c>
      <c r="O69" s="124">
        <v>82.61</v>
      </c>
      <c r="P69" s="125">
        <v>133.32</v>
      </c>
      <c r="Q69" s="126">
        <v>0.245</v>
      </c>
      <c r="R69" s="126">
        <v>0.245</v>
      </c>
      <c r="S69" s="121">
        <f t="shared" si="9"/>
        <v>1250.9986684420771</v>
      </c>
      <c r="T69" s="121">
        <f t="shared" si="10"/>
        <v>421816.32653061225</v>
      </c>
      <c r="U69" s="127">
        <f t="shared" si="11"/>
        <v>9.6835703978561121</v>
      </c>
      <c r="V69" s="126">
        <v>80</v>
      </c>
      <c r="W69" s="126">
        <f t="shared" si="12"/>
        <v>37600</v>
      </c>
      <c r="X69" s="126">
        <f t="shared" si="13"/>
        <v>470</v>
      </c>
      <c r="Y69" s="128" t="s">
        <v>266</v>
      </c>
      <c r="Z69" s="119" t="s">
        <v>35</v>
      </c>
      <c r="AA69" s="119" t="s">
        <v>35</v>
      </c>
      <c r="AB69" s="119" t="s">
        <v>267</v>
      </c>
      <c r="AC69" s="119">
        <v>0</v>
      </c>
      <c r="AD69" s="119">
        <v>1</v>
      </c>
      <c r="AE69" s="119" t="s">
        <v>464</v>
      </c>
      <c r="AF69" s="119" t="s">
        <v>43</v>
      </c>
      <c r="AG69" s="119" t="s">
        <v>38</v>
      </c>
      <c r="AH69" s="119" t="s">
        <v>92</v>
      </c>
    </row>
    <row r="70" spans="1:34" x14ac:dyDescent="0.3">
      <c r="A70" s="107" t="s">
        <v>267</v>
      </c>
      <c r="B70" s="108" t="s">
        <v>345</v>
      </c>
      <c r="C70" s="108" t="s">
        <v>346</v>
      </c>
      <c r="D70" s="109">
        <v>45490</v>
      </c>
      <c r="E70" s="110">
        <v>96000</v>
      </c>
      <c r="F70" s="108" t="s">
        <v>32</v>
      </c>
      <c r="G70" s="108" t="s">
        <v>33</v>
      </c>
      <c r="H70" s="110">
        <v>96000</v>
      </c>
      <c r="I70" s="110">
        <v>63700</v>
      </c>
      <c r="J70" s="111">
        <f t="shared" si="7"/>
        <v>66.354166666666671</v>
      </c>
      <c r="K70" s="110">
        <v>143795</v>
      </c>
      <c r="L70" s="110">
        <f>H70-135381</f>
        <v>-39381</v>
      </c>
      <c r="M70" s="110">
        <v>8414</v>
      </c>
      <c r="N70" s="112">
        <f t="shared" si="8"/>
        <v>8.7645833333333339E-2</v>
      </c>
      <c r="O70" s="113">
        <v>41.44</v>
      </c>
      <c r="P70" s="114">
        <v>129</v>
      </c>
      <c r="Q70" s="115">
        <v>0.121</v>
      </c>
      <c r="R70" s="115">
        <v>0.121</v>
      </c>
      <c r="S70" s="110">
        <f t="shared" si="9"/>
        <v>-950.31370656370666</v>
      </c>
      <c r="T70" s="110">
        <f t="shared" si="10"/>
        <v>-325462.80991735536</v>
      </c>
      <c r="U70" s="116">
        <f t="shared" si="11"/>
        <v>-7.4715980238144022</v>
      </c>
      <c r="V70" s="115">
        <v>40.72</v>
      </c>
      <c r="W70" s="115">
        <f t="shared" si="12"/>
        <v>19200</v>
      </c>
      <c r="X70" s="115">
        <f t="shared" si="13"/>
        <v>471.51277013752457</v>
      </c>
      <c r="Y70" s="117" t="s">
        <v>266</v>
      </c>
      <c r="Z70" s="108" t="s">
        <v>35</v>
      </c>
      <c r="AA70" s="108" t="s">
        <v>35</v>
      </c>
      <c r="AB70" s="108" t="s">
        <v>267</v>
      </c>
      <c r="AC70" s="108">
        <v>0</v>
      </c>
      <c r="AD70" s="108">
        <v>1</v>
      </c>
      <c r="AE70" s="108" t="s">
        <v>42</v>
      </c>
      <c r="AF70" s="108" t="s">
        <v>43</v>
      </c>
      <c r="AG70" s="108" t="s">
        <v>38</v>
      </c>
      <c r="AH70" s="108" t="s">
        <v>92</v>
      </c>
    </row>
    <row r="71" spans="1:34" x14ac:dyDescent="0.3">
      <c r="A71" s="118" t="s">
        <v>267</v>
      </c>
      <c r="B71" s="119" t="s">
        <v>465</v>
      </c>
      <c r="C71" s="119" t="s">
        <v>466</v>
      </c>
      <c r="D71" s="120">
        <v>45618</v>
      </c>
      <c r="E71" s="121">
        <v>94500</v>
      </c>
      <c r="F71" s="119" t="s">
        <v>32</v>
      </c>
      <c r="G71" s="119" t="s">
        <v>33</v>
      </c>
      <c r="H71" s="121">
        <v>94500</v>
      </c>
      <c r="I71" s="121">
        <v>45500</v>
      </c>
      <c r="J71" s="122">
        <f t="shared" si="7"/>
        <v>48.148148148148145</v>
      </c>
      <c r="K71" s="121">
        <v>102229</v>
      </c>
      <c r="L71" s="121">
        <f>H71-93790</f>
        <v>710</v>
      </c>
      <c r="M71" s="121">
        <v>8439</v>
      </c>
      <c r="N71" s="123">
        <f t="shared" si="8"/>
        <v>8.9301587301587299E-2</v>
      </c>
      <c r="O71" s="124">
        <v>41.56</v>
      </c>
      <c r="P71" s="125">
        <v>135</v>
      </c>
      <c r="Q71" s="126">
        <v>0.124</v>
      </c>
      <c r="R71" s="126">
        <v>0.124</v>
      </c>
      <c r="S71" s="121">
        <f t="shared" si="9"/>
        <v>17.0837343599615</v>
      </c>
      <c r="T71" s="121">
        <f t="shared" si="10"/>
        <v>5725.8064516129034</v>
      </c>
      <c r="U71" s="127">
        <f t="shared" si="11"/>
        <v>0.13144642910038806</v>
      </c>
      <c r="V71" s="126">
        <v>40</v>
      </c>
      <c r="W71" s="126">
        <f t="shared" si="12"/>
        <v>18900</v>
      </c>
      <c r="X71" s="126">
        <f t="shared" si="13"/>
        <v>472.5</v>
      </c>
      <c r="Y71" s="128" t="s">
        <v>266</v>
      </c>
      <c r="Z71" s="119" t="s">
        <v>35</v>
      </c>
      <c r="AA71" s="119" t="s">
        <v>35</v>
      </c>
      <c r="AB71" s="119" t="s">
        <v>267</v>
      </c>
      <c r="AC71" s="119">
        <v>0</v>
      </c>
      <c r="AD71" s="119">
        <v>1</v>
      </c>
      <c r="AE71" s="119" t="s">
        <v>467</v>
      </c>
      <c r="AF71" s="119" t="s">
        <v>35</v>
      </c>
      <c r="AG71" s="119" t="s">
        <v>38</v>
      </c>
      <c r="AH71" s="119" t="s">
        <v>92</v>
      </c>
    </row>
    <row r="72" spans="1:34" x14ac:dyDescent="0.3">
      <c r="A72" s="118" t="s">
        <v>267</v>
      </c>
      <c r="B72" s="119" t="s">
        <v>470</v>
      </c>
      <c r="C72" s="119" t="s">
        <v>471</v>
      </c>
      <c r="D72" s="120">
        <v>45415</v>
      </c>
      <c r="E72" s="121">
        <v>95000</v>
      </c>
      <c r="F72" s="119" t="s">
        <v>32</v>
      </c>
      <c r="G72" s="119" t="s">
        <v>33</v>
      </c>
      <c r="H72" s="121">
        <v>95000</v>
      </c>
      <c r="I72" s="121">
        <v>52200</v>
      </c>
      <c r="J72" s="122">
        <f t="shared" si="7"/>
        <v>54.94736842105263</v>
      </c>
      <c r="K72" s="121">
        <v>117693</v>
      </c>
      <c r="L72" s="121">
        <f>H72-109254</f>
        <v>-14254</v>
      </c>
      <c r="M72" s="121">
        <v>8439</v>
      </c>
      <c r="N72" s="123">
        <f t="shared" si="8"/>
        <v>8.8831578947368414E-2</v>
      </c>
      <c r="O72" s="124">
        <v>41.56</v>
      </c>
      <c r="P72" s="125">
        <v>135</v>
      </c>
      <c r="Q72" s="126">
        <v>0.124</v>
      </c>
      <c r="R72" s="126">
        <v>0.124</v>
      </c>
      <c r="S72" s="121">
        <f t="shared" si="9"/>
        <v>-342.97401347449471</v>
      </c>
      <c r="T72" s="121">
        <f t="shared" si="10"/>
        <v>-114951.6129032258</v>
      </c>
      <c r="U72" s="127">
        <f t="shared" si="11"/>
        <v>-2.6389259160520155</v>
      </c>
      <c r="V72" s="126">
        <v>40</v>
      </c>
      <c r="W72" s="126">
        <f t="shared" si="12"/>
        <v>19000</v>
      </c>
      <c r="X72" s="126">
        <f t="shared" si="13"/>
        <v>475</v>
      </c>
      <c r="Y72" s="128" t="s">
        <v>266</v>
      </c>
      <c r="Z72" s="119" t="s">
        <v>35</v>
      </c>
      <c r="AA72" s="119" t="s">
        <v>35</v>
      </c>
      <c r="AB72" s="119" t="s">
        <v>267</v>
      </c>
      <c r="AC72" s="119">
        <v>0</v>
      </c>
      <c r="AD72" s="119">
        <v>1</v>
      </c>
      <c r="AE72" s="119" t="s">
        <v>42</v>
      </c>
      <c r="AF72" s="119" t="s">
        <v>43</v>
      </c>
      <c r="AG72" s="119" t="s">
        <v>38</v>
      </c>
      <c r="AH72" s="119" t="s">
        <v>92</v>
      </c>
    </row>
    <row r="73" spans="1:34" x14ac:dyDescent="0.3">
      <c r="A73" s="107" t="s">
        <v>267</v>
      </c>
      <c r="B73" s="108" t="s">
        <v>481</v>
      </c>
      <c r="C73" s="108" t="s">
        <v>482</v>
      </c>
      <c r="D73" s="109">
        <v>45251</v>
      </c>
      <c r="E73" s="110">
        <v>120000</v>
      </c>
      <c r="F73" s="108" t="s">
        <v>32</v>
      </c>
      <c r="G73" s="108" t="s">
        <v>33</v>
      </c>
      <c r="H73" s="110">
        <v>120000</v>
      </c>
      <c r="I73" s="110">
        <v>47300</v>
      </c>
      <c r="J73" s="111">
        <f t="shared" si="7"/>
        <v>39.416666666666664</v>
      </c>
      <c r="K73" s="110">
        <v>125773</v>
      </c>
      <c r="L73" s="110">
        <f>H73-116251</f>
        <v>3749</v>
      </c>
      <c r="M73" s="110">
        <v>9522</v>
      </c>
      <c r="N73" s="112">
        <f t="shared" si="8"/>
        <v>7.9350000000000004E-2</v>
      </c>
      <c r="O73" s="113">
        <v>46.9</v>
      </c>
      <c r="P73" s="114">
        <v>110</v>
      </c>
      <c r="Q73" s="115">
        <v>0.126</v>
      </c>
      <c r="R73" s="115">
        <v>0.126</v>
      </c>
      <c r="S73" s="110">
        <f t="shared" si="9"/>
        <v>79.936034115138597</v>
      </c>
      <c r="T73" s="110">
        <f t="shared" si="10"/>
        <v>29753.968253968254</v>
      </c>
      <c r="U73" s="116">
        <f t="shared" si="11"/>
        <v>0.68305712245106187</v>
      </c>
      <c r="V73" s="115">
        <v>50</v>
      </c>
      <c r="W73" s="115">
        <f t="shared" si="12"/>
        <v>24000</v>
      </c>
      <c r="X73" s="115">
        <f t="shared" si="13"/>
        <v>480</v>
      </c>
      <c r="Y73" s="117" t="s">
        <v>266</v>
      </c>
      <c r="Z73" s="108" t="s">
        <v>35</v>
      </c>
      <c r="AA73" s="108" t="s">
        <v>35</v>
      </c>
      <c r="AB73" s="108" t="s">
        <v>267</v>
      </c>
      <c r="AC73" s="108">
        <v>0</v>
      </c>
      <c r="AD73" s="108">
        <v>1</v>
      </c>
      <c r="AE73" s="108" t="s">
        <v>37</v>
      </c>
      <c r="AF73" s="108" t="s">
        <v>43</v>
      </c>
      <c r="AG73" s="108" t="s">
        <v>38</v>
      </c>
      <c r="AH73" s="108" t="s">
        <v>92</v>
      </c>
    </row>
    <row r="74" spans="1:34" x14ac:dyDescent="0.3">
      <c r="A74" s="107" t="s">
        <v>267</v>
      </c>
      <c r="B74" s="108" t="s">
        <v>550</v>
      </c>
      <c r="C74" s="108" t="s">
        <v>551</v>
      </c>
      <c r="D74" s="109">
        <v>45609</v>
      </c>
      <c r="E74" s="110">
        <v>126500</v>
      </c>
      <c r="F74" s="108" t="s">
        <v>32</v>
      </c>
      <c r="G74" s="108" t="s">
        <v>33</v>
      </c>
      <c r="H74" s="110">
        <v>126500</v>
      </c>
      <c r="I74" s="110">
        <v>47500</v>
      </c>
      <c r="J74" s="111">
        <f t="shared" si="7"/>
        <v>37.549407114624508</v>
      </c>
      <c r="K74" s="110">
        <v>106542</v>
      </c>
      <c r="L74" s="110">
        <f>H74-96191</f>
        <v>30309</v>
      </c>
      <c r="M74" s="110">
        <v>10351</v>
      </c>
      <c r="N74" s="112">
        <f t="shared" si="8"/>
        <v>8.1826086956521743E-2</v>
      </c>
      <c r="O74" s="113">
        <v>50.99</v>
      </c>
      <c r="P74" s="114">
        <v>130</v>
      </c>
      <c r="Q74" s="115">
        <v>0.14899999999999999</v>
      </c>
      <c r="R74" s="115">
        <v>0.14899999999999999</v>
      </c>
      <c r="S74" s="110">
        <f t="shared" si="9"/>
        <v>594.41066875858007</v>
      </c>
      <c r="T74" s="110">
        <f t="shared" si="10"/>
        <v>203416.10738255034</v>
      </c>
      <c r="U74" s="116">
        <f t="shared" si="11"/>
        <v>4.6697912622256732</v>
      </c>
      <c r="V74" s="115">
        <v>50</v>
      </c>
      <c r="W74" s="115">
        <f t="shared" si="12"/>
        <v>25300</v>
      </c>
      <c r="X74" s="115">
        <f t="shared" si="13"/>
        <v>506</v>
      </c>
      <c r="Y74" s="117" t="s">
        <v>266</v>
      </c>
      <c r="Z74" s="108" t="s">
        <v>35</v>
      </c>
      <c r="AA74" s="108" t="s">
        <v>35</v>
      </c>
      <c r="AB74" s="108" t="s">
        <v>267</v>
      </c>
      <c r="AC74" s="108">
        <v>0</v>
      </c>
      <c r="AD74" s="108">
        <v>1</v>
      </c>
      <c r="AE74" s="108" t="s">
        <v>37</v>
      </c>
      <c r="AF74" s="108" t="s">
        <v>35</v>
      </c>
      <c r="AG74" s="108" t="s">
        <v>38</v>
      </c>
      <c r="AH74" s="108" t="s">
        <v>92</v>
      </c>
    </row>
    <row r="75" spans="1:34" x14ac:dyDescent="0.3">
      <c r="A75" s="118" t="s">
        <v>267</v>
      </c>
      <c r="B75" s="119" t="s">
        <v>453</v>
      </c>
      <c r="C75" s="119" t="s">
        <v>454</v>
      </c>
      <c r="D75" s="120">
        <v>45357</v>
      </c>
      <c r="E75" s="121">
        <v>106000</v>
      </c>
      <c r="F75" s="119" t="s">
        <v>32</v>
      </c>
      <c r="G75" s="119" t="s">
        <v>33</v>
      </c>
      <c r="H75" s="121">
        <v>106000</v>
      </c>
      <c r="I75" s="121">
        <v>36100</v>
      </c>
      <c r="J75" s="122">
        <f t="shared" si="7"/>
        <v>34.056603773584904</v>
      </c>
      <c r="K75" s="121">
        <v>95000</v>
      </c>
      <c r="L75" s="121">
        <f>H75-86561</f>
        <v>19439</v>
      </c>
      <c r="M75" s="121">
        <v>8439</v>
      </c>
      <c r="N75" s="123">
        <f t="shared" si="8"/>
        <v>7.9613207547169815E-2</v>
      </c>
      <c r="O75" s="124">
        <v>41.56</v>
      </c>
      <c r="P75" s="125">
        <v>135</v>
      </c>
      <c r="Q75" s="126">
        <v>0.124</v>
      </c>
      <c r="R75" s="126">
        <v>0.124</v>
      </c>
      <c r="S75" s="121">
        <f t="shared" si="9"/>
        <v>467.73339749759384</v>
      </c>
      <c r="T75" s="121">
        <f t="shared" si="10"/>
        <v>156766.12903225806</v>
      </c>
      <c r="U75" s="127">
        <f t="shared" si="11"/>
        <v>3.598855120116117</v>
      </c>
      <c r="V75" s="126">
        <v>40</v>
      </c>
      <c r="W75" s="126">
        <f t="shared" si="12"/>
        <v>21200</v>
      </c>
      <c r="X75" s="126">
        <f t="shared" si="13"/>
        <v>530</v>
      </c>
      <c r="Y75" s="128" t="s">
        <v>266</v>
      </c>
      <c r="Z75" s="119" t="s">
        <v>35</v>
      </c>
      <c r="AA75" s="119" t="s">
        <v>35</v>
      </c>
      <c r="AB75" s="119" t="s">
        <v>267</v>
      </c>
      <c r="AC75" s="119">
        <v>0</v>
      </c>
      <c r="AD75" s="119">
        <v>1</v>
      </c>
      <c r="AE75" s="119" t="s">
        <v>42</v>
      </c>
      <c r="AF75" s="119" t="s">
        <v>43</v>
      </c>
      <c r="AG75" s="119" t="s">
        <v>38</v>
      </c>
      <c r="AH75" s="119" t="s">
        <v>92</v>
      </c>
    </row>
    <row r="76" spans="1:34" x14ac:dyDescent="0.3">
      <c r="A76" s="107" t="s">
        <v>267</v>
      </c>
      <c r="B76" s="108" t="s">
        <v>536</v>
      </c>
      <c r="C76" s="108" t="s">
        <v>537</v>
      </c>
      <c r="D76" s="109">
        <v>45660</v>
      </c>
      <c r="E76" s="110">
        <v>160000</v>
      </c>
      <c r="F76" s="108" t="s">
        <v>32</v>
      </c>
      <c r="G76" s="108" t="s">
        <v>33</v>
      </c>
      <c r="H76" s="110">
        <v>160000</v>
      </c>
      <c r="I76" s="110">
        <v>66700</v>
      </c>
      <c r="J76" s="111">
        <f t="shared" si="7"/>
        <v>41.6875</v>
      </c>
      <c r="K76" s="110">
        <v>144480</v>
      </c>
      <c r="L76" s="110">
        <f>H76-132251</f>
        <v>27749</v>
      </c>
      <c r="M76" s="110">
        <v>12229</v>
      </c>
      <c r="N76" s="112">
        <f t="shared" si="8"/>
        <v>7.6431250000000006E-2</v>
      </c>
      <c r="O76" s="113">
        <v>60.23</v>
      </c>
      <c r="P76" s="114">
        <v>126</v>
      </c>
      <c r="Q76" s="115">
        <v>0.17399999999999999</v>
      </c>
      <c r="R76" s="115">
        <v>0.17399999999999999</v>
      </c>
      <c r="S76" s="110">
        <f t="shared" si="9"/>
        <v>460.71725053959824</v>
      </c>
      <c r="T76" s="110">
        <f t="shared" si="10"/>
        <v>159477.01149425289</v>
      </c>
      <c r="U76" s="116">
        <f t="shared" si="11"/>
        <v>3.66108841814171</v>
      </c>
      <c r="V76" s="115">
        <v>60</v>
      </c>
      <c r="W76" s="115">
        <f t="shared" si="12"/>
        <v>32000</v>
      </c>
      <c r="X76" s="115">
        <f t="shared" si="13"/>
        <v>533.33333333333337</v>
      </c>
      <c r="Y76" s="117" t="s">
        <v>266</v>
      </c>
      <c r="Z76" s="108" t="s">
        <v>35</v>
      </c>
      <c r="AA76" s="108" t="s">
        <v>35</v>
      </c>
      <c r="AB76" s="108" t="s">
        <v>267</v>
      </c>
      <c r="AC76" s="108">
        <v>0</v>
      </c>
      <c r="AD76" s="108">
        <v>1</v>
      </c>
      <c r="AE76" s="108" t="s">
        <v>412</v>
      </c>
      <c r="AF76" s="108" t="s">
        <v>35</v>
      </c>
      <c r="AG76" s="108" t="s">
        <v>38</v>
      </c>
      <c r="AH76" s="108" t="s">
        <v>92</v>
      </c>
    </row>
    <row r="77" spans="1:34" x14ac:dyDescent="0.3">
      <c r="A77" s="118" t="s">
        <v>267</v>
      </c>
      <c r="B77" s="119" t="s">
        <v>447</v>
      </c>
      <c r="C77" s="119" t="s">
        <v>448</v>
      </c>
      <c r="D77" s="120">
        <v>45727</v>
      </c>
      <c r="E77" s="121">
        <v>107500</v>
      </c>
      <c r="F77" s="119" t="s">
        <v>32</v>
      </c>
      <c r="G77" s="119" t="s">
        <v>33</v>
      </c>
      <c r="H77" s="121">
        <v>107500</v>
      </c>
      <c r="I77" s="121">
        <v>56800</v>
      </c>
      <c r="J77" s="122">
        <f t="shared" si="7"/>
        <v>52.837209302325583</v>
      </c>
      <c r="K77" s="121">
        <v>128179</v>
      </c>
      <c r="L77" s="121">
        <f>H77-119740</f>
        <v>-12240</v>
      </c>
      <c r="M77" s="121">
        <v>8439</v>
      </c>
      <c r="N77" s="123">
        <f t="shared" si="8"/>
        <v>7.8502325581395346E-2</v>
      </c>
      <c r="O77" s="124">
        <v>41.56</v>
      </c>
      <c r="P77" s="125">
        <v>135</v>
      </c>
      <c r="Q77" s="126">
        <v>0.124</v>
      </c>
      <c r="R77" s="126">
        <v>0.124</v>
      </c>
      <c r="S77" s="121">
        <f t="shared" si="9"/>
        <v>-294.51395572666024</v>
      </c>
      <c r="T77" s="121">
        <f t="shared" si="10"/>
        <v>-98709.677419354834</v>
      </c>
      <c r="U77" s="127">
        <f t="shared" si="11"/>
        <v>-2.266062383364436</v>
      </c>
      <c r="V77" s="126">
        <v>40</v>
      </c>
      <c r="W77" s="126">
        <f t="shared" si="12"/>
        <v>21500</v>
      </c>
      <c r="X77" s="126">
        <f t="shared" si="13"/>
        <v>537.5</v>
      </c>
      <c r="Y77" s="128" t="s">
        <v>266</v>
      </c>
      <c r="Z77" s="119" t="s">
        <v>35</v>
      </c>
      <c r="AA77" s="119" t="s">
        <v>35</v>
      </c>
      <c r="AB77" s="119" t="s">
        <v>267</v>
      </c>
      <c r="AC77" s="119">
        <v>0</v>
      </c>
      <c r="AD77" s="119">
        <v>1</v>
      </c>
      <c r="AE77" s="119" t="s">
        <v>37</v>
      </c>
      <c r="AF77" s="119" t="s">
        <v>35</v>
      </c>
      <c r="AG77" s="119" t="s">
        <v>38</v>
      </c>
      <c r="AH77" s="119" t="s">
        <v>92</v>
      </c>
    </row>
    <row r="78" spans="1:34" x14ac:dyDescent="0.3">
      <c r="A78" s="118" t="s">
        <v>267</v>
      </c>
      <c r="B78" s="119" t="s">
        <v>270</v>
      </c>
      <c r="C78" s="119" t="s">
        <v>271</v>
      </c>
      <c r="D78" s="120">
        <v>45730</v>
      </c>
      <c r="E78" s="121">
        <v>109000</v>
      </c>
      <c r="F78" s="119" t="s">
        <v>32</v>
      </c>
      <c r="G78" s="119" t="s">
        <v>33</v>
      </c>
      <c r="H78" s="121">
        <v>109000</v>
      </c>
      <c r="I78" s="121">
        <v>62400</v>
      </c>
      <c r="J78" s="122">
        <f t="shared" si="7"/>
        <v>57.247706422018354</v>
      </c>
      <c r="K78" s="121">
        <v>134898</v>
      </c>
      <c r="L78" s="121">
        <f>H78-126617</f>
        <v>-17617</v>
      </c>
      <c r="M78" s="121">
        <v>8281</v>
      </c>
      <c r="N78" s="123">
        <f t="shared" si="8"/>
        <v>7.5972477064220181E-2</v>
      </c>
      <c r="O78" s="124">
        <v>40.79</v>
      </c>
      <c r="P78" s="125">
        <v>130</v>
      </c>
      <c r="Q78" s="126">
        <v>0.11899999999999999</v>
      </c>
      <c r="R78" s="126">
        <v>0.11899999999999999</v>
      </c>
      <c r="S78" s="121">
        <f t="shared" si="9"/>
        <v>-431.89507232164749</v>
      </c>
      <c r="T78" s="121">
        <f t="shared" si="10"/>
        <v>-148042.01680672271</v>
      </c>
      <c r="U78" s="127">
        <f t="shared" si="11"/>
        <v>-3.3985770616786661</v>
      </c>
      <c r="V78" s="126">
        <v>40</v>
      </c>
      <c r="W78" s="126">
        <f t="shared" si="12"/>
        <v>21800</v>
      </c>
      <c r="X78" s="126">
        <f t="shared" si="13"/>
        <v>545</v>
      </c>
      <c r="Y78" s="128" t="s">
        <v>266</v>
      </c>
      <c r="Z78" s="119" t="s">
        <v>35</v>
      </c>
      <c r="AA78" s="119" t="s">
        <v>35</v>
      </c>
      <c r="AB78" s="119" t="s">
        <v>267</v>
      </c>
      <c r="AC78" s="119">
        <v>0</v>
      </c>
      <c r="AD78" s="119">
        <v>1</v>
      </c>
      <c r="AE78" s="119" t="s">
        <v>37</v>
      </c>
      <c r="AF78" s="119" t="s">
        <v>35</v>
      </c>
      <c r="AG78" s="119" t="s">
        <v>38</v>
      </c>
      <c r="AH78" s="119" t="s">
        <v>92</v>
      </c>
    </row>
    <row r="79" spans="1:34" x14ac:dyDescent="0.3">
      <c r="A79" s="118" t="s">
        <v>267</v>
      </c>
      <c r="B79" s="119" t="s">
        <v>536</v>
      </c>
      <c r="C79" s="119" t="s">
        <v>537</v>
      </c>
      <c r="D79" s="120">
        <v>45373</v>
      </c>
      <c r="E79" s="121">
        <v>165000</v>
      </c>
      <c r="F79" s="119" t="s">
        <v>32</v>
      </c>
      <c r="G79" s="119" t="s">
        <v>33</v>
      </c>
      <c r="H79" s="121">
        <v>165000</v>
      </c>
      <c r="I79" s="121">
        <v>57800</v>
      </c>
      <c r="J79" s="122">
        <f t="shared" si="7"/>
        <v>35.030303030303031</v>
      </c>
      <c r="K79" s="121">
        <v>144480</v>
      </c>
      <c r="L79" s="121">
        <f>H79-132251</f>
        <v>32749</v>
      </c>
      <c r="M79" s="121">
        <v>12229</v>
      </c>
      <c r="N79" s="123">
        <f t="shared" si="8"/>
        <v>7.4115151515151509E-2</v>
      </c>
      <c r="O79" s="124">
        <v>60.23</v>
      </c>
      <c r="P79" s="125">
        <v>126</v>
      </c>
      <c r="Q79" s="126">
        <v>0.17399999999999999</v>
      </c>
      <c r="R79" s="126">
        <v>0.17399999999999999</v>
      </c>
      <c r="S79" s="121">
        <f t="shared" si="9"/>
        <v>543.73235928939073</v>
      </c>
      <c r="T79" s="121">
        <f t="shared" si="10"/>
        <v>188212.64367816094</v>
      </c>
      <c r="U79" s="127">
        <f t="shared" si="11"/>
        <v>4.3207677612066329</v>
      </c>
      <c r="V79" s="126">
        <v>60</v>
      </c>
      <c r="W79" s="126">
        <f t="shared" si="12"/>
        <v>33000</v>
      </c>
      <c r="X79" s="126">
        <f t="shared" si="13"/>
        <v>550</v>
      </c>
      <c r="Y79" s="128" t="s">
        <v>266</v>
      </c>
      <c r="Z79" s="119" t="s">
        <v>35</v>
      </c>
      <c r="AA79" s="119" t="s">
        <v>35</v>
      </c>
      <c r="AB79" s="119" t="s">
        <v>267</v>
      </c>
      <c r="AC79" s="119">
        <v>0</v>
      </c>
      <c r="AD79" s="119">
        <v>1</v>
      </c>
      <c r="AE79" s="119" t="s">
        <v>412</v>
      </c>
      <c r="AF79" s="119" t="s">
        <v>43</v>
      </c>
      <c r="AG79" s="119" t="s">
        <v>38</v>
      </c>
      <c r="AH79" s="119" t="s">
        <v>92</v>
      </c>
    </row>
    <row r="80" spans="1:34" x14ac:dyDescent="0.3">
      <c r="A80" s="107" t="s">
        <v>267</v>
      </c>
      <c r="B80" s="108" t="s">
        <v>538</v>
      </c>
      <c r="C80" s="108" t="s">
        <v>539</v>
      </c>
      <c r="D80" s="109">
        <v>45272</v>
      </c>
      <c r="E80" s="110">
        <v>165000</v>
      </c>
      <c r="F80" s="108" t="s">
        <v>32</v>
      </c>
      <c r="G80" s="108" t="s">
        <v>33</v>
      </c>
      <c r="H80" s="110">
        <v>165000</v>
      </c>
      <c r="I80" s="110">
        <v>56900</v>
      </c>
      <c r="J80" s="111">
        <f t="shared" si="7"/>
        <v>34.484848484848484</v>
      </c>
      <c r="K80" s="110">
        <v>142003</v>
      </c>
      <c r="L80" s="110">
        <f>H80-129774</f>
        <v>35226</v>
      </c>
      <c r="M80" s="110">
        <v>12229</v>
      </c>
      <c r="N80" s="112">
        <f t="shared" si="8"/>
        <v>7.4115151515151509E-2</v>
      </c>
      <c r="O80" s="113">
        <v>60.23</v>
      </c>
      <c r="P80" s="114">
        <v>126</v>
      </c>
      <c r="Q80" s="115">
        <v>0.17399999999999999</v>
      </c>
      <c r="R80" s="115">
        <v>0.17399999999999999</v>
      </c>
      <c r="S80" s="110">
        <f t="shared" si="9"/>
        <v>584.85804416403789</v>
      </c>
      <c r="T80" s="110">
        <f t="shared" si="10"/>
        <v>202448.27586206899</v>
      </c>
      <c r="U80" s="116">
        <f t="shared" si="11"/>
        <v>4.6475729077609964</v>
      </c>
      <c r="V80" s="115">
        <v>60</v>
      </c>
      <c r="W80" s="115">
        <f t="shared" si="12"/>
        <v>33000</v>
      </c>
      <c r="X80" s="115">
        <f t="shared" si="13"/>
        <v>550</v>
      </c>
      <c r="Y80" s="117" t="s">
        <v>266</v>
      </c>
      <c r="Z80" s="108" t="s">
        <v>35</v>
      </c>
      <c r="AA80" s="108" t="s">
        <v>35</v>
      </c>
      <c r="AB80" s="108" t="s">
        <v>267</v>
      </c>
      <c r="AC80" s="108">
        <v>0</v>
      </c>
      <c r="AD80" s="108">
        <v>1</v>
      </c>
      <c r="AE80" s="108" t="s">
        <v>37</v>
      </c>
      <c r="AF80" s="108" t="s">
        <v>43</v>
      </c>
      <c r="AG80" s="108" t="s">
        <v>38</v>
      </c>
      <c r="AH80" s="108" t="s">
        <v>92</v>
      </c>
    </row>
    <row r="81" spans="1:34" x14ac:dyDescent="0.3">
      <c r="A81" s="118" t="s">
        <v>267</v>
      </c>
      <c r="B81" s="119" t="s">
        <v>455</v>
      </c>
      <c r="C81" s="119" t="s">
        <v>456</v>
      </c>
      <c r="D81" s="120">
        <v>45642</v>
      </c>
      <c r="E81" s="121">
        <v>110000</v>
      </c>
      <c r="F81" s="119" t="s">
        <v>32</v>
      </c>
      <c r="G81" s="119" t="s">
        <v>33</v>
      </c>
      <c r="H81" s="121">
        <v>110000</v>
      </c>
      <c r="I81" s="121">
        <v>47500</v>
      </c>
      <c r="J81" s="122">
        <f t="shared" si="7"/>
        <v>43.18181818181818</v>
      </c>
      <c r="K81" s="121">
        <v>106860</v>
      </c>
      <c r="L81" s="121">
        <f>H81-98261</f>
        <v>11739</v>
      </c>
      <c r="M81" s="121">
        <v>8599</v>
      </c>
      <c r="N81" s="123">
        <f t="shared" si="8"/>
        <v>7.8172727272727269E-2</v>
      </c>
      <c r="O81" s="124">
        <v>42.35</v>
      </c>
      <c r="P81" s="125">
        <v>140.18</v>
      </c>
      <c r="Q81" s="126">
        <v>0.129</v>
      </c>
      <c r="R81" s="126">
        <v>0.129</v>
      </c>
      <c r="S81" s="121">
        <f t="shared" si="9"/>
        <v>277.19008264462809</v>
      </c>
      <c r="T81" s="121">
        <f t="shared" si="10"/>
        <v>91000</v>
      </c>
      <c r="U81" s="127">
        <f t="shared" si="11"/>
        <v>2.089072543617998</v>
      </c>
      <c r="V81" s="126">
        <v>40</v>
      </c>
      <c r="W81" s="126">
        <f t="shared" si="12"/>
        <v>22000</v>
      </c>
      <c r="X81" s="126">
        <f t="shared" si="13"/>
        <v>550</v>
      </c>
      <c r="Y81" s="128" t="s">
        <v>266</v>
      </c>
      <c r="Z81" s="119" t="s">
        <v>35</v>
      </c>
      <c r="AA81" s="119" t="s">
        <v>35</v>
      </c>
      <c r="AB81" s="119" t="s">
        <v>267</v>
      </c>
      <c r="AC81" s="119">
        <v>0</v>
      </c>
      <c r="AD81" s="119">
        <v>1</v>
      </c>
      <c r="AE81" s="119" t="s">
        <v>42</v>
      </c>
      <c r="AF81" s="119" t="s">
        <v>35</v>
      </c>
      <c r="AG81" s="119" t="s">
        <v>38</v>
      </c>
      <c r="AH81" s="119" t="s">
        <v>92</v>
      </c>
    </row>
    <row r="82" spans="1:34" x14ac:dyDescent="0.3">
      <c r="A82" s="118" t="s">
        <v>267</v>
      </c>
      <c r="B82" s="119" t="s">
        <v>534</v>
      </c>
      <c r="C82" s="119" t="s">
        <v>535</v>
      </c>
      <c r="D82" s="120">
        <v>45282</v>
      </c>
      <c r="E82" s="121">
        <v>178500</v>
      </c>
      <c r="F82" s="119" t="s">
        <v>32</v>
      </c>
      <c r="G82" s="119" t="s">
        <v>33</v>
      </c>
      <c r="H82" s="121">
        <v>178500</v>
      </c>
      <c r="I82" s="121">
        <v>73800</v>
      </c>
      <c r="J82" s="122">
        <f t="shared" si="7"/>
        <v>41.344537815126046</v>
      </c>
      <c r="K82" s="121">
        <v>195861</v>
      </c>
      <c r="L82" s="121">
        <f>H82-176767</f>
        <v>1733</v>
      </c>
      <c r="M82" s="121">
        <v>19094</v>
      </c>
      <c r="N82" s="123">
        <f t="shared" si="8"/>
        <v>0.10696918767507003</v>
      </c>
      <c r="O82" s="124">
        <v>94.06</v>
      </c>
      <c r="P82" s="125">
        <v>270</v>
      </c>
      <c r="Q82" s="126">
        <v>0.39700000000000002</v>
      </c>
      <c r="R82" s="126">
        <v>0.39700000000000002</v>
      </c>
      <c r="S82" s="121">
        <f t="shared" si="9"/>
        <v>18.424409951095047</v>
      </c>
      <c r="T82" s="121">
        <f t="shared" si="10"/>
        <v>4365.2392947103272</v>
      </c>
      <c r="U82" s="127">
        <f t="shared" si="11"/>
        <v>0.10021210502089824</v>
      </c>
      <c r="V82" s="126">
        <v>64</v>
      </c>
      <c r="W82" s="126">
        <f t="shared" si="12"/>
        <v>35700</v>
      </c>
      <c r="X82" s="126">
        <f t="shared" si="13"/>
        <v>557.8125</v>
      </c>
      <c r="Y82" s="128" t="s">
        <v>266</v>
      </c>
      <c r="Z82" s="119" t="s">
        <v>35</v>
      </c>
      <c r="AA82" s="119" t="s">
        <v>35</v>
      </c>
      <c r="AB82" s="119" t="s">
        <v>267</v>
      </c>
      <c r="AC82" s="119">
        <v>0</v>
      </c>
      <c r="AD82" s="119">
        <v>1</v>
      </c>
      <c r="AE82" s="119" t="s">
        <v>37</v>
      </c>
      <c r="AF82" s="119" t="s">
        <v>43</v>
      </c>
      <c r="AG82" s="119" t="s">
        <v>38</v>
      </c>
      <c r="AH82" s="119" t="s">
        <v>92</v>
      </c>
    </row>
    <row r="83" spans="1:34" x14ac:dyDescent="0.3">
      <c r="A83" s="118" t="s">
        <v>267</v>
      </c>
      <c r="B83" s="119" t="s">
        <v>335</v>
      </c>
      <c r="C83" s="119" t="s">
        <v>336</v>
      </c>
      <c r="D83" s="120">
        <v>45251</v>
      </c>
      <c r="E83" s="121">
        <v>114000</v>
      </c>
      <c r="F83" s="119" t="s">
        <v>32</v>
      </c>
      <c r="G83" s="119" t="s">
        <v>33</v>
      </c>
      <c r="H83" s="121">
        <v>114000</v>
      </c>
      <c r="I83" s="121">
        <v>36400</v>
      </c>
      <c r="J83" s="122">
        <f t="shared" si="7"/>
        <v>31.929824561403507</v>
      </c>
      <c r="K83" s="121">
        <v>95761</v>
      </c>
      <c r="L83" s="121">
        <f>H83-87448</f>
        <v>26552</v>
      </c>
      <c r="M83" s="121">
        <v>8313</v>
      </c>
      <c r="N83" s="123">
        <f t="shared" si="8"/>
        <v>7.2921052631578942E-2</v>
      </c>
      <c r="O83" s="124">
        <v>40.94</v>
      </c>
      <c r="P83" s="125">
        <v>131</v>
      </c>
      <c r="Q83" s="126">
        <v>0.12</v>
      </c>
      <c r="R83" s="126">
        <v>0.12</v>
      </c>
      <c r="S83" s="121">
        <f t="shared" si="9"/>
        <v>648.55886663409876</v>
      </c>
      <c r="T83" s="121">
        <f t="shared" si="10"/>
        <v>221266.66666666669</v>
      </c>
      <c r="U83" s="127">
        <f t="shared" si="11"/>
        <v>5.0795837159473525</v>
      </c>
      <c r="V83" s="126">
        <v>40</v>
      </c>
      <c r="W83" s="126">
        <f t="shared" si="12"/>
        <v>22800</v>
      </c>
      <c r="X83" s="126">
        <f t="shared" si="13"/>
        <v>570</v>
      </c>
      <c r="Y83" s="128" t="s">
        <v>266</v>
      </c>
      <c r="Z83" s="119" t="s">
        <v>35</v>
      </c>
      <c r="AA83" s="119" t="s">
        <v>35</v>
      </c>
      <c r="AB83" s="119" t="s">
        <v>267</v>
      </c>
      <c r="AC83" s="119">
        <v>0</v>
      </c>
      <c r="AD83" s="119">
        <v>1</v>
      </c>
      <c r="AE83" s="119" t="s">
        <v>42</v>
      </c>
      <c r="AF83" s="119" t="s">
        <v>43</v>
      </c>
      <c r="AG83" s="119" t="s">
        <v>38</v>
      </c>
      <c r="AH83" s="119" t="s">
        <v>92</v>
      </c>
    </row>
    <row r="84" spans="1:34" x14ac:dyDescent="0.3">
      <c r="A84" s="107" t="s">
        <v>267</v>
      </c>
      <c r="B84" s="108" t="s">
        <v>443</v>
      </c>
      <c r="C84" s="108" t="s">
        <v>444</v>
      </c>
      <c r="D84" s="109">
        <v>45561</v>
      </c>
      <c r="E84" s="110">
        <v>115000</v>
      </c>
      <c r="F84" s="108" t="s">
        <v>32</v>
      </c>
      <c r="G84" s="108" t="s">
        <v>33</v>
      </c>
      <c r="H84" s="110">
        <v>115000</v>
      </c>
      <c r="I84" s="110">
        <v>44500</v>
      </c>
      <c r="J84" s="111">
        <f t="shared" si="7"/>
        <v>38.695652173913039</v>
      </c>
      <c r="K84" s="110">
        <v>99977</v>
      </c>
      <c r="L84" s="110">
        <f>H84-92015</f>
        <v>22985</v>
      </c>
      <c r="M84" s="110">
        <v>7962</v>
      </c>
      <c r="N84" s="112">
        <f t="shared" si="8"/>
        <v>6.9234782608695658E-2</v>
      </c>
      <c r="O84" s="113">
        <v>39.22</v>
      </c>
      <c r="P84" s="114">
        <v>120.18</v>
      </c>
      <c r="Q84" s="115">
        <v>0.11</v>
      </c>
      <c r="R84" s="115">
        <v>0.11</v>
      </c>
      <c r="S84" s="110">
        <f t="shared" si="9"/>
        <v>586.05303416624179</v>
      </c>
      <c r="T84" s="110">
        <f t="shared" si="10"/>
        <v>208954.54545454544</v>
      </c>
      <c r="U84" s="116">
        <f t="shared" si="11"/>
        <v>4.7969363052007674</v>
      </c>
      <c r="V84" s="115">
        <v>40</v>
      </c>
      <c r="W84" s="115">
        <f t="shared" si="12"/>
        <v>23000</v>
      </c>
      <c r="X84" s="115">
        <f t="shared" si="13"/>
        <v>575</v>
      </c>
      <c r="Y84" s="117" t="s">
        <v>266</v>
      </c>
      <c r="Z84" s="108" t="s">
        <v>35</v>
      </c>
      <c r="AA84" s="108" t="s">
        <v>35</v>
      </c>
      <c r="AB84" s="108" t="s">
        <v>267</v>
      </c>
      <c r="AC84" s="108">
        <v>0</v>
      </c>
      <c r="AD84" s="108">
        <v>1</v>
      </c>
      <c r="AE84" s="108" t="s">
        <v>42</v>
      </c>
      <c r="AF84" s="108" t="s">
        <v>43</v>
      </c>
      <c r="AG84" s="108" t="s">
        <v>38</v>
      </c>
      <c r="AH84" s="108" t="s">
        <v>92</v>
      </c>
    </row>
    <row r="85" spans="1:34" x14ac:dyDescent="0.3">
      <c r="A85" s="107" t="s">
        <v>267</v>
      </c>
      <c r="B85" s="108" t="s">
        <v>483</v>
      </c>
      <c r="C85" s="108" t="s">
        <v>484</v>
      </c>
      <c r="D85" s="109">
        <v>45720</v>
      </c>
      <c r="E85" s="110">
        <v>115000</v>
      </c>
      <c r="F85" s="108" t="s">
        <v>32</v>
      </c>
      <c r="G85" s="108" t="s">
        <v>33</v>
      </c>
      <c r="H85" s="110">
        <v>115000</v>
      </c>
      <c r="I85" s="110">
        <v>59600</v>
      </c>
      <c r="J85" s="111">
        <f t="shared" si="7"/>
        <v>51.826086956521742</v>
      </c>
      <c r="K85" s="110">
        <v>134061</v>
      </c>
      <c r="L85" s="110">
        <f>H85-125255</f>
        <v>-10255</v>
      </c>
      <c r="M85" s="110">
        <v>8806</v>
      </c>
      <c r="N85" s="112">
        <f t="shared" si="8"/>
        <v>7.6573913043478256E-2</v>
      </c>
      <c r="O85" s="113">
        <v>43.37</v>
      </c>
      <c r="P85" s="114">
        <v>147</v>
      </c>
      <c r="Q85" s="115">
        <v>0.13500000000000001</v>
      </c>
      <c r="R85" s="115">
        <v>0.13500000000000001</v>
      </c>
      <c r="S85" s="110">
        <f t="shared" si="9"/>
        <v>-236.45376988701869</v>
      </c>
      <c r="T85" s="110">
        <f t="shared" si="10"/>
        <v>-75962.962962962964</v>
      </c>
      <c r="U85" s="116">
        <f t="shared" si="11"/>
        <v>-1.7438696731626024</v>
      </c>
      <c r="V85" s="115">
        <v>40</v>
      </c>
      <c r="W85" s="115">
        <f t="shared" si="12"/>
        <v>23000</v>
      </c>
      <c r="X85" s="115">
        <f t="shared" si="13"/>
        <v>575</v>
      </c>
      <c r="Y85" s="117" t="s">
        <v>266</v>
      </c>
      <c r="Z85" s="108" t="s">
        <v>35</v>
      </c>
      <c r="AA85" s="108" t="s">
        <v>35</v>
      </c>
      <c r="AB85" s="108" t="s">
        <v>267</v>
      </c>
      <c r="AC85" s="108">
        <v>0</v>
      </c>
      <c r="AD85" s="108">
        <v>1</v>
      </c>
      <c r="AE85" s="108" t="s">
        <v>42</v>
      </c>
      <c r="AF85" s="108" t="s">
        <v>35</v>
      </c>
      <c r="AG85" s="108" t="s">
        <v>38</v>
      </c>
      <c r="AH85" s="108" t="s">
        <v>92</v>
      </c>
    </row>
    <row r="86" spans="1:34" x14ac:dyDescent="0.3">
      <c r="A86" s="118" t="s">
        <v>267</v>
      </c>
      <c r="B86" s="119" t="s">
        <v>353</v>
      </c>
      <c r="C86" s="119" t="s">
        <v>354</v>
      </c>
      <c r="D86" s="120">
        <v>45187</v>
      </c>
      <c r="E86" s="121">
        <v>130000</v>
      </c>
      <c r="F86" s="119" t="s">
        <v>32</v>
      </c>
      <c r="G86" s="119" t="s">
        <v>33</v>
      </c>
      <c r="H86" s="121">
        <v>130000</v>
      </c>
      <c r="I86" s="121">
        <v>49500</v>
      </c>
      <c r="J86" s="122">
        <f t="shared" si="7"/>
        <v>38.076923076923073</v>
      </c>
      <c r="K86" s="121">
        <v>130812</v>
      </c>
      <c r="L86" s="121">
        <f>H86-121496</f>
        <v>8504</v>
      </c>
      <c r="M86" s="121">
        <v>9316</v>
      </c>
      <c r="N86" s="123">
        <f t="shared" si="8"/>
        <v>7.1661538461538457E-2</v>
      </c>
      <c r="O86" s="124">
        <v>45.89</v>
      </c>
      <c r="P86" s="125">
        <v>130</v>
      </c>
      <c r="Q86" s="126">
        <v>0.13400000000000001</v>
      </c>
      <c r="R86" s="126">
        <v>0.13400000000000001</v>
      </c>
      <c r="S86" s="121">
        <f t="shared" si="9"/>
        <v>185.31270429287426</v>
      </c>
      <c r="T86" s="121">
        <f t="shared" si="10"/>
        <v>63462.686567164172</v>
      </c>
      <c r="U86" s="127">
        <f t="shared" si="11"/>
        <v>1.4569028137549167</v>
      </c>
      <c r="V86" s="126">
        <v>45</v>
      </c>
      <c r="W86" s="126">
        <f t="shared" si="12"/>
        <v>26000</v>
      </c>
      <c r="X86" s="126">
        <f t="shared" si="13"/>
        <v>577.77777777777783</v>
      </c>
      <c r="Y86" s="128" t="s">
        <v>266</v>
      </c>
      <c r="Z86" s="119" t="s">
        <v>35</v>
      </c>
      <c r="AA86" s="119" t="s">
        <v>35</v>
      </c>
      <c r="AB86" s="119" t="s">
        <v>267</v>
      </c>
      <c r="AC86" s="119">
        <v>0</v>
      </c>
      <c r="AD86" s="119">
        <v>1</v>
      </c>
      <c r="AE86" s="119" t="s">
        <v>37</v>
      </c>
      <c r="AF86" s="119" t="s">
        <v>43</v>
      </c>
      <c r="AG86" s="119" t="s">
        <v>38</v>
      </c>
      <c r="AH86" s="119" t="s">
        <v>92</v>
      </c>
    </row>
    <row r="87" spans="1:34" x14ac:dyDescent="0.3">
      <c r="A87" s="107" t="s">
        <v>267</v>
      </c>
      <c r="B87" s="108" t="s">
        <v>283</v>
      </c>
      <c r="C87" s="108" t="s">
        <v>284</v>
      </c>
      <c r="D87" s="109">
        <v>45055</v>
      </c>
      <c r="E87" s="110">
        <v>117500</v>
      </c>
      <c r="F87" s="108" t="s">
        <v>32</v>
      </c>
      <c r="G87" s="108" t="s">
        <v>33</v>
      </c>
      <c r="H87" s="110">
        <v>117500</v>
      </c>
      <c r="I87" s="110">
        <v>54300</v>
      </c>
      <c r="J87" s="111">
        <f t="shared" si="7"/>
        <v>46.212765957446813</v>
      </c>
      <c r="K87" s="110">
        <v>135897</v>
      </c>
      <c r="L87" s="110">
        <f>H87-127584</f>
        <v>-10084</v>
      </c>
      <c r="M87" s="110">
        <v>8313</v>
      </c>
      <c r="N87" s="112">
        <f t="shared" si="8"/>
        <v>7.0748936170212773E-2</v>
      </c>
      <c r="O87" s="113">
        <v>40.94</v>
      </c>
      <c r="P87" s="114">
        <v>131</v>
      </c>
      <c r="Q87" s="115">
        <v>0.12</v>
      </c>
      <c r="R87" s="115">
        <v>0.12</v>
      </c>
      <c r="S87" s="110">
        <f t="shared" si="9"/>
        <v>-246.31167562286274</v>
      </c>
      <c r="T87" s="110">
        <f t="shared" si="10"/>
        <v>-84033.333333333343</v>
      </c>
      <c r="U87" s="116">
        <f t="shared" si="11"/>
        <v>-1.9291398836853384</v>
      </c>
      <c r="V87" s="115">
        <v>40</v>
      </c>
      <c r="W87" s="115">
        <f t="shared" si="12"/>
        <v>23500</v>
      </c>
      <c r="X87" s="115">
        <f t="shared" si="13"/>
        <v>587.5</v>
      </c>
      <c r="Y87" s="117" t="s">
        <v>266</v>
      </c>
      <c r="Z87" s="108" t="s">
        <v>35</v>
      </c>
      <c r="AA87" s="108" t="s">
        <v>35</v>
      </c>
      <c r="AB87" s="108" t="s">
        <v>267</v>
      </c>
      <c r="AC87" s="108">
        <v>0</v>
      </c>
      <c r="AD87" s="108">
        <v>1</v>
      </c>
      <c r="AE87" s="108" t="s">
        <v>37</v>
      </c>
      <c r="AF87" s="108" t="s">
        <v>43</v>
      </c>
      <c r="AG87" s="108" t="s">
        <v>38</v>
      </c>
      <c r="AH87" s="108" t="s">
        <v>92</v>
      </c>
    </row>
    <row r="88" spans="1:34" x14ac:dyDescent="0.3">
      <c r="A88" s="107" t="s">
        <v>267</v>
      </c>
      <c r="B88" s="108" t="s">
        <v>578</v>
      </c>
      <c r="C88" s="108" t="s">
        <v>579</v>
      </c>
      <c r="D88" s="109">
        <v>45476</v>
      </c>
      <c r="E88" s="110">
        <v>118000</v>
      </c>
      <c r="F88" s="108" t="s">
        <v>32</v>
      </c>
      <c r="G88" s="108" t="s">
        <v>33</v>
      </c>
      <c r="H88" s="110">
        <v>118000</v>
      </c>
      <c r="I88" s="110">
        <v>40900</v>
      </c>
      <c r="J88" s="111">
        <f t="shared" si="7"/>
        <v>34.66101694915254</v>
      </c>
      <c r="K88" s="110">
        <v>92171</v>
      </c>
      <c r="L88" s="110">
        <f>H88-83734</f>
        <v>34266</v>
      </c>
      <c r="M88" s="110">
        <v>8437</v>
      </c>
      <c r="N88" s="112">
        <f t="shared" si="8"/>
        <v>7.1499999999999994E-2</v>
      </c>
      <c r="O88" s="113">
        <v>41.55</v>
      </c>
      <c r="P88" s="114">
        <v>134.94</v>
      </c>
      <c r="Q88" s="115">
        <v>0.124</v>
      </c>
      <c r="R88" s="115">
        <v>0.124</v>
      </c>
      <c r="S88" s="110">
        <f t="shared" si="9"/>
        <v>824.69314079422384</v>
      </c>
      <c r="T88" s="110">
        <f t="shared" si="10"/>
        <v>276338.70967741933</v>
      </c>
      <c r="U88" s="116">
        <f t="shared" si="11"/>
        <v>6.3438638585266149</v>
      </c>
      <c r="V88" s="115">
        <v>40</v>
      </c>
      <c r="W88" s="115">
        <f t="shared" si="12"/>
        <v>23600</v>
      </c>
      <c r="X88" s="115">
        <f t="shared" si="13"/>
        <v>590</v>
      </c>
      <c r="Y88" s="117" t="s">
        <v>266</v>
      </c>
      <c r="Z88" s="108" t="s">
        <v>35</v>
      </c>
      <c r="AA88" s="108" t="s">
        <v>35</v>
      </c>
      <c r="AB88" s="108" t="s">
        <v>267</v>
      </c>
      <c r="AC88" s="108">
        <v>0</v>
      </c>
      <c r="AD88" s="108">
        <v>1</v>
      </c>
      <c r="AE88" s="108" t="s">
        <v>42</v>
      </c>
      <c r="AF88" s="108" t="s">
        <v>43</v>
      </c>
      <c r="AG88" s="108" t="s">
        <v>38</v>
      </c>
      <c r="AH88" s="108" t="s">
        <v>92</v>
      </c>
    </row>
    <row r="89" spans="1:34" x14ac:dyDescent="0.3">
      <c r="A89" s="118" t="s">
        <v>267</v>
      </c>
      <c r="B89" s="119" t="s">
        <v>479</v>
      </c>
      <c r="C89" s="119" t="s">
        <v>480</v>
      </c>
      <c r="D89" s="120">
        <v>45631</v>
      </c>
      <c r="E89" s="121">
        <v>118500</v>
      </c>
      <c r="F89" s="119" t="s">
        <v>32</v>
      </c>
      <c r="G89" s="119" t="s">
        <v>33</v>
      </c>
      <c r="H89" s="121">
        <v>118500</v>
      </c>
      <c r="I89" s="121">
        <v>47000</v>
      </c>
      <c r="J89" s="122">
        <f t="shared" si="7"/>
        <v>39.662447257383967</v>
      </c>
      <c r="K89" s="121">
        <v>107485</v>
      </c>
      <c r="L89" s="121">
        <f>H89-99868</f>
        <v>18632</v>
      </c>
      <c r="M89" s="121">
        <v>7617</v>
      </c>
      <c r="N89" s="123">
        <f t="shared" si="8"/>
        <v>6.4278481012658234E-2</v>
      </c>
      <c r="O89" s="124">
        <v>37.520000000000003</v>
      </c>
      <c r="P89" s="125">
        <v>110</v>
      </c>
      <c r="Q89" s="126">
        <v>0.10100000000000001</v>
      </c>
      <c r="R89" s="126">
        <v>0.10100000000000001</v>
      </c>
      <c r="S89" s="121">
        <f t="shared" si="9"/>
        <v>496.58848614072491</v>
      </c>
      <c r="T89" s="121">
        <f t="shared" si="10"/>
        <v>184475.24752475246</v>
      </c>
      <c r="U89" s="127">
        <f t="shared" si="11"/>
        <v>4.2349689514405986</v>
      </c>
      <c r="V89" s="126">
        <v>40</v>
      </c>
      <c r="W89" s="126">
        <f t="shared" si="12"/>
        <v>23700</v>
      </c>
      <c r="X89" s="126">
        <f t="shared" si="13"/>
        <v>592.5</v>
      </c>
      <c r="Y89" s="128" t="s">
        <v>266</v>
      </c>
      <c r="Z89" s="119" t="s">
        <v>35</v>
      </c>
      <c r="AA89" s="119" t="s">
        <v>35</v>
      </c>
      <c r="AB89" s="119" t="s">
        <v>267</v>
      </c>
      <c r="AC89" s="119">
        <v>0</v>
      </c>
      <c r="AD89" s="119">
        <v>1</v>
      </c>
      <c r="AE89" s="119" t="s">
        <v>37</v>
      </c>
      <c r="AF89" s="119" t="s">
        <v>35</v>
      </c>
      <c r="AG89" s="119" t="s">
        <v>38</v>
      </c>
      <c r="AH89" s="119" t="s">
        <v>92</v>
      </c>
    </row>
    <row r="90" spans="1:34" x14ac:dyDescent="0.3">
      <c r="A90" s="118" t="s">
        <v>267</v>
      </c>
      <c r="B90" s="119" t="s">
        <v>493</v>
      </c>
      <c r="C90" s="119" t="s">
        <v>494</v>
      </c>
      <c r="D90" s="120">
        <v>45722</v>
      </c>
      <c r="E90" s="121">
        <v>179900</v>
      </c>
      <c r="F90" s="119" t="s">
        <v>32</v>
      </c>
      <c r="G90" s="119" t="s">
        <v>33</v>
      </c>
      <c r="H90" s="121">
        <v>179900</v>
      </c>
      <c r="I90" s="121">
        <v>97600</v>
      </c>
      <c r="J90" s="122">
        <f t="shared" si="7"/>
        <v>54.252362423568648</v>
      </c>
      <c r="K90" s="121">
        <v>214183</v>
      </c>
      <c r="L90" s="121">
        <f>H90-201525</f>
        <v>-21625</v>
      </c>
      <c r="M90" s="121">
        <v>12658</v>
      </c>
      <c r="N90" s="123">
        <f t="shared" si="8"/>
        <v>7.0361311839911067E-2</v>
      </c>
      <c r="O90" s="124">
        <v>62.35</v>
      </c>
      <c r="P90" s="125">
        <v>135</v>
      </c>
      <c r="Q90" s="126">
        <v>0.186</v>
      </c>
      <c r="R90" s="126">
        <v>0.186</v>
      </c>
      <c r="S90" s="121">
        <f t="shared" si="9"/>
        <v>-346.83239775461107</v>
      </c>
      <c r="T90" s="121">
        <f t="shared" si="10"/>
        <v>-116263.44086021505</v>
      </c>
      <c r="U90" s="127">
        <f t="shared" si="11"/>
        <v>-2.6690413420618699</v>
      </c>
      <c r="V90" s="126">
        <v>60</v>
      </c>
      <c r="W90" s="126">
        <f t="shared" si="12"/>
        <v>35980</v>
      </c>
      <c r="X90" s="126">
        <f t="shared" si="13"/>
        <v>599.66666666666663</v>
      </c>
      <c r="Y90" s="128" t="s">
        <v>266</v>
      </c>
      <c r="Z90" s="119" t="s">
        <v>35</v>
      </c>
      <c r="AA90" s="119" t="s">
        <v>35</v>
      </c>
      <c r="AB90" s="119" t="s">
        <v>267</v>
      </c>
      <c r="AC90" s="119">
        <v>0</v>
      </c>
      <c r="AD90" s="119">
        <v>1</v>
      </c>
      <c r="AE90" s="119" t="s">
        <v>42</v>
      </c>
      <c r="AF90" s="119" t="s">
        <v>35</v>
      </c>
      <c r="AG90" s="119" t="s">
        <v>38</v>
      </c>
      <c r="AH90" s="119" t="s">
        <v>92</v>
      </c>
    </row>
    <row r="91" spans="1:34" x14ac:dyDescent="0.3">
      <c r="A91" s="107" t="s">
        <v>267</v>
      </c>
      <c r="B91" s="108" t="s">
        <v>330</v>
      </c>
      <c r="C91" s="108" t="s">
        <v>331</v>
      </c>
      <c r="D91" s="109">
        <v>45198</v>
      </c>
      <c r="E91" s="110">
        <v>150000</v>
      </c>
      <c r="F91" s="108" t="s">
        <v>32</v>
      </c>
      <c r="G91" s="108" t="s">
        <v>33</v>
      </c>
      <c r="H91" s="110">
        <v>150000</v>
      </c>
      <c r="I91" s="110">
        <v>56000</v>
      </c>
      <c r="J91" s="111">
        <f t="shared" si="7"/>
        <v>37.333333333333336</v>
      </c>
      <c r="K91" s="110">
        <v>142607</v>
      </c>
      <c r="L91" s="110">
        <f>H91-132216</f>
        <v>17784</v>
      </c>
      <c r="M91" s="110">
        <v>10391</v>
      </c>
      <c r="N91" s="112">
        <f t="shared" si="8"/>
        <v>6.927333333333334E-2</v>
      </c>
      <c r="O91" s="113">
        <v>51.18</v>
      </c>
      <c r="P91" s="114">
        <v>131</v>
      </c>
      <c r="Q91" s="115">
        <v>0.15</v>
      </c>
      <c r="R91" s="115">
        <v>0.15</v>
      </c>
      <c r="S91" s="110">
        <f t="shared" si="9"/>
        <v>347.47948417350528</v>
      </c>
      <c r="T91" s="110">
        <f t="shared" si="10"/>
        <v>118560</v>
      </c>
      <c r="U91" s="116">
        <f t="shared" si="11"/>
        <v>2.721763085399449</v>
      </c>
      <c r="V91" s="115">
        <v>50</v>
      </c>
      <c r="W91" s="115">
        <f t="shared" si="12"/>
        <v>30000</v>
      </c>
      <c r="X91" s="115">
        <f t="shared" si="13"/>
        <v>600</v>
      </c>
      <c r="Y91" s="117" t="s">
        <v>266</v>
      </c>
      <c r="Z91" s="108" t="s">
        <v>35</v>
      </c>
      <c r="AA91" s="108" t="s">
        <v>35</v>
      </c>
      <c r="AB91" s="108" t="s">
        <v>267</v>
      </c>
      <c r="AC91" s="108">
        <v>0</v>
      </c>
      <c r="AD91" s="108">
        <v>1</v>
      </c>
      <c r="AE91" s="108" t="s">
        <v>37</v>
      </c>
      <c r="AF91" s="108" t="s">
        <v>43</v>
      </c>
      <c r="AG91" s="108" t="s">
        <v>38</v>
      </c>
      <c r="AH91" s="108" t="s">
        <v>92</v>
      </c>
    </row>
    <row r="92" spans="1:34" x14ac:dyDescent="0.3">
      <c r="A92" s="118" t="s">
        <v>267</v>
      </c>
      <c r="B92" s="119" t="s">
        <v>302</v>
      </c>
      <c r="C92" s="119" t="s">
        <v>303</v>
      </c>
      <c r="D92" s="120">
        <v>45084</v>
      </c>
      <c r="E92" s="121">
        <v>120000</v>
      </c>
      <c r="F92" s="119" t="s">
        <v>32</v>
      </c>
      <c r="G92" s="119" t="s">
        <v>33</v>
      </c>
      <c r="H92" s="121">
        <v>120000</v>
      </c>
      <c r="I92" s="121">
        <v>46200</v>
      </c>
      <c r="J92" s="122">
        <f t="shared" si="7"/>
        <v>38.5</v>
      </c>
      <c r="K92" s="121">
        <v>122968</v>
      </c>
      <c r="L92" s="121">
        <f>H92-114655</f>
        <v>5345</v>
      </c>
      <c r="M92" s="121">
        <v>8313</v>
      </c>
      <c r="N92" s="123">
        <f t="shared" si="8"/>
        <v>6.9275000000000003E-2</v>
      </c>
      <c r="O92" s="124">
        <v>40.94</v>
      </c>
      <c r="P92" s="125">
        <v>131</v>
      </c>
      <c r="Q92" s="126">
        <v>0.12</v>
      </c>
      <c r="R92" s="126">
        <v>0.12</v>
      </c>
      <c r="S92" s="121">
        <f t="shared" si="9"/>
        <v>130.55691255495847</v>
      </c>
      <c r="T92" s="121">
        <f t="shared" si="10"/>
        <v>44541.666666666672</v>
      </c>
      <c r="U92" s="127">
        <f t="shared" si="11"/>
        <v>1.0225359657177839</v>
      </c>
      <c r="V92" s="126">
        <v>40</v>
      </c>
      <c r="W92" s="126">
        <f t="shared" si="12"/>
        <v>24000</v>
      </c>
      <c r="X92" s="126">
        <f t="shared" si="13"/>
        <v>600</v>
      </c>
      <c r="Y92" s="128" t="s">
        <v>266</v>
      </c>
      <c r="Z92" s="119" t="s">
        <v>35</v>
      </c>
      <c r="AA92" s="119" t="s">
        <v>35</v>
      </c>
      <c r="AB92" s="119" t="s">
        <v>267</v>
      </c>
      <c r="AC92" s="119">
        <v>0</v>
      </c>
      <c r="AD92" s="119">
        <v>1</v>
      </c>
      <c r="AE92" s="119" t="s">
        <v>42</v>
      </c>
      <c r="AF92" s="119" t="s">
        <v>43</v>
      </c>
      <c r="AG92" s="119" t="s">
        <v>38</v>
      </c>
      <c r="AH92" s="119" t="s">
        <v>92</v>
      </c>
    </row>
    <row r="93" spans="1:34" x14ac:dyDescent="0.3">
      <c r="A93" s="118" t="s">
        <v>267</v>
      </c>
      <c r="B93" s="119" t="s">
        <v>326</v>
      </c>
      <c r="C93" s="119" t="s">
        <v>327</v>
      </c>
      <c r="D93" s="120">
        <v>45567</v>
      </c>
      <c r="E93" s="121">
        <v>120000</v>
      </c>
      <c r="F93" s="119" t="s">
        <v>32</v>
      </c>
      <c r="G93" s="119" t="s">
        <v>33</v>
      </c>
      <c r="H93" s="121">
        <v>120000</v>
      </c>
      <c r="I93" s="121">
        <v>55100</v>
      </c>
      <c r="J93" s="122">
        <f t="shared" si="7"/>
        <v>45.916666666666664</v>
      </c>
      <c r="K93" s="121">
        <v>120457</v>
      </c>
      <c r="L93" s="121">
        <f>H93-112144</f>
        <v>7856</v>
      </c>
      <c r="M93" s="121">
        <v>8313</v>
      </c>
      <c r="N93" s="123">
        <f t="shared" si="8"/>
        <v>6.9275000000000003E-2</v>
      </c>
      <c r="O93" s="124">
        <v>40.94</v>
      </c>
      <c r="P93" s="125">
        <v>131</v>
      </c>
      <c r="Q93" s="126">
        <v>0.12</v>
      </c>
      <c r="R93" s="126">
        <v>0.12</v>
      </c>
      <c r="S93" s="121">
        <f t="shared" si="9"/>
        <v>191.89057156814852</v>
      </c>
      <c r="T93" s="121">
        <f t="shared" si="10"/>
        <v>65466.666666666672</v>
      </c>
      <c r="U93" s="127">
        <f t="shared" si="11"/>
        <v>1.5029078665442304</v>
      </c>
      <c r="V93" s="126">
        <v>40</v>
      </c>
      <c r="W93" s="126">
        <f t="shared" si="12"/>
        <v>24000</v>
      </c>
      <c r="X93" s="126">
        <f t="shared" si="13"/>
        <v>600</v>
      </c>
      <c r="Y93" s="128" t="s">
        <v>266</v>
      </c>
      <c r="Z93" s="119" t="s">
        <v>35</v>
      </c>
      <c r="AA93" s="119" t="s">
        <v>35</v>
      </c>
      <c r="AB93" s="119" t="s">
        <v>267</v>
      </c>
      <c r="AC93" s="119">
        <v>0</v>
      </c>
      <c r="AD93" s="119">
        <v>1</v>
      </c>
      <c r="AE93" s="119" t="s">
        <v>37</v>
      </c>
      <c r="AF93" s="119" t="s">
        <v>35</v>
      </c>
      <c r="AG93" s="119" t="s">
        <v>38</v>
      </c>
      <c r="AH93" s="119" t="s">
        <v>92</v>
      </c>
    </row>
    <row r="94" spans="1:34" x14ac:dyDescent="0.3">
      <c r="A94" s="107" t="s">
        <v>267</v>
      </c>
      <c r="B94" s="108" t="s">
        <v>332</v>
      </c>
      <c r="C94" s="108" t="s">
        <v>333</v>
      </c>
      <c r="D94" s="109">
        <v>45363</v>
      </c>
      <c r="E94" s="110">
        <v>120000</v>
      </c>
      <c r="F94" s="108" t="s">
        <v>81</v>
      </c>
      <c r="G94" s="108" t="s">
        <v>33</v>
      </c>
      <c r="H94" s="110">
        <v>120000</v>
      </c>
      <c r="I94" s="110">
        <v>67900</v>
      </c>
      <c r="J94" s="111">
        <f t="shared" si="7"/>
        <v>56.583333333333329</v>
      </c>
      <c r="K94" s="110">
        <v>171598</v>
      </c>
      <c r="L94" s="110">
        <f>H94-163285</f>
        <v>-43285</v>
      </c>
      <c r="M94" s="110">
        <v>8313</v>
      </c>
      <c r="N94" s="112">
        <f t="shared" si="8"/>
        <v>6.9275000000000003E-2</v>
      </c>
      <c r="O94" s="113">
        <v>40.94</v>
      </c>
      <c r="P94" s="114">
        <v>131</v>
      </c>
      <c r="Q94" s="115">
        <v>0.12</v>
      </c>
      <c r="R94" s="115">
        <v>0.12</v>
      </c>
      <c r="S94" s="110">
        <f t="shared" si="9"/>
        <v>-1057.2789447972643</v>
      </c>
      <c r="T94" s="110">
        <f t="shared" si="10"/>
        <v>-360708.33333333337</v>
      </c>
      <c r="U94" s="116">
        <f t="shared" si="11"/>
        <v>-8.2807239057239066</v>
      </c>
      <c r="V94" s="115">
        <v>40</v>
      </c>
      <c r="W94" s="115">
        <f t="shared" si="12"/>
        <v>24000</v>
      </c>
      <c r="X94" s="115">
        <f t="shared" si="13"/>
        <v>600</v>
      </c>
      <c r="Y94" s="117" t="s">
        <v>266</v>
      </c>
      <c r="Z94" s="108" t="s">
        <v>35</v>
      </c>
      <c r="AA94" s="108" t="s">
        <v>35</v>
      </c>
      <c r="AB94" s="108" t="s">
        <v>267</v>
      </c>
      <c r="AC94" s="108">
        <v>0</v>
      </c>
      <c r="AD94" s="108">
        <v>1</v>
      </c>
      <c r="AE94" s="108" t="s">
        <v>334</v>
      </c>
      <c r="AF94" s="108" t="s">
        <v>43</v>
      </c>
      <c r="AG94" s="108" t="s">
        <v>38</v>
      </c>
      <c r="AH94" s="108" t="s">
        <v>92</v>
      </c>
    </row>
    <row r="95" spans="1:34" x14ac:dyDescent="0.3">
      <c r="A95" s="107" t="s">
        <v>267</v>
      </c>
      <c r="B95" s="108" t="s">
        <v>440</v>
      </c>
      <c r="C95" s="108" t="s">
        <v>441</v>
      </c>
      <c r="D95" s="109">
        <v>45126</v>
      </c>
      <c r="E95" s="110">
        <v>125000</v>
      </c>
      <c r="F95" s="108" t="s">
        <v>32</v>
      </c>
      <c r="G95" s="108" t="s">
        <v>33</v>
      </c>
      <c r="H95" s="110">
        <v>125000</v>
      </c>
      <c r="I95" s="110">
        <v>46800</v>
      </c>
      <c r="J95" s="111">
        <f t="shared" si="7"/>
        <v>37.44</v>
      </c>
      <c r="K95" s="110">
        <v>124669</v>
      </c>
      <c r="L95" s="110">
        <f>H95-116737</f>
        <v>8263</v>
      </c>
      <c r="M95" s="110">
        <v>7932</v>
      </c>
      <c r="N95" s="112">
        <f t="shared" si="8"/>
        <v>6.3455999999999999E-2</v>
      </c>
      <c r="O95" s="113">
        <v>39.07</v>
      </c>
      <c r="P95" s="114">
        <v>119.28</v>
      </c>
      <c r="Q95" s="115">
        <v>0.11</v>
      </c>
      <c r="R95" s="115">
        <v>0.11</v>
      </c>
      <c r="S95" s="110">
        <f t="shared" si="9"/>
        <v>211.49219349884822</v>
      </c>
      <c r="T95" s="110">
        <f t="shared" si="10"/>
        <v>75118.181818181823</v>
      </c>
      <c r="U95" s="116">
        <f t="shared" si="11"/>
        <v>1.7244761666249271</v>
      </c>
      <c r="V95" s="115">
        <v>40</v>
      </c>
      <c r="W95" s="115">
        <f t="shared" si="12"/>
        <v>25000</v>
      </c>
      <c r="X95" s="115">
        <f t="shared" si="13"/>
        <v>625</v>
      </c>
      <c r="Y95" s="117" t="s">
        <v>266</v>
      </c>
      <c r="Z95" s="108" t="s">
        <v>35</v>
      </c>
      <c r="AA95" s="108" t="s">
        <v>35</v>
      </c>
      <c r="AB95" s="108" t="s">
        <v>267</v>
      </c>
      <c r="AC95" s="108">
        <v>0</v>
      </c>
      <c r="AD95" s="108">
        <v>1</v>
      </c>
      <c r="AE95" s="108" t="s">
        <v>442</v>
      </c>
      <c r="AF95" s="108" t="s">
        <v>43</v>
      </c>
      <c r="AG95" s="108" t="s">
        <v>38</v>
      </c>
      <c r="AH95" s="108" t="s">
        <v>92</v>
      </c>
    </row>
    <row r="96" spans="1:34" x14ac:dyDescent="0.3">
      <c r="A96" s="118" t="s">
        <v>267</v>
      </c>
      <c r="B96" s="119" t="s">
        <v>285</v>
      </c>
      <c r="C96" s="119" t="s">
        <v>286</v>
      </c>
      <c r="D96" s="120">
        <v>45272</v>
      </c>
      <c r="E96" s="121">
        <v>125000</v>
      </c>
      <c r="F96" s="119" t="s">
        <v>32</v>
      </c>
      <c r="G96" s="119" t="s">
        <v>33</v>
      </c>
      <c r="H96" s="121">
        <v>125000</v>
      </c>
      <c r="I96" s="121">
        <v>48300</v>
      </c>
      <c r="J96" s="122">
        <f t="shared" si="7"/>
        <v>38.64</v>
      </c>
      <c r="K96" s="121">
        <v>127981</v>
      </c>
      <c r="L96" s="121">
        <f>H96-119668</f>
        <v>5332</v>
      </c>
      <c r="M96" s="121">
        <v>8313</v>
      </c>
      <c r="N96" s="123">
        <f t="shared" si="8"/>
        <v>6.6503999999999994E-2</v>
      </c>
      <c r="O96" s="124">
        <v>40.94</v>
      </c>
      <c r="P96" s="125">
        <v>131</v>
      </c>
      <c r="Q96" s="126">
        <v>0.12</v>
      </c>
      <c r="R96" s="126">
        <v>0.12</v>
      </c>
      <c r="S96" s="121">
        <f t="shared" si="9"/>
        <v>130.23937469467515</v>
      </c>
      <c r="T96" s="121">
        <f t="shared" si="10"/>
        <v>44433.333333333336</v>
      </c>
      <c r="U96" s="127">
        <f t="shared" si="11"/>
        <v>1.0200489745944292</v>
      </c>
      <c r="V96" s="126">
        <v>40</v>
      </c>
      <c r="W96" s="126">
        <f t="shared" si="12"/>
        <v>25000</v>
      </c>
      <c r="X96" s="126">
        <f t="shared" si="13"/>
        <v>625</v>
      </c>
      <c r="Y96" s="128" t="s">
        <v>266</v>
      </c>
      <c r="Z96" s="119" t="s">
        <v>35</v>
      </c>
      <c r="AA96" s="119" t="s">
        <v>35</v>
      </c>
      <c r="AB96" s="119" t="s">
        <v>267</v>
      </c>
      <c r="AC96" s="119">
        <v>0</v>
      </c>
      <c r="AD96" s="119">
        <v>1</v>
      </c>
      <c r="AE96" s="119" t="s">
        <v>42</v>
      </c>
      <c r="AF96" s="119" t="s">
        <v>43</v>
      </c>
      <c r="AG96" s="119" t="s">
        <v>38</v>
      </c>
      <c r="AH96" s="119" t="s">
        <v>92</v>
      </c>
    </row>
    <row r="97" spans="1:34" x14ac:dyDescent="0.3">
      <c r="A97" s="118" t="s">
        <v>267</v>
      </c>
      <c r="B97" s="119" t="s">
        <v>580</v>
      </c>
      <c r="C97" s="119" t="s">
        <v>581</v>
      </c>
      <c r="D97" s="120">
        <v>45495</v>
      </c>
      <c r="E97" s="121">
        <v>125000</v>
      </c>
      <c r="F97" s="119" t="s">
        <v>32</v>
      </c>
      <c r="G97" s="119" t="s">
        <v>33</v>
      </c>
      <c r="H97" s="121">
        <v>125000</v>
      </c>
      <c r="I97" s="121">
        <v>62100</v>
      </c>
      <c r="J97" s="122">
        <f t="shared" si="7"/>
        <v>49.68</v>
      </c>
      <c r="K97" s="121">
        <v>136222</v>
      </c>
      <c r="L97" s="121">
        <f>H97-127785</f>
        <v>-2785</v>
      </c>
      <c r="M97" s="121">
        <v>8437</v>
      </c>
      <c r="N97" s="123">
        <f t="shared" si="8"/>
        <v>6.7496E-2</v>
      </c>
      <c r="O97" s="124">
        <v>41.55</v>
      </c>
      <c r="P97" s="125">
        <v>134.94</v>
      </c>
      <c r="Q97" s="126">
        <v>0.124</v>
      </c>
      <c r="R97" s="126">
        <v>0.124</v>
      </c>
      <c r="S97" s="121">
        <f t="shared" si="9"/>
        <v>-67.027677496991586</v>
      </c>
      <c r="T97" s="121">
        <f t="shared" si="10"/>
        <v>-22459.677419354837</v>
      </c>
      <c r="U97" s="127">
        <f t="shared" si="11"/>
        <v>-0.5156032465416629</v>
      </c>
      <c r="V97" s="126">
        <v>40</v>
      </c>
      <c r="W97" s="126">
        <f t="shared" si="12"/>
        <v>25000</v>
      </c>
      <c r="X97" s="126">
        <f t="shared" si="13"/>
        <v>625</v>
      </c>
      <c r="Y97" s="128" t="s">
        <v>266</v>
      </c>
      <c r="Z97" s="119" t="s">
        <v>35</v>
      </c>
      <c r="AA97" s="119" t="s">
        <v>35</v>
      </c>
      <c r="AB97" s="119" t="s">
        <v>267</v>
      </c>
      <c r="AC97" s="119">
        <v>0</v>
      </c>
      <c r="AD97" s="119">
        <v>1</v>
      </c>
      <c r="AE97" s="119" t="s">
        <v>37</v>
      </c>
      <c r="AF97" s="119" t="s">
        <v>43</v>
      </c>
      <c r="AG97" s="119" t="s">
        <v>38</v>
      </c>
      <c r="AH97" s="119" t="s">
        <v>92</v>
      </c>
    </row>
    <row r="98" spans="1:34" x14ac:dyDescent="0.3">
      <c r="A98" s="107" t="s">
        <v>267</v>
      </c>
      <c r="B98" s="108" t="s">
        <v>436</v>
      </c>
      <c r="C98" s="108" t="s">
        <v>437</v>
      </c>
      <c r="D98" s="109">
        <v>45681</v>
      </c>
      <c r="E98" s="110">
        <v>125000</v>
      </c>
      <c r="F98" s="108" t="s">
        <v>81</v>
      </c>
      <c r="G98" s="108" t="s">
        <v>33</v>
      </c>
      <c r="H98" s="110">
        <v>125000</v>
      </c>
      <c r="I98" s="110">
        <v>82600</v>
      </c>
      <c r="J98" s="111">
        <f t="shared" si="7"/>
        <v>66.080000000000013</v>
      </c>
      <c r="K98" s="110">
        <v>181256</v>
      </c>
      <c r="L98" s="110">
        <f>H98-172817</f>
        <v>-47817</v>
      </c>
      <c r="M98" s="110">
        <v>8439</v>
      </c>
      <c r="N98" s="112">
        <f t="shared" si="8"/>
        <v>6.7512000000000003E-2</v>
      </c>
      <c r="O98" s="113">
        <v>41.56</v>
      </c>
      <c r="P98" s="114">
        <v>135</v>
      </c>
      <c r="Q98" s="115">
        <v>0.124</v>
      </c>
      <c r="R98" s="115">
        <v>0.124</v>
      </c>
      <c r="S98" s="110">
        <f t="shared" si="9"/>
        <v>-1150.553416746872</v>
      </c>
      <c r="T98" s="110">
        <f t="shared" si="10"/>
        <v>-385620.96774193551</v>
      </c>
      <c r="U98" s="116">
        <f t="shared" si="11"/>
        <v>-8.8526392961876841</v>
      </c>
      <c r="V98" s="115">
        <v>40</v>
      </c>
      <c r="W98" s="115">
        <f t="shared" si="12"/>
        <v>25000</v>
      </c>
      <c r="X98" s="115">
        <f t="shared" si="13"/>
        <v>625</v>
      </c>
      <c r="Y98" s="117" t="s">
        <v>266</v>
      </c>
      <c r="Z98" s="108" t="s">
        <v>35</v>
      </c>
      <c r="AA98" s="108" t="s">
        <v>35</v>
      </c>
      <c r="AB98" s="108" t="s">
        <v>267</v>
      </c>
      <c r="AC98" s="108">
        <v>0</v>
      </c>
      <c r="AD98" s="108">
        <v>1</v>
      </c>
      <c r="AE98" s="108" t="s">
        <v>37</v>
      </c>
      <c r="AF98" s="108" t="s">
        <v>35</v>
      </c>
      <c r="AG98" s="108" t="s">
        <v>38</v>
      </c>
      <c r="AH98" s="108" t="s">
        <v>92</v>
      </c>
    </row>
    <row r="99" spans="1:34" x14ac:dyDescent="0.3">
      <c r="A99" s="107" t="s">
        <v>267</v>
      </c>
      <c r="B99" s="108" t="s">
        <v>339</v>
      </c>
      <c r="C99" s="108" t="s">
        <v>340</v>
      </c>
      <c r="D99" s="109">
        <v>45646</v>
      </c>
      <c r="E99" s="110">
        <v>125000</v>
      </c>
      <c r="F99" s="108" t="s">
        <v>32</v>
      </c>
      <c r="G99" s="108" t="s">
        <v>33</v>
      </c>
      <c r="H99" s="110">
        <v>125000</v>
      </c>
      <c r="I99" s="110">
        <v>56600</v>
      </c>
      <c r="J99" s="111">
        <f t="shared" si="7"/>
        <v>45.28</v>
      </c>
      <c r="K99" s="110">
        <v>127769</v>
      </c>
      <c r="L99" s="110">
        <f>H99-119251</f>
        <v>5749</v>
      </c>
      <c r="M99" s="110">
        <v>8518</v>
      </c>
      <c r="N99" s="112">
        <f t="shared" si="8"/>
        <v>6.8143999999999996E-2</v>
      </c>
      <c r="O99" s="113">
        <v>41.95</v>
      </c>
      <c r="P99" s="114">
        <v>137.55000000000001</v>
      </c>
      <c r="Q99" s="115">
        <v>0.126</v>
      </c>
      <c r="R99" s="115">
        <v>0.126</v>
      </c>
      <c r="S99" s="110">
        <f t="shared" si="9"/>
        <v>137.04410011918949</v>
      </c>
      <c r="T99" s="110">
        <f t="shared" si="10"/>
        <v>45626.984126984127</v>
      </c>
      <c r="U99" s="116">
        <f t="shared" si="11"/>
        <v>1.0474514262393051</v>
      </c>
      <c r="V99" s="115">
        <v>40</v>
      </c>
      <c r="W99" s="115">
        <f t="shared" si="12"/>
        <v>25000</v>
      </c>
      <c r="X99" s="115">
        <f t="shared" si="13"/>
        <v>625</v>
      </c>
      <c r="Y99" s="117" t="s">
        <v>266</v>
      </c>
      <c r="Z99" s="108" t="s">
        <v>35</v>
      </c>
      <c r="AA99" s="108" t="s">
        <v>35</v>
      </c>
      <c r="AB99" s="108" t="s">
        <v>267</v>
      </c>
      <c r="AC99" s="108">
        <v>0</v>
      </c>
      <c r="AD99" s="108">
        <v>1</v>
      </c>
      <c r="AE99" s="108" t="s">
        <v>42</v>
      </c>
      <c r="AF99" s="108" t="s">
        <v>35</v>
      </c>
      <c r="AG99" s="108" t="s">
        <v>38</v>
      </c>
      <c r="AH99" s="108" t="s">
        <v>92</v>
      </c>
    </row>
    <row r="100" spans="1:34" x14ac:dyDescent="0.3">
      <c r="A100" s="118" t="s">
        <v>267</v>
      </c>
      <c r="B100" s="119" t="s">
        <v>476</v>
      </c>
      <c r="C100" s="119" t="s">
        <v>477</v>
      </c>
      <c r="D100" s="120">
        <v>45687</v>
      </c>
      <c r="E100" s="121">
        <v>126000</v>
      </c>
      <c r="F100" s="119" t="s">
        <v>32</v>
      </c>
      <c r="G100" s="119" t="s">
        <v>33</v>
      </c>
      <c r="H100" s="121">
        <v>126000</v>
      </c>
      <c r="I100" s="121">
        <v>47000</v>
      </c>
      <c r="J100" s="122">
        <f t="shared" si="7"/>
        <v>37.301587301587304</v>
      </c>
      <c r="K100" s="121">
        <v>105516</v>
      </c>
      <c r="L100" s="121">
        <f>H100-97899</f>
        <v>28101</v>
      </c>
      <c r="M100" s="121">
        <v>7617</v>
      </c>
      <c r="N100" s="123">
        <f t="shared" si="8"/>
        <v>6.0452380952380952E-2</v>
      </c>
      <c r="O100" s="124">
        <v>37.520000000000003</v>
      </c>
      <c r="P100" s="125">
        <v>110</v>
      </c>
      <c r="Q100" s="126">
        <v>0.10100000000000001</v>
      </c>
      <c r="R100" s="126">
        <v>0.10100000000000001</v>
      </c>
      <c r="S100" s="121">
        <f t="shared" si="9"/>
        <v>748.9605543710021</v>
      </c>
      <c r="T100" s="121">
        <f t="shared" si="10"/>
        <v>278227.72277227719</v>
      </c>
      <c r="U100" s="127">
        <f t="shared" si="11"/>
        <v>6.3872296320541135</v>
      </c>
      <c r="V100" s="126">
        <v>40</v>
      </c>
      <c r="W100" s="126">
        <f t="shared" si="12"/>
        <v>25200</v>
      </c>
      <c r="X100" s="126">
        <f t="shared" si="13"/>
        <v>630</v>
      </c>
      <c r="Y100" s="128" t="s">
        <v>266</v>
      </c>
      <c r="Z100" s="119" t="s">
        <v>35</v>
      </c>
      <c r="AA100" s="119" t="s">
        <v>35</v>
      </c>
      <c r="AB100" s="119" t="s">
        <v>267</v>
      </c>
      <c r="AC100" s="119">
        <v>0</v>
      </c>
      <c r="AD100" s="119">
        <v>1</v>
      </c>
      <c r="AE100" s="119" t="s">
        <v>478</v>
      </c>
      <c r="AF100" s="119" t="s">
        <v>35</v>
      </c>
      <c r="AG100" s="119" t="s">
        <v>38</v>
      </c>
      <c r="AH100" s="119" t="s">
        <v>92</v>
      </c>
    </row>
    <row r="101" spans="1:34" x14ac:dyDescent="0.3">
      <c r="A101" s="118" t="s">
        <v>267</v>
      </c>
      <c r="B101" s="119" t="s">
        <v>278</v>
      </c>
      <c r="C101" s="119" t="s">
        <v>279</v>
      </c>
      <c r="D101" s="120">
        <v>45420</v>
      </c>
      <c r="E101" s="121">
        <v>126000</v>
      </c>
      <c r="F101" s="119" t="s">
        <v>32</v>
      </c>
      <c r="G101" s="119" t="s">
        <v>33</v>
      </c>
      <c r="H101" s="121">
        <v>126000</v>
      </c>
      <c r="I101" s="121">
        <v>60500</v>
      </c>
      <c r="J101" s="122">
        <f t="shared" si="7"/>
        <v>48.015873015873019</v>
      </c>
      <c r="K101" s="121">
        <v>131682</v>
      </c>
      <c r="L101" s="121">
        <f>H101-123401</f>
        <v>2599</v>
      </c>
      <c r="M101" s="121">
        <v>8281</v>
      </c>
      <c r="N101" s="123">
        <f t="shared" si="8"/>
        <v>6.5722222222222224E-2</v>
      </c>
      <c r="O101" s="124">
        <v>40.79</v>
      </c>
      <c r="P101" s="125">
        <v>130</v>
      </c>
      <c r="Q101" s="126">
        <v>0.11899999999999999</v>
      </c>
      <c r="R101" s="126">
        <v>0.11899999999999999</v>
      </c>
      <c r="S101" s="121">
        <f t="shared" si="9"/>
        <v>63.716597205197353</v>
      </c>
      <c r="T101" s="121">
        <f t="shared" si="10"/>
        <v>21840.336134453781</v>
      </c>
      <c r="U101" s="127">
        <f t="shared" si="11"/>
        <v>0.50138512705357619</v>
      </c>
      <c r="V101" s="126">
        <v>40</v>
      </c>
      <c r="W101" s="126">
        <f t="shared" si="12"/>
        <v>25200</v>
      </c>
      <c r="X101" s="126">
        <f t="shared" si="13"/>
        <v>630</v>
      </c>
      <c r="Y101" s="128" t="s">
        <v>266</v>
      </c>
      <c r="Z101" s="119" t="s">
        <v>35</v>
      </c>
      <c r="AA101" s="119" t="s">
        <v>35</v>
      </c>
      <c r="AB101" s="119" t="s">
        <v>267</v>
      </c>
      <c r="AC101" s="119">
        <v>0</v>
      </c>
      <c r="AD101" s="119">
        <v>1</v>
      </c>
      <c r="AE101" s="119" t="s">
        <v>37</v>
      </c>
      <c r="AF101" s="119" t="s">
        <v>43</v>
      </c>
      <c r="AG101" s="119" t="s">
        <v>38</v>
      </c>
      <c r="AH101" s="119" t="s">
        <v>92</v>
      </c>
    </row>
    <row r="102" spans="1:34" x14ac:dyDescent="0.3">
      <c r="A102" s="107" t="s">
        <v>267</v>
      </c>
      <c r="B102" s="108" t="s">
        <v>289</v>
      </c>
      <c r="C102" s="108" t="s">
        <v>290</v>
      </c>
      <c r="D102" s="109">
        <v>45177</v>
      </c>
      <c r="E102" s="110">
        <v>116500</v>
      </c>
      <c r="F102" s="108" t="s">
        <v>32</v>
      </c>
      <c r="G102" s="108" t="s">
        <v>33</v>
      </c>
      <c r="H102" s="110">
        <v>116500</v>
      </c>
      <c r="I102" s="110">
        <v>45500</v>
      </c>
      <c r="J102" s="111">
        <f t="shared" si="7"/>
        <v>39.055793991416309</v>
      </c>
      <c r="K102" s="110">
        <v>114600</v>
      </c>
      <c r="L102" s="110">
        <f>H102-106887</f>
        <v>9613</v>
      </c>
      <c r="M102" s="110">
        <v>7713</v>
      </c>
      <c r="N102" s="112">
        <f t="shared" si="8"/>
        <v>6.6206008583690981E-2</v>
      </c>
      <c r="O102" s="113">
        <v>37.99</v>
      </c>
      <c r="P102" s="114">
        <v>132.6</v>
      </c>
      <c r="Q102" s="115">
        <v>0.112</v>
      </c>
      <c r="R102" s="115">
        <v>0.112</v>
      </c>
      <c r="S102" s="110">
        <f t="shared" si="9"/>
        <v>253.04027375625162</v>
      </c>
      <c r="T102" s="110">
        <f t="shared" si="10"/>
        <v>85830.357142857145</v>
      </c>
      <c r="U102" s="116">
        <f t="shared" si="11"/>
        <v>1.9703938738029647</v>
      </c>
      <c r="V102" s="115">
        <v>36.89</v>
      </c>
      <c r="W102" s="115">
        <f t="shared" si="12"/>
        <v>23300</v>
      </c>
      <c r="X102" s="115">
        <f t="shared" si="13"/>
        <v>631.60748170235831</v>
      </c>
      <c r="Y102" s="117" t="s">
        <v>266</v>
      </c>
      <c r="Z102" s="108" t="s">
        <v>35</v>
      </c>
      <c r="AA102" s="108" t="s">
        <v>35</v>
      </c>
      <c r="AB102" s="108" t="s">
        <v>267</v>
      </c>
      <c r="AC102" s="108">
        <v>0</v>
      </c>
      <c r="AD102" s="108">
        <v>1</v>
      </c>
      <c r="AE102" s="108" t="s">
        <v>37</v>
      </c>
      <c r="AF102" s="108" t="s">
        <v>43</v>
      </c>
      <c r="AG102" s="108" t="s">
        <v>38</v>
      </c>
      <c r="AH102" s="108" t="s">
        <v>92</v>
      </c>
    </row>
    <row r="103" spans="1:34" x14ac:dyDescent="0.3">
      <c r="A103" s="107" t="s">
        <v>267</v>
      </c>
      <c r="B103" s="108" t="s">
        <v>474</v>
      </c>
      <c r="C103" s="108" t="s">
        <v>475</v>
      </c>
      <c r="D103" s="109">
        <v>45114</v>
      </c>
      <c r="E103" s="110">
        <v>129000</v>
      </c>
      <c r="F103" s="108" t="s">
        <v>32</v>
      </c>
      <c r="G103" s="108" t="s">
        <v>33</v>
      </c>
      <c r="H103" s="110">
        <v>129000</v>
      </c>
      <c r="I103" s="110">
        <v>40300</v>
      </c>
      <c r="J103" s="111">
        <f t="shared" si="7"/>
        <v>31.240310077519378</v>
      </c>
      <c r="K103" s="110">
        <v>106412</v>
      </c>
      <c r="L103" s="110">
        <f>H103-98795</f>
        <v>30205</v>
      </c>
      <c r="M103" s="110">
        <v>7617</v>
      </c>
      <c r="N103" s="112">
        <f t="shared" si="8"/>
        <v>5.9046511627906979E-2</v>
      </c>
      <c r="O103" s="113">
        <v>37.520000000000003</v>
      </c>
      <c r="P103" s="114">
        <v>110</v>
      </c>
      <c r="Q103" s="115">
        <v>0.10100000000000001</v>
      </c>
      <c r="R103" s="115">
        <v>0.10100000000000001</v>
      </c>
      <c r="S103" s="110">
        <f t="shared" si="9"/>
        <v>805.03731343283573</v>
      </c>
      <c r="T103" s="110">
        <f t="shared" si="10"/>
        <v>299059.40594059404</v>
      </c>
      <c r="U103" s="116">
        <f t="shared" si="11"/>
        <v>6.865459273200047</v>
      </c>
      <c r="V103" s="115">
        <v>40</v>
      </c>
      <c r="W103" s="115">
        <f t="shared" si="12"/>
        <v>25800</v>
      </c>
      <c r="X103" s="115">
        <f t="shared" si="13"/>
        <v>645</v>
      </c>
      <c r="Y103" s="117" t="s">
        <v>266</v>
      </c>
      <c r="Z103" s="108" t="s">
        <v>35</v>
      </c>
      <c r="AA103" s="108" t="s">
        <v>35</v>
      </c>
      <c r="AB103" s="108" t="s">
        <v>267</v>
      </c>
      <c r="AC103" s="108">
        <v>0</v>
      </c>
      <c r="AD103" s="108">
        <v>1</v>
      </c>
      <c r="AE103" s="108" t="s">
        <v>37</v>
      </c>
      <c r="AF103" s="108" t="s">
        <v>43</v>
      </c>
      <c r="AG103" s="108" t="s">
        <v>38</v>
      </c>
      <c r="AH103" s="108" t="s">
        <v>92</v>
      </c>
    </row>
    <row r="104" spans="1:34" x14ac:dyDescent="0.3">
      <c r="A104" s="118" t="s">
        <v>267</v>
      </c>
      <c r="B104" s="119" t="s">
        <v>485</v>
      </c>
      <c r="C104" s="119" t="s">
        <v>486</v>
      </c>
      <c r="D104" s="120">
        <v>45568</v>
      </c>
      <c r="E104" s="121">
        <v>129000</v>
      </c>
      <c r="F104" s="119" t="s">
        <v>32</v>
      </c>
      <c r="G104" s="119" t="s">
        <v>33</v>
      </c>
      <c r="H104" s="121">
        <v>129000</v>
      </c>
      <c r="I104" s="121">
        <v>53600</v>
      </c>
      <c r="J104" s="122">
        <f t="shared" si="7"/>
        <v>41.550387596899228</v>
      </c>
      <c r="K104" s="121">
        <v>120873</v>
      </c>
      <c r="L104" s="121">
        <f>H104-112434</f>
        <v>16566</v>
      </c>
      <c r="M104" s="121">
        <v>8439</v>
      </c>
      <c r="N104" s="123">
        <f t="shared" si="8"/>
        <v>6.5418604651162796E-2</v>
      </c>
      <c r="O104" s="124">
        <v>41.56</v>
      </c>
      <c r="P104" s="125">
        <v>135</v>
      </c>
      <c r="Q104" s="126">
        <v>0.124</v>
      </c>
      <c r="R104" s="126">
        <v>0.124</v>
      </c>
      <c r="S104" s="121">
        <f t="shared" si="9"/>
        <v>398.60442733397497</v>
      </c>
      <c r="T104" s="121">
        <f t="shared" si="10"/>
        <v>133596.77419354839</v>
      </c>
      <c r="U104" s="127">
        <f t="shared" si="11"/>
        <v>3.0669599217986314</v>
      </c>
      <c r="V104" s="126">
        <v>40</v>
      </c>
      <c r="W104" s="126">
        <f t="shared" si="12"/>
        <v>25800</v>
      </c>
      <c r="X104" s="126">
        <f t="shared" si="13"/>
        <v>645</v>
      </c>
      <c r="Y104" s="128" t="s">
        <v>266</v>
      </c>
      <c r="Z104" s="119" t="s">
        <v>35</v>
      </c>
      <c r="AA104" s="119" t="s">
        <v>35</v>
      </c>
      <c r="AB104" s="119" t="s">
        <v>267</v>
      </c>
      <c r="AC104" s="119">
        <v>0</v>
      </c>
      <c r="AD104" s="119">
        <v>1</v>
      </c>
      <c r="AE104" s="119" t="s">
        <v>42</v>
      </c>
      <c r="AF104" s="119" t="s">
        <v>43</v>
      </c>
      <c r="AG104" s="119" t="s">
        <v>38</v>
      </c>
      <c r="AH104" s="119" t="s">
        <v>92</v>
      </c>
    </row>
    <row r="105" spans="1:34" x14ac:dyDescent="0.3">
      <c r="A105" s="118" t="s">
        <v>267</v>
      </c>
      <c r="B105" s="119" t="s">
        <v>341</v>
      </c>
      <c r="C105" s="119" t="s">
        <v>342</v>
      </c>
      <c r="D105" s="120">
        <v>45506</v>
      </c>
      <c r="E105" s="121">
        <v>130000</v>
      </c>
      <c r="F105" s="119" t="s">
        <v>32</v>
      </c>
      <c r="G105" s="119" t="s">
        <v>33</v>
      </c>
      <c r="H105" s="121">
        <v>130000</v>
      </c>
      <c r="I105" s="121">
        <v>59500</v>
      </c>
      <c r="J105" s="122">
        <f t="shared" si="7"/>
        <v>45.769230769230766</v>
      </c>
      <c r="K105" s="121">
        <v>128440</v>
      </c>
      <c r="L105" s="121">
        <f>H105-120823</f>
        <v>9177</v>
      </c>
      <c r="M105" s="121">
        <v>7617</v>
      </c>
      <c r="N105" s="123">
        <f t="shared" si="8"/>
        <v>5.8592307692307694E-2</v>
      </c>
      <c r="O105" s="124">
        <v>37.520000000000003</v>
      </c>
      <c r="P105" s="125">
        <v>110</v>
      </c>
      <c r="Q105" s="126">
        <v>0.10100000000000001</v>
      </c>
      <c r="R105" s="126">
        <v>0.10100000000000001</v>
      </c>
      <c r="S105" s="121">
        <f t="shared" si="9"/>
        <v>244.58955223880594</v>
      </c>
      <c r="T105" s="121">
        <f t="shared" si="10"/>
        <v>90861.38613861386</v>
      </c>
      <c r="U105" s="127">
        <f t="shared" si="11"/>
        <v>2.0858904072225406</v>
      </c>
      <c r="V105" s="126">
        <v>40</v>
      </c>
      <c r="W105" s="126">
        <f t="shared" si="12"/>
        <v>26000</v>
      </c>
      <c r="X105" s="126">
        <f t="shared" si="13"/>
        <v>650</v>
      </c>
      <c r="Y105" s="128" t="s">
        <v>266</v>
      </c>
      <c r="Z105" s="119" t="s">
        <v>35</v>
      </c>
      <c r="AA105" s="119" t="s">
        <v>35</v>
      </c>
      <c r="AB105" s="119" t="s">
        <v>267</v>
      </c>
      <c r="AC105" s="119">
        <v>0</v>
      </c>
      <c r="AD105" s="119">
        <v>1</v>
      </c>
      <c r="AE105" s="119" t="s">
        <v>37</v>
      </c>
      <c r="AF105" s="119" t="s">
        <v>314</v>
      </c>
      <c r="AG105" s="119" t="s">
        <v>38</v>
      </c>
      <c r="AH105" s="119" t="s">
        <v>92</v>
      </c>
    </row>
    <row r="106" spans="1:34" x14ac:dyDescent="0.3">
      <c r="A106" s="107" t="s">
        <v>267</v>
      </c>
      <c r="B106" s="108" t="s">
        <v>274</v>
      </c>
      <c r="C106" s="108" t="s">
        <v>275</v>
      </c>
      <c r="D106" s="109">
        <v>45463</v>
      </c>
      <c r="E106" s="110">
        <v>130000</v>
      </c>
      <c r="F106" s="108" t="s">
        <v>32</v>
      </c>
      <c r="G106" s="108" t="s">
        <v>33</v>
      </c>
      <c r="H106" s="110">
        <v>130000</v>
      </c>
      <c r="I106" s="110">
        <v>52300</v>
      </c>
      <c r="J106" s="111">
        <f t="shared" si="7"/>
        <v>40.230769230769234</v>
      </c>
      <c r="K106" s="110">
        <v>113949</v>
      </c>
      <c r="L106" s="110">
        <f>H106-105668</f>
        <v>24332</v>
      </c>
      <c r="M106" s="110">
        <v>8281</v>
      </c>
      <c r="N106" s="112">
        <f t="shared" si="8"/>
        <v>6.3700000000000007E-2</v>
      </c>
      <c r="O106" s="113">
        <v>40.79</v>
      </c>
      <c r="P106" s="114">
        <v>130</v>
      </c>
      <c r="Q106" s="115">
        <v>0.11899999999999999</v>
      </c>
      <c r="R106" s="115">
        <v>0.11899999999999999</v>
      </c>
      <c r="S106" s="110">
        <f t="shared" si="9"/>
        <v>596.51875459671487</v>
      </c>
      <c r="T106" s="110">
        <f t="shared" si="10"/>
        <v>204470.58823529413</v>
      </c>
      <c r="U106" s="116">
        <f t="shared" si="11"/>
        <v>4.6939988116458711</v>
      </c>
      <c r="V106" s="115">
        <v>40</v>
      </c>
      <c r="W106" s="115">
        <f t="shared" si="12"/>
        <v>26000</v>
      </c>
      <c r="X106" s="115">
        <f t="shared" si="13"/>
        <v>650</v>
      </c>
      <c r="Y106" s="117" t="s">
        <v>266</v>
      </c>
      <c r="Z106" s="108" t="s">
        <v>35</v>
      </c>
      <c r="AA106" s="108" t="s">
        <v>35</v>
      </c>
      <c r="AB106" s="108" t="s">
        <v>267</v>
      </c>
      <c r="AC106" s="108">
        <v>0</v>
      </c>
      <c r="AD106" s="108">
        <v>1</v>
      </c>
      <c r="AE106" s="108" t="s">
        <v>37</v>
      </c>
      <c r="AF106" s="108" t="s">
        <v>43</v>
      </c>
      <c r="AG106" s="108" t="s">
        <v>38</v>
      </c>
      <c r="AH106" s="108" t="s">
        <v>92</v>
      </c>
    </row>
    <row r="107" spans="1:34" x14ac:dyDescent="0.3">
      <c r="A107" s="107" t="s">
        <v>267</v>
      </c>
      <c r="B107" s="108" t="s">
        <v>315</v>
      </c>
      <c r="C107" s="108" t="s">
        <v>316</v>
      </c>
      <c r="D107" s="109">
        <v>45097</v>
      </c>
      <c r="E107" s="110">
        <v>130000</v>
      </c>
      <c r="F107" s="108" t="s">
        <v>32</v>
      </c>
      <c r="G107" s="108" t="s">
        <v>33</v>
      </c>
      <c r="H107" s="110">
        <v>130000</v>
      </c>
      <c r="I107" s="110">
        <v>37700</v>
      </c>
      <c r="J107" s="111">
        <f t="shared" si="7"/>
        <v>28.999999999999996</v>
      </c>
      <c r="K107" s="110">
        <v>99519</v>
      </c>
      <c r="L107" s="110">
        <f>H107-91238</f>
        <v>38762</v>
      </c>
      <c r="M107" s="110">
        <v>8281</v>
      </c>
      <c r="N107" s="112">
        <f t="shared" si="8"/>
        <v>6.3700000000000007E-2</v>
      </c>
      <c r="O107" s="113">
        <v>40.79</v>
      </c>
      <c r="P107" s="114">
        <v>130</v>
      </c>
      <c r="Q107" s="115">
        <v>0.11899999999999999</v>
      </c>
      <c r="R107" s="115">
        <v>0.11899999999999999</v>
      </c>
      <c r="S107" s="110">
        <f t="shared" si="9"/>
        <v>950.28193184604072</v>
      </c>
      <c r="T107" s="110">
        <f t="shared" si="10"/>
        <v>325731.09243697481</v>
      </c>
      <c r="U107" s="116">
        <f t="shared" si="11"/>
        <v>7.4777569429975852</v>
      </c>
      <c r="V107" s="115">
        <v>40</v>
      </c>
      <c r="W107" s="115">
        <f t="shared" si="12"/>
        <v>26000</v>
      </c>
      <c r="X107" s="115">
        <f t="shared" si="13"/>
        <v>650</v>
      </c>
      <c r="Y107" s="117" t="s">
        <v>266</v>
      </c>
      <c r="Z107" s="108" t="s">
        <v>35</v>
      </c>
      <c r="AA107" s="108" t="s">
        <v>35</v>
      </c>
      <c r="AB107" s="108" t="s">
        <v>267</v>
      </c>
      <c r="AC107" s="108">
        <v>0</v>
      </c>
      <c r="AD107" s="108">
        <v>1</v>
      </c>
      <c r="AE107" s="108" t="s">
        <v>42</v>
      </c>
      <c r="AF107" s="108" t="s">
        <v>43</v>
      </c>
      <c r="AG107" s="108" t="s">
        <v>38</v>
      </c>
      <c r="AH107" s="108" t="s">
        <v>92</v>
      </c>
    </row>
    <row r="108" spans="1:34" x14ac:dyDescent="0.3">
      <c r="A108" s="107" t="s">
        <v>267</v>
      </c>
      <c r="B108" s="108" t="s">
        <v>298</v>
      </c>
      <c r="C108" s="108" t="s">
        <v>299</v>
      </c>
      <c r="D108" s="109">
        <v>45107</v>
      </c>
      <c r="E108" s="110">
        <v>130000</v>
      </c>
      <c r="F108" s="108" t="s">
        <v>32</v>
      </c>
      <c r="G108" s="108" t="s">
        <v>33</v>
      </c>
      <c r="H108" s="110">
        <v>130000</v>
      </c>
      <c r="I108" s="110">
        <v>54300</v>
      </c>
      <c r="J108" s="111">
        <f t="shared" si="7"/>
        <v>41.769230769230766</v>
      </c>
      <c r="K108" s="110">
        <v>144472</v>
      </c>
      <c r="L108" s="110">
        <f>H108-136159</f>
        <v>-6159</v>
      </c>
      <c r="M108" s="110">
        <v>8313</v>
      </c>
      <c r="N108" s="112">
        <f t="shared" si="8"/>
        <v>6.3946153846153847E-2</v>
      </c>
      <c r="O108" s="113">
        <v>40.94</v>
      </c>
      <c r="P108" s="114">
        <v>131</v>
      </c>
      <c r="Q108" s="115">
        <v>0.12</v>
      </c>
      <c r="R108" s="115">
        <v>0.12</v>
      </c>
      <c r="S108" s="110">
        <f t="shared" si="9"/>
        <v>-150.43966780654617</v>
      </c>
      <c r="T108" s="110">
        <f t="shared" si="10"/>
        <v>-51325</v>
      </c>
      <c r="U108" s="116">
        <f t="shared" si="11"/>
        <v>-1.1782598714416896</v>
      </c>
      <c r="V108" s="115">
        <v>40</v>
      </c>
      <c r="W108" s="115">
        <f t="shared" si="12"/>
        <v>26000</v>
      </c>
      <c r="X108" s="115">
        <f t="shared" si="13"/>
        <v>650</v>
      </c>
      <c r="Y108" s="117" t="s">
        <v>266</v>
      </c>
      <c r="Z108" s="108" t="s">
        <v>35</v>
      </c>
      <c r="AA108" s="108" t="s">
        <v>35</v>
      </c>
      <c r="AB108" s="108" t="s">
        <v>267</v>
      </c>
      <c r="AC108" s="108">
        <v>0</v>
      </c>
      <c r="AD108" s="108">
        <v>1</v>
      </c>
      <c r="AE108" s="108" t="s">
        <v>37</v>
      </c>
      <c r="AF108" s="108" t="s">
        <v>43</v>
      </c>
      <c r="AG108" s="108" t="s">
        <v>38</v>
      </c>
      <c r="AH108" s="108" t="s">
        <v>92</v>
      </c>
    </row>
    <row r="109" spans="1:34" x14ac:dyDescent="0.3">
      <c r="A109" s="107" t="s">
        <v>267</v>
      </c>
      <c r="B109" s="108" t="s">
        <v>451</v>
      </c>
      <c r="C109" s="108" t="s">
        <v>452</v>
      </c>
      <c r="D109" s="109">
        <v>45203</v>
      </c>
      <c r="E109" s="110">
        <v>130000</v>
      </c>
      <c r="F109" s="108" t="s">
        <v>32</v>
      </c>
      <c r="G109" s="108" t="s">
        <v>33</v>
      </c>
      <c r="H109" s="110">
        <v>130000</v>
      </c>
      <c r="I109" s="110">
        <v>44300</v>
      </c>
      <c r="J109" s="111">
        <f t="shared" si="7"/>
        <v>34.07692307692308</v>
      </c>
      <c r="K109" s="110">
        <v>112642</v>
      </c>
      <c r="L109" s="110">
        <f>H109-104203</f>
        <v>25797</v>
      </c>
      <c r="M109" s="110">
        <v>8439</v>
      </c>
      <c r="N109" s="112">
        <f t="shared" si="8"/>
        <v>6.4915384615384611E-2</v>
      </c>
      <c r="O109" s="113">
        <v>41.56</v>
      </c>
      <c r="P109" s="114">
        <v>135</v>
      </c>
      <c r="Q109" s="115">
        <v>0.124</v>
      </c>
      <c r="R109" s="115">
        <v>0.124</v>
      </c>
      <c r="S109" s="110">
        <f t="shared" si="9"/>
        <v>620.71703561116453</v>
      </c>
      <c r="T109" s="110">
        <f t="shared" si="10"/>
        <v>208040.32258064515</v>
      </c>
      <c r="U109" s="116">
        <f t="shared" si="11"/>
        <v>4.7759486359193106</v>
      </c>
      <c r="V109" s="115">
        <v>40</v>
      </c>
      <c r="W109" s="115">
        <f t="shared" si="12"/>
        <v>26000</v>
      </c>
      <c r="X109" s="115">
        <f t="shared" si="13"/>
        <v>650</v>
      </c>
      <c r="Y109" s="117" t="s">
        <v>266</v>
      </c>
      <c r="Z109" s="108" t="s">
        <v>35</v>
      </c>
      <c r="AA109" s="108" t="s">
        <v>35</v>
      </c>
      <c r="AB109" s="108" t="s">
        <v>267</v>
      </c>
      <c r="AC109" s="108">
        <v>0</v>
      </c>
      <c r="AD109" s="108">
        <v>1</v>
      </c>
      <c r="AE109" s="108" t="s">
        <v>37</v>
      </c>
      <c r="AF109" s="108" t="s">
        <v>43</v>
      </c>
      <c r="AG109" s="108" t="s">
        <v>38</v>
      </c>
      <c r="AH109" s="108" t="s">
        <v>92</v>
      </c>
    </row>
    <row r="110" spans="1:34" x14ac:dyDescent="0.3">
      <c r="A110" s="107" t="s">
        <v>267</v>
      </c>
      <c r="B110" s="108" t="s">
        <v>491</v>
      </c>
      <c r="C110" s="108" t="s">
        <v>492</v>
      </c>
      <c r="D110" s="109">
        <v>45232</v>
      </c>
      <c r="E110" s="110">
        <v>130000</v>
      </c>
      <c r="F110" s="108" t="s">
        <v>32</v>
      </c>
      <c r="G110" s="108" t="s">
        <v>33</v>
      </c>
      <c r="H110" s="110">
        <v>130000</v>
      </c>
      <c r="I110" s="110">
        <v>44200</v>
      </c>
      <c r="J110" s="111">
        <f t="shared" si="7"/>
        <v>34</v>
      </c>
      <c r="K110" s="110">
        <v>117103</v>
      </c>
      <c r="L110" s="110">
        <f>H110-108664</f>
        <v>21336</v>
      </c>
      <c r="M110" s="110">
        <v>8439</v>
      </c>
      <c r="N110" s="112">
        <f t="shared" si="8"/>
        <v>6.4915384615384611E-2</v>
      </c>
      <c r="O110" s="113">
        <v>41.56</v>
      </c>
      <c r="P110" s="114">
        <v>135</v>
      </c>
      <c r="Q110" s="115">
        <v>0.124</v>
      </c>
      <c r="R110" s="115">
        <v>0.124</v>
      </c>
      <c r="S110" s="110">
        <f t="shared" si="9"/>
        <v>513.3782483156881</v>
      </c>
      <c r="T110" s="110">
        <f t="shared" si="10"/>
        <v>172064.51612903227</v>
      </c>
      <c r="U110" s="116">
        <f t="shared" si="11"/>
        <v>3.9500577623744784</v>
      </c>
      <c r="V110" s="115">
        <v>40</v>
      </c>
      <c r="W110" s="115">
        <f t="shared" si="12"/>
        <v>26000</v>
      </c>
      <c r="X110" s="115">
        <f t="shared" si="13"/>
        <v>650</v>
      </c>
      <c r="Y110" s="117" t="s">
        <v>266</v>
      </c>
      <c r="Z110" s="108" t="s">
        <v>35</v>
      </c>
      <c r="AA110" s="108" t="s">
        <v>35</v>
      </c>
      <c r="AB110" s="108" t="s">
        <v>267</v>
      </c>
      <c r="AC110" s="108">
        <v>0</v>
      </c>
      <c r="AD110" s="108">
        <v>1</v>
      </c>
      <c r="AE110" s="108" t="s">
        <v>42</v>
      </c>
      <c r="AF110" s="108" t="s">
        <v>43</v>
      </c>
      <c r="AG110" s="108" t="s">
        <v>38</v>
      </c>
      <c r="AH110" s="108" t="s">
        <v>92</v>
      </c>
    </row>
    <row r="111" spans="1:34" x14ac:dyDescent="0.3">
      <c r="A111" s="118" t="s">
        <v>267</v>
      </c>
      <c r="B111" s="119" t="s">
        <v>432</v>
      </c>
      <c r="C111" s="119" t="s">
        <v>433</v>
      </c>
      <c r="D111" s="120">
        <v>45393</v>
      </c>
      <c r="E111" s="121">
        <v>135000</v>
      </c>
      <c r="F111" s="119" t="s">
        <v>32</v>
      </c>
      <c r="G111" s="119" t="s">
        <v>33</v>
      </c>
      <c r="H111" s="121">
        <v>135000</v>
      </c>
      <c r="I111" s="121">
        <v>48700</v>
      </c>
      <c r="J111" s="122">
        <f t="shared" si="7"/>
        <v>36.074074074074076</v>
      </c>
      <c r="K111" s="121">
        <v>110509</v>
      </c>
      <c r="L111" s="121">
        <f>H111-101763</f>
        <v>33237</v>
      </c>
      <c r="M111" s="121">
        <v>8746</v>
      </c>
      <c r="N111" s="123">
        <f t="shared" si="8"/>
        <v>6.4785185185185182E-2</v>
      </c>
      <c r="O111" s="124">
        <v>43.08</v>
      </c>
      <c r="P111" s="125">
        <v>145</v>
      </c>
      <c r="Q111" s="126">
        <v>0.13300000000000001</v>
      </c>
      <c r="R111" s="126">
        <v>0.13300000000000001</v>
      </c>
      <c r="S111" s="121">
        <f t="shared" si="9"/>
        <v>771.51810584958218</v>
      </c>
      <c r="T111" s="121">
        <f t="shared" si="10"/>
        <v>249902.25563909774</v>
      </c>
      <c r="U111" s="127">
        <f t="shared" si="11"/>
        <v>5.7369663828993973</v>
      </c>
      <c r="V111" s="126">
        <v>40</v>
      </c>
      <c r="W111" s="126">
        <f t="shared" si="12"/>
        <v>27000</v>
      </c>
      <c r="X111" s="126">
        <f t="shared" si="13"/>
        <v>675</v>
      </c>
      <c r="Y111" s="128" t="s">
        <v>266</v>
      </c>
      <c r="Z111" s="119" t="s">
        <v>35</v>
      </c>
      <c r="AA111" s="119" t="s">
        <v>35</v>
      </c>
      <c r="AB111" s="119" t="s">
        <v>267</v>
      </c>
      <c r="AC111" s="119">
        <v>0</v>
      </c>
      <c r="AD111" s="119">
        <v>1</v>
      </c>
      <c r="AE111" s="119" t="s">
        <v>37</v>
      </c>
      <c r="AF111" s="119" t="s">
        <v>43</v>
      </c>
      <c r="AG111" s="119" t="s">
        <v>38</v>
      </c>
      <c r="AH111" s="119" t="s">
        <v>92</v>
      </c>
    </row>
    <row r="112" spans="1:34" x14ac:dyDescent="0.3">
      <c r="A112" s="118" t="s">
        <v>267</v>
      </c>
      <c r="B112" s="119" t="s">
        <v>495</v>
      </c>
      <c r="C112" s="119" t="s">
        <v>496</v>
      </c>
      <c r="D112" s="120">
        <v>45728</v>
      </c>
      <c r="E112" s="121">
        <v>138100</v>
      </c>
      <c r="F112" s="119" t="s">
        <v>32</v>
      </c>
      <c r="G112" s="119" t="s">
        <v>33</v>
      </c>
      <c r="H112" s="121">
        <v>138100</v>
      </c>
      <c r="I112" s="121">
        <v>56900</v>
      </c>
      <c r="J112" s="122">
        <f t="shared" si="7"/>
        <v>41.202027516292546</v>
      </c>
      <c r="K112" s="121">
        <v>128853</v>
      </c>
      <c r="L112" s="121">
        <f>H112-120414</f>
        <v>17686</v>
      </c>
      <c r="M112" s="121">
        <v>8439</v>
      </c>
      <c r="N112" s="123">
        <f t="shared" si="8"/>
        <v>6.1107892831281679E-2</v>
      </c>
      <c r="O112" s="124">
        <v>41.56</v>
      </c>
      <c r="P112" s="125">
        <v>135</v>
      </c>
      <c r="Q112" s="126">
        <v>0.124</v>
      </c>
      <c r="R112" s="126">
        <v>0.124</v>
      </c>
      <c r="S112" s="121">
        <f t="shared" si="9"/>
        <v>425.55341674687196</v>
      </c>
      <c r="T112" s="121">
        <f t="shared" si="10"/>
        <v>142629.03225806452</v>
      </c>
      <c r="U112" s="127">
        <f t="shared" si="11"/>
        <v>3.2743120353091029</v>
      </c>
      <c r="V112" s="126">
        <v>40</v>
      </c>
      <c r="W112" s="126">
        <f t="shared" si="12"/>
        <v>27620</v>
      </c>
      <c r="X112" s="126">
        <f t="shared" si="13"/>
        <v>690.5</v>
      </c>
      <c r="Y112" s="128" t="s">
        <v>266</v>
      </c>
      <c r="Z112" s="119" t="s">
        <v>35</v>
      </c>
      <c r="AA112" s="119" t="s">
        <v>35</v>
      </c>
      <c r="AB112" s="119" t="s">
        <v>267</v>
      </c>
      <c r="AC112" s="119">
        <v>0</v>
      </c>
      <c r="AD112" s="119">
        <v>1</v>
      </c>
      <c r="AE112" s="119" t="s">
        <v>37</v>
      </c>
      <c r="AF112" s="119" t="s">
        <v>35</v>
      </c>
      <c r="AG112" s="119" t="s">
        <v>38</v>
      </c>
      <c r="AH112" s="119" t="s">
        <v>92</v>
      </c>
    </row>
    <row r="113" spans="1:34" x14ac:dyDescent="0.3">
      <c r="A113" s="107" t="s">
        <v>267</v>
      </c>
      <c r="B113" s="108" t="s">
        <v>497</v>
      </c>
      <c r="C113" s="108" t="s">
        <v>498</v>
      </c>
      <c r="D113" s="109">
        <v>45245</v>
      </c>
      <c r="E113" s="110">
        <v>139900</v>
      </c>
      <c r="F113" s="108" t="s">
        <v>32</v>
      </c>
      <c r="G113" s="108" t="s">
        <v>33</v>
      </c>
      <c r="H113" s="110">
        <v>139900</v>
      </c>
      <c r="I113" s="110">
        <v>51300</v>
      </c>
      <c r="J113" s="111">
        <f t="shared" si="7"/>
        <v>36.669049320943529</v>
      </c>
      <c r="K113" s="110">
        <v>127927</v>
      </c>
      <c r="L113" s="110">
        <f>H113-119520</f>
        <v>20380</v>
      </c>
      <c r="M113" s="110">
        <v>8407</v>
      </c>
      <c r="N113" s="112">
        <f t="shared" si="8"/>
        <v>6.0092923516797715E-2</v>
      </c>
      <c r="O113" s="113">
        <v>41.41</v>
      </c>
      <c r="P113" s="114">
        <v>134</v>
      </c>
      <c r="Q113" s="115">
        <v>0.123</v>
      </c>
      <c r="R113" s="115">
        <v>0.123</v>
      </c>
      <c r="S113" s="110">
        <f t="shared" si="9"/>
        <v>492.15165418980928</v>
      </c>
      <c r="T113" s="110">
        <f t="shared" si="10"/>
        <v>165691.05691056911</v>
      </c>
      <c r="U113" s="116">
        <f t="shared" si="11"/>
        <v>3.8037432715924955</v>
      </c>
      <c r="V113" s="115">
        <v>40</v>
      </c>
      <c r="W113" s="115">
        <f t="shared" si="12"/>
        <v>27980</v>
      </c>
      <c r="X113" s="115">
        <f t="shared" si="13"/>
        <v>699.5</v>
      </c>
      <c r="Y113" s="117" t="s">
        <v>266</v>
      </c>
      <c r="Z113" s="108" t="s">
        <v>35</v>
      </c>
      <c r="AA113" s="108" t="s">
        <v>35</v>
      </c>
      <c r="AB113" s="108" t="s">
        <v>267</v>
      </c>
      <c r="AC113" s="108">
        <v>0</v>
      </c>
      <c r="AD113" s="108">
        <v>1</v>
      </c>
      <c r="AE113" s="108" t="s">
        <v>37</v>
      </c>
      <c r="AF113" s="108" t="s">
        <v>43</v>
      </c>
      <c r="AG113" s="108" t="s">
        <v>38</v>
      </c>
      <c r="AH113" s="108" t="s">
        <v>92</v>
      </c>
    </row>
    <row r="114" spans="1:34" x14ac:dyDescent="0.3">
      <c r="A114" s="107" t="s">
        <v>267</v>
      </c>
      <c r="B114" s="108" t="s">
        <v>272</v>
      </c>
      <c r="C114" s="108" t="s">
        <v>273</v>
      </c>
      <c r="D114" s="109">
        <v>45716</v>
      </c>
      <c r="E114" s="110">
        <v>140000</v>
      </c>
      <c r="F114" s="108" t="s">
        <v>32</v>
      </c>
      <c r="G114" s="108" t="s">
        <v>33</v>
      </c>
      <c r="H114" s="110">
        <v>140000</v>
      </c>
      <c r="I114" s="110">
        <v>46500</v>
      </c>
      <c r="J114" s="111">
        <f t="shared" si="7"/>
        <v>33.214285714285715</v>
      </c>
      <c r="K114" s="110">
        <v>100390</v>
      </c>
      <c r="L114" s="110">
        <f>H114-92109</f>
        <v>47891</v>
      </c>
      <c r="M114" s="110">
        <v>8281</v>
      </c>
      <c r="N114" s="112">
        <f t="shared" si="8"/>
        <v>5.9150000000000001E-2</v>
      </c>
      <c r="O114" s="113">
        <v>40.79</v>
      </c>
      <c r="P114" s="114">
        <v>130</v>
      </c>
      <c r="Q114" s="115">
        <v>0.11899999999999999</v>
      </c>
      <c r="R114" s="115">
        <v>0.11899999999999999</v>
      </c>
      <c r="S114" s="110">
        <f t="shared" si="9"/>
        <v>1174.0867859769551</v>
      </c>
      <c r="T114" s="110">
        <f t="shared" si="10"/>
        <v>402445.37815126055</v>
      </c>
      <c r="U114" s="116">
        <f t="shared" si="11"/>
        <v>9.2388746132061659</v>
      </c>
      <c r="V114" s="115">
        <v>40</v>
      </c>
      <c r="W114" s="115">
        <f t="shared" si="12"/>
        <v>28000</v>
      </c>
      <c r="X114" s="115">
        <f t="shared" si="13"/>
        <v>700</v>
      </c>
      <c r="Y114" s="117" t="s">
        <v>266</v>
      </c>
      <c r="Z114" s="108" t="s">
        <v>35</v>
      </c>
      <c r="AA114" s="108" t="s">
        <v>35</v>
      </c>
      <c r="AB114" s="108" t="s">
        <v>267</v>
      </c>
      <c r="AC114" s="108">
        <v>0</v>
      </c>
      <c r="AD114" s="108">
        <v>1</v>
      </c>
      <c r="AE114" s="108" t="s">
        <v>42</v>
      </c>
      <c r="AF114" s="108" t="s">
        <v>35</v>
      </c>
      <c r="AG114" s="108" t="s">
        <v>38</v>
      </c>
      <c r="AH114" s="108" t="s">
        <v>92</v>
      </c>
    </row>
    <row r="115" spans="1:34" x14ac:dyDescent="0.3">
      <c r="A115" s="118" t="s">
        <v>267</v>
      </c>
      <c r="B115" s="119" t="s">
        <v>285</v>
      </c>
      <c r="C115" s="119" t="s">
        <v>286</v>
      </c>
      <c r="D115" s="120">
        <v>45461</v>
      </c>
      <c r="E115" s="121">
        <v>140000</v>
      </c>
      <c r="F115" s="119" t="s">
        <v>32</v>
      </c>
      <c r="G115" s="119" t="s">
        <v>33</v>
      </c>
      <c r="H115" s="121">
        <v>140000</v>
      </c>
      <c r="I115" s="121">
        <v>56800</v>
      </c>
      <c r="J115" s="122">
        <f t="shared" si="7"/>
        <v>40.571428571428569</v>
      </c>
      <c r="K115" s="121">
        <v>127981</v>
      </c>
      <c r="L115" s="121">
        <f>H115-119668</f>
        <v>20332</v>
      </c>
      <c r="M115" s="121">
        <v>8313</v>
      </c>
      <c r="N115" s="123">
        <f t="shared" si="8"/>
        <v>5.9378571428571426E-2</v>
      </c>
      <c r="O115" s="124">
        <v>40.94</v>
      </c>
      <c r="P115" s="125">
        <v>131</v>
      </c>
      <c r="Q115" s="126">
        <v>0.12</v>
      </c>
      <c r="R115" s="126">
        <v>0.12</v>
      </c>
      <c r="S115" s="121">
        <f t="shared" si="9"/>
        <v>496.62921348314609</v>
      </c>
      <c r="T115" s="121">
        <f t="shared" si="10"/>
        <v>169433.33333333334</v>
      </c>
      <c r="U115" s="127">
        <f t="shared" si="11"/>
        <v>3.8896541169268444</v>
      </c>
      <c r="V115" s="126">
        <v>40</v>
      </c>
      <c r="W115" s="126">
        <f t="shared" si="12"/>
        <v>28000</v>
      </c>
      <c r="X115" s="126">
        <f t="shared" si="13"/>
        <v>700</v>
      </c>
      <c r="Y115" s="128" t="s">
        <v>266</v>
      </c>
      <c r="Z115" s="119" t="s">
        <v>35</v>
      </c>
      <c r="AA115" s="119" t="s">
        <v>35</v>
      </c>
      <c r="AB115" s="119" t="s">
        <v>267</v>
      </c>
      <c r="AC115" s="119">
        <v>0</v>
      </c>
      <c r="AD115" s="119">
        <v>1</v>
      </c>
      <c r="AE115" s="119" t="s">
        <v>42</v>
      </c>
      <c r="AF115" s="119" t="s">
        <v>43</v>
      </c>
      <c r="AG115" s="119" t="s">
        <v>38</v>
      </c>
      <c r="AH115" s="119" t="s">
        <v>92</v>
      </c>
    </row>
    <row r="116" spans="1:34" x14ac:dyDescent="0.3">
      <c r="A116" s="107" t="s">
        <v>267</v>
      </c>
      <c r="B116" s="108" t="s">
        <v>449</v>
      </c>
      <c r="C116" s="108" t="s">
        <v>450</v>
      </c>
      <c r="D116" s="109">
        <v>45076</v>
      </c>
      <c r="E116" s="110">
        <v>140000</v>
      </c>
      <c r="F116" s="108" t="s">
        <v>32</v>
      </c>
      <c r="G116" s="108" t="s">
        <v>33</v>
      </c>
      <c r="H116" s="110">
        <v>140000</v>
      </c>
      <c r="I116" s="110">
        <v>58900</v>
      </c>
      <c r="J116" s="111">
        <f t="shared" si="7"/>
        <v>42.071428571428569</v>
      </c>
      <c r="K116" s="110">
        <v>150895</v>
      </c>
      <c r="L116" s="110">
        <f>H116-142456</f>
        <v>-2456</v>
      </c>
      <c r="M116" s="110">
        <v>8439</v>
      </c>
      <c r="N116" s="112">
        <f t="shared" si="8"/>
        <v>6.0278571428571431E-2</v>
      </c>
      <c r="O116" s="113">
        <v>41.56</v>
      </c>
      <c r="P116" s="114">
        <v>135</v>
      </c>
      <c r="Q116" s="115">
        <v>0.124</v>
      </c>
      <c r="R116" s="115">
        <v>0.124</v>
      </c>
      <c r="S116" s="110">
        <f t="shared" si="9"/>
        <v>-59.095283926852737</v>
      </c>
      <c r="T116" s="110">
        <f t="shared" si="10"/>
        <v>-19806.451612903227</v>
      </c>
      <c r="U116" s="116">
        <f t="shared" si="11"/>
        <v>-0.45469356319796206</v>
      </c>
      <c r="V116" s="115">
        <v>40</v>
      </c>
      <c r="W116" s="115">
        <f t="shared" si="12"/>
        <v>28000</v>
      </c>
      <c r="X116" s="115">
        <f t="shared" si="13"/>
        <v>700</v>
      </c>
      <c r="Y116" s="117" t="s">
        <v>266</v>
      </c>
      <c r="Z116" s="108" t="s">
        <v>35</v>
      </c>
      <c r="AA116" s="108" t="s">
        <v>35</v>
      </c>
      <c r="AB116" s="108" t="s">
        <v>267</v>
      </c>
      <c r="AC116" s="108">
        <v>0</v>
      </c>
      <c r="AD116" s="108">
        <v>1</v>
      </c>
      <c r="AE116" s="108" t="s">
        <v>37</v>
      </c>
      <c r="AF116" s="108" t="s">
        <v>43</v>
      </c>
      <c r="AG116" s="108" t="s">
        <v>38</v>
      </c>
      <c r="AH116" s="108" t="s">
        <v>92</v>
      </c>
    </row>
    <row r="117" spans="1:34" x14ac:dyDescent="0.3">
      <c r="A117" s="118" t="s">
        <v>267</v>
      </c>
      <c r="B117" s="119" t="s">
        <v>438</v>
      </c>
      <c r="C117" s="119" t="s">
        <v>439</v>
      </c>
      <c r="D117" s="120">
        <v>45463</v>
      </c>
      <c r="E117" s="121">
        <v>145000</v>
      </c>
      <c r="F117" s="119" t="s">
        <v>32</v>
      </c>
      <c r="G117" s="119" t="s">
        <v>33</v>
      </c>
      <c r="H117" s="121">
        <v>145000</v>
      </c>
      <c r="I117" s="121">
        <v>45500</v>
      </c>
      <c r="J117" s="122">
        <f t="shared" si="7"/>
        <v>31.379310344827587</v>
      </c>
      <c r="K117" s="121">
        <v>100897</v>
      </c>
      <c r="L117" s="121">
        <f>H117-92972</f>
        <v>52028</v>
      </c>
      <c r="M117" s="121">
        <v>7925</v>
      </c>
      <c r="N117" s="123">
        <f t="shared" si="8"/>
        <v>5.4655172413793106E-2</v>
      </c>
      <c r="O117" s="124">
        <v>39.03</v>
      </c>
      <c r="P117" s="125">
        <v>119.07</v>
      </c>
      <c r="Q117" s="126">
        <v>0.109</v>
      </c>
      <c r="R117" s="126">
        <v>0.109</v>
      </c>
      <c r="S117" s="121">
        <f t="shared" si="9"/>
        <v>1333.0258775301049</v>
      </c>
      <c r="T117" s="121">
        <f t="shared" si="10"/>
        <v>477321.10091743118</v>
      </c>
      <c r="U117" s="127">
        <f t="shared" si="11"/>
        <v>10.957784685891442</v>
      </c>
      <c r="V117" s="126">
        <v>40</v>
      </c>
      <c r="W117" s="126">
        <f t="shared" si="12"/>
        <v>29000</v>
      </c>
      <c r="X117" s="126">
        <f t="shared" si="13"/>
        <v>725</v>
      </c>
      <c r="Y117" s="128" t="s">
        <v>266</v>
      </c>
      <c r="Z117" s="119" t="s">
        <v>35</v>
      </c>
      <c r="AA117" s="119" t="s">
        <v>35</v>
      </c>
      <c r="AB117" s="119" t="s">
        <v>267</v>
      </c>
      <c r="AC117" s="119">
        <v>0</v>
      </c>
      <c r="AD117" s="119">
        <v>1</v>
      </c>
      <c r="AE117" s="119" t="s">
        <v>42</v>
      </c>
      <c r="AF117" s="119" t="s">
        <v>43</v>
      </c>
      <c r="AG117" s="119" t="s">
        <v>38</v>
      </c>
      <c r="AH117" s="119" t="s">
        <v>92</v>
      </c>
    </row>
    <row r="118" spans="1:34" x14ac:dyDescent="0.3">
      <c r="A118" s="118" t="s">
        <v>267</v>
      </c>
      <c r="B118" s="119" t="s">
        <v>276</v>
      </c>
      <c r="C118" s="119" t="s">
        <v>277</v>
      </c>
      <c r="D118" s="120">
        <v>45582</v>
      </c>
      <c r="E118" s="121">
        <v>145000</v>
      </c>
      <c r="F118" s="119" t="s">
        <v>32</v>
      </c>
      <c r="G118" s="119" t="s">
        <v>33</v>
      </c>
      <c r="H118" s="121">
        <v>145000</v>
      </c>
      <c r="I118" s="121">
        <v>48700</v>
      </c>
      <c r="J118" s="122">
        <f t="shared" si="7"/>
        <v>33.586206896551722</v>
      </c>
      <c r="K118" s="121">
        <v>104981</v>
      </c>
      <c r="L118" s="121">
        <f>H118-96700</f>
        <v>48300</v>
      </c>
      <c r="M118" s="121">
        <v>8281</v>
      </c>
      <c r="N118" s="123">
        <f t="shared" si="8"/>
        <v>5.7110344827586208E-2</v>
      </c>
      <c r="O118" s="124">
        <v>40.79</v>
      </c>
      <c r="P118" s="125">
        <v>130</v>
      </c>
      <c r="Q118" s="126">
        <v>0.11899999999999999</v>
      </c>
      <c r="R118" s="126">
        <v>0.11899999999999999</v>
      </c>
      <c r="S118" s="121">
        <f t="shared" si="9"/>
        <v>1184.1137533709243</v>
      </c>
      <c r="T118" s="121">
        <f t="shared" si="10"/>
        <v>405882.3529411765</v>
      </c>
      <c r="U118" s="127">
        <f t="shared" si="11"/>
        <v>9.3177766974558427</v>
      </c>
      <c r="V118" s="126">
        <v>40</v>
      </c>
      <c r="W118" s="126">
        <f t="shared" si="12"/>
        <v>29000</v>
      </c>
      <c r="X118" s="126">
        <f t="shared" si="13"/>
        <v>725</v>
      </c>
      <c r="Y118" s="128" t="s">
        <v>266</v>
      </c>
      <c r="Z118" s="119" t="s">
        <v>35</v>
      </c>
      <c r="AA118" s="119" t="s">
        <v>35</v>
      </c>
      <c r="AB118" s="119" t="s">
        <v>267</v>
      </c>
      <c r="AC118" s="119">
        <v>0</v>
      </c>
      <c r="AD118" s="119">
        <v>1</v>
      </c>
      <c r="AE118" s="119" t="s">
        <v>37</v>
      </c>
      <c r="AF118" s="119" t="s">
        <v>35</v>
      </c>
      <c r="AG118" s="119" t="s">
        <v>38</v>
      </c>
      <c r="AH118" s="119" t="s">
        <v>92</v>
      </c>
    </row>
    <row r="119" spans="1:34" x14ac:dyDescent="0.3">
      <c r="A119" s="118" t="s">
        <v>267</v>
      </c>
      <c r="B119" s="119" t="s">
        <v>487</v>
      </c>
      <c r="C119" s="119" t="s">
        <v>488</v>
      </c>
      <c r="D119" s="120">
        <v>45687</v>
      </c>
      <c r="E119" s="121">
        <v>145000</v>
      </c>
      <c r="F119" s="119" t="s">
        <v>32</v>
      </c>
      <c r="G119" s="119" t="s">
        <v>33</v>
      </c>
      <c r="H119" s="121">
        <v>145000</v>
      </c>
      <c r="I119" s="121">
        <v>56200</v>
      </c>
      <c r="J119" s="122">
        <f t="shared" si="7"/>
        <v>38.758620689655174</v>
      </c>
      <c r="K119" s="121">
        <v>122535</v>
      </c>
      <c r="L119" s="121">
        <f>H119-114096</f>
        <v>30904</v>
      </c>
      <c r="M119" s="121">
        <v>8439</v>
      </c>
      <c r="N119" s="123">
        <f t="shared" si="8"/>
        <v>5.8200000000000002E-2</v>
      </c>
      <c r="O119" s="124">
        <v>41.56</v>
      </c>
      <c r="P119" s="125">
        <v>135</v>
      </c>
      <c r="Q119" s="126">
        <v>0.124</v>
      </c>
      <c r="R119" s="126">
        <v>0.124</v>
      </c>
      <c r="S119" s="121">
        <f t="shared" si="9"/>
        <v>743.59961501443695</v>
      </c>
      <c r="T119" s="121">
        <f t="shared" si="10"/>
        <v>249225.80645161291</v>
      </c>
      <c r="U119" s="127">
        <f t="shared" si="11"/>
        <v>5.7214372463639327</v>
      </c>
      <c r="V119" s="126">
        <v>40</v>
      </c>
      <c r="W119" s="126">
        <f t="shared" si="12"/>
        <v>29000</v>
      </c>
      <c r="X119" s="126">
        <f t="shared" si="13"/>
        <v>725</v>
      </c>
      <c r="Y119" s="128" t="s">
        <v>266</v>
      </c>
      <c r="Z119" s="119" t="s">
        <v>35</v>
      </c>
      <c r="AA119" s="119" t="s">
        <v>35</v>
      </c>
      <c r="AB119" s="119" t="s">
        <v>267</v>
      </c>
      <c r="AC119" s="119">
        <v>0</v>
      </c>
      <c r="AD119" s="119">
        <v>1</v>
      </c>
      <c r="AE119" s="119" t="s">
        <v>37</v>
      </c>
      <c r="AF119" s="119" t="s">
        <v>35</v>
      </c>
      <c r="AG119" s="119" t="s">
        <v>38</v>
      </c>
      <c r="AH119" s="119" t="s">
        <v>92</v>
      </c>
    </row>
    <row r="120" spans="1:34" x14ac:dyDescent="0.3">
      <c r="A120" s="107" t="s">
        <v>267</v>
      </c>
      <c r="B120" s="108" t="s">
        <v>427</v>
      </c>
      <c r="C120" s="108" t="s">
        <v>428</v>
      </c>
      <c r="D120" s="109">
        <v>45551</v>
      </c>
      <c r="E120" s="110">
        <v>150000</v>
      </c>
      <c r="F120" s="108" t="s">
        <v>32</v>
      </c>
      <c r="G120" s="108" t="s">
        <v>33</v>
      </c>
      <c r="H120" s="110">
        <v>150000</v>
      </c>
      <c r="I120" s="110">
        <v>48900</v>
      </c>
      <c r="J120" s="111">
        <f t="shared" si="7"/>
        <v>32.6</v>
      </c>
      <c r="K120" s="110">
        <v>110989</v>
      </c>
      <c r="L120" s="110">
        <f>H120-103372</f>
        <v>46628</v>
      </c>
      <c r="M120" s="110">
        <v>7617</v>
      </c>
      <c r="N120" s="112">
        <f t="shared" si="8"/>
        <v>5.0779999999999999E-2</v>
      </c>
      <c r="O120" s="113">
        <v>37.520000000000003</v>
      </c>
      <c r="P120" s="114">
        <v>110</v>
      </c>
      <c r="Q120" s="115">
        <v>0.10100000000000001</v>
      </c>
      <c r="R120" s="115">
        <v>0.10100000000000001</v>
      </c>
      <c r="S120" s="110">
        <f t="shared" si="9"/>
        <v>1242.7505330490403</v>
      </c>
      <c r="T120" s="110">
        <f t="shared" si="10"/>
        <v>461663.36633663363</v>
      </c>
      <c r="U120" s="116">
        <f t="shared" si="11"/>
        <v>10.59833256052878</v>
      </c>
      <c r="V120" s="115">
        <v>40</v>
      </c>
      <c r="W120" s="115">
        <f t="shared" si="12"/>
        <v>30000</v>
      </c>
      <c r="X120" s="115">
        <f t="shared" si="13"/>
        <v>750</v>
      </c>
      <c r="Y120" s="117" t="s">
        <v>266</v>
      </c>
      <c r="Z120" s="108" t="s">
        <v>35</v>
      </c>
      <c r="AA120" s="108" t="s">
        <v>35</v>
      </c>
      <c r="AB120" s="108" t="s">
        <v>267</v>
      </c>
      <c r="AC120" s="108">
        <v>0</v>
      </c>
      <c r="AD120" s="108">
        <v>1</v>
      </c>
      <c r="AE120" s="108" t="s">
        <v>37</v>
      </c>
      <c r="AF120" s="108" t="s">
        <v>314</v>
      </c>
      <c r="AG120" s="108" t="s">
        <v>38</v>
      </c>
      <c r="AH120" s="108" t="s">
        <v>92</v>
      </c>
    </row>
    <row r="121" spans="1:34" x14ac:dyDescent="0.3">
      <c r="A121" s="118" t="s">
        <v>267</v>
      </c>
      <c r="B121" s="119" t="s">
        <v>470</v>
      </c>
      <c r="C121" s="119" t="s">
        <v>471</v>
      </c>
      <c r="D121" s="120">
        <v>45497</v>
      </c>
      <c r="E121" s="121">
        <v>152000</v>
      </c>
      <c r="F121" s="119" t="s">
        <v>32</v>
      </c>
      <c r="G121" s="119" t="s">
        <v>33</v>
      </c>
      <c r="H121" s="121">
        <v>152000</v>
      </c>
      <c r="I121" s="121">
        <v>52200</v>
      </c>
      <c r="J121" s="122">
        <f t="shared" si="7"/>
        <v>34.342105263157897</v>
      </c>
      <c r="K121" s="121">
        <v>117693</v>
      </c>
      <c r="L121" s="121">
        <f>H121-109254</f>
        <v>42746</v>
      </c>
      <c r="M121" s="121">
        <v>8439</v>
      </c>
      <c r="N121" s="123">
        <f t="shared" si="8"/>
        <v>5.5519736842105261E-2</v>
      </c>
      <c r="O121" s="124">
        <v>41.56</v>
      </c>
      <c r="P121" s="125">
        <v>135</v>
      </c>
      <c r="Q121" s="126">
        <v>0.124</v>
      </c>
      <c r="R121" s="126">
        <v>0.124</v>
      </c>
      <c r="S121" s="121">
        <f t="shared" si="9"/>
        <v>1028.5370548604426</v>
      </c>
      <c r="T121" s="121">
        <f t="shared" si="10"/>
        <v>344725.80645161291</v>
      </c>
      <c r="U121" s="127">
        <f t="shared" si="11"/>
        <v>7.9138155751058976</v>
      </c>
      <c r="V121" s="126">
        <v>40</v>
      </c>
      <c r="W121" s="126">
        <f t="shared" si="12"/>
        <v>30400</v>
      </c>
      <c r="X121" s="126">
        <f t="shared" si="13"/>
        <v>760</v>
      </c>
      <c r="Y121" s="128" t="s">
        <v>266</v>
      </c>
      <c r="Z121" s="119" t="s">
        <v>35</v>
      </c>
      <c r="AA121" s="119" t="s">
        <v>35</v>
      </c>
      <c r="AB121" s="119" t="s">
        <v>267</v>
      </c>
      <c r="AC121" s="119">
        <v>0</v>
      </c>
      <c r="AD121" s="119">
        <v>1</v>
      </c>
      <c r="AE121" s="119" t="s">
        <v>42</v>
      </c>
      <c r="AF121" s="119" t="s">
        <v>43</v>
      </c>
      <c r="AG121" s="119" t="s">
        <v>38</v>
      </c>
      <c r="AH121" s="119" t="s">
        <v>92</v>
      </c>
    </row>
    <row r="122" spans="1:34" x14ac:dyDescent="0.3">
      <c r="A122" s="118" t="s">
        <v>267</v>
      </c>
      <c r="B122" s="119" t="s">
        <v>347</v>
      </c>
      <c r="C122" s="119" t="s">
        <v>348</v>
      </c>
      <c r="D122" s="120">
        <v>45509</v>
      </c>
      <c r="E122" s="121">
        <v>155000</v>
      </c>
      <c r="F122" s="119" t="s">
        <v>32</v>
      </c>
      <c r="G122" s="119" t="s">
        <v>33</v>
      </c>
      <c r="H122" s="121">
        <v>155000</v>
      </c>
      <c r="I122" s="121">
        <v>65300</v>
      </c>
      <c r="J122" s="122">
        <f t="shared" si="7"/>
        <v>42.129032258064512</v>
      </c>
      <c r="K122" s="121">
        <v>141826</v>
      </c>
      <c r="L122" s="121">
        <f>H122-133545</f>
        <v>21455</v>
      </c>
      <c r="M122" s="121">
        <v>8281</v>
      </c>
      <c r="N122" s="123">
        <f t="shared" si="8"/>
        <v>5.3425806451612906E-2</v>
      </c>
      <c r="O122" s="124">
        <v>40.79</v>
      </c>
      <c r="P122" s="125">
        <v>130</v>
      </c>
      <c r="Q122" s="126">
        <v>0.11899999999999999</v>
      </c>
      <c r="R122" s="126">
        <v>0.11899999999999999</v>
      </c>
      <c r="S122" s="121">
        <f t="shared" si="9"/>
        <v>525.98676146114246</v>
      </c>
      <c r="T122" s="121">
        <f t="shared" si="10"/>
        <v>180294.11764705883</v>
      </c>
      <c r="U122" s="127">
        <f t="shared" si="11"/>
        <v>4.1389834170582835</v>
      </c>
      <c r="V122" s="126">
        <v>40</v>
      </c>
      <c r="W122" s="126">
        <f t="shared" si="12"/>
        <v>31000</v>
      </c>
      <c r="X122" s="126">
        <f t="shared" si="13"/>
        <v>775</v>
      </c>
      <c r="Y122" s="128" t="s">
        <v>266</v>
      </c>
      <c r="Z122" s="119" t="s">
        <v>35</v>
      </c>
      <c r="AA122" s="119" t="s">
        <v>35</v>
      </c>
      <c r="AB122" s="119" t="s">
        <v>267</v>
      </c>
      <c r="AC122" s="119">
        <v>0</v>
      </c>
      <c r="AD122" s="119">
        <v>1</v>
      </c>
      <c r="AE122" s="119" t="s">
        <v>42</v>
      </c>
      <c r="AF122" s="119" t="s">
        <v>43</v>
      </c>
      <c r="AG122" s="119" t="s">
        <v>38</v>
      </c>
      <c r="AH122" s="119" t="s">
        <v>92</v>
      </c>
    </row>
    <row r="123" spans="1:34" x14ac:dyDescent="0.3">
      <c r="A123" s="107" t="s">
        <v>267</v>
      </c>
      <c r="B123" s="108" t="s">
        <v>576</v>
      </c>
      <c r="C123" s="108" t="s">
        <v>577</v>
      </c>
      <c r="D123" s="109">
        <v>45728</v>
      </c>
      <c r="E123" s="110">
        <v>155000</v>
      </c>
      <c r="F123" s="108" t="s">
        <v>32</v>
      </c>
      <c r="G123" s="108" t="s">
        <v>33</v>
      </c>
      <c r="H123" s="110">
        <v>155000</v>
      </c>
      <c r="I123" s="110">
        <v>56700</v>
      </c>
      <c r="J123" s="111">
        <f t="shared" si="7"/>
        <v>36.58064516129032</v>
      </c>
      <c r="K123" s="110">
        <v>127617</v>
      </c>
      <c r="L123" s="110">
        <f>H123-119180</f>
        <v>35820</v>
      </c>
      <c r="M123" s="110">
        <v>8437</v>
      </c>
      <c r="N123" s="112">
        <f t="shared" si="8"/>
        <v>5.4432258064516126E-2</v>
      </c>
      <c r="O123" s="113">
        <v>41.55</v>
      </c>
      <c r="P123" s="114">
        <v>134.94</v>
      </c>
      <c r="Q123" s="115">
        <v>0.124</v>
      </c>
      <c r="R123" s="115">
        <v>0.124</v>
      </c>
      <c r="S123" s="110">
        <f t="shared" si="9"/>
        <v>862.09386281588456</v>
      </c>
      <c r="T123" s="110">
        <f t="shared" si="10"/>
        <v>288870.96774193551</v>
      </c>
      <c r="U123" s="116">
        <f t="shared" si="11"/>
        <v>6.6315649160223948</v>
      </c>
      <c r="V123" s="115">
        <v>40</v>
      </c>
      <c r="W123" s="115">
        <f t="shared" si="12"/>
        <v>31000</v>
      </c>
      <c r="X123" s="115">
        <f t="shared" si="13"/>
        <v>775</v>
      </c>
      <c r="Y123" s="117" t="s">
        <v>266</v>
      </c>
      <c r="Z123" s="108" t="s">
        <v>35</v>
      </c>
      <c r="AA123" s="108" t="s">
        <v>35</v>
      </c>
      <c r="AB123" s="108" t="s">
        <v>267</v>
      </c>
      <c r="AC123" s="108">
        <v>0</v>
      </c>
      <c r="AD123" s="108">
        <v>1</v>
      </c>
      <c r="AE123" s="108" t="s">
        <v>42</v>
      </c>
      <c r="AF123" s="108" t="s">
        <v>35</v>
      </c>
      <c r="AG123" s="108" t="s">
        <v>38</v>
      </c>
      <c r="AH123" s="108" t="s">
        <v>92</v>
      </c>
    </row>
    <row r="124" spans="1:34" x14ac:dyDescent="0.3">
      <c r="A124" s="107" t="s">
        <v>267</v>
      </c>
      <c r="B124" s="108" t="s">
        <v>434</v>
      </c>
      <c r="C124" s="108" t="s">
        <v>435</v>
      </c>
      <c r="D124" s="109">
        <v>45422</v>
      </c>
      <c r="E124" s="110">
        <v>155000</v>
      </c>
      <c r="F124" s="108" t="s">
        <v>32</v>
      </c>
      <c r="G124" s="108" t="s">
        <v>33</v>
      </c>
      <c r="H124" s="110">
        <v>155000</v>
      </c>
      <c r="I124" s="110">
        <v>56600</v>
      </c>
      <c r="J124" s="111">
        <f t="shared" si="7"/>
        <v>36.516129032258064</v>
      </c>
      <c r="K124" s="110">
        <v>127409</v>
      </c>
      <c r="L124" s="110">
        <f>H124-118970</f>
        <v>36030</v>
      </c>
      <c r="M124" s="110">
        <v>8439</v>
      </c>
      <c r="N124" s="112">
        <f t="shared" si="8"/>
        <v>5.4445161290322577E-2</v>
      </c>
      <c r="O124" s="113">
        <v>41.56</v>
      </c>
      <c r="P124" s="114">
        <v>135</v>
      </c>
      <c r="Q124" s="115">
        <v>0.124</v>
      </c>
      <c r="R124" s="115">
        <v>0.124</v>
      </c>
      <c r="S124" s="110">
        <f t="shared" si="9"/>
        <v>866.9393647738209</v>
      </c>
      <c r="T124" s="110">
        <f t="shared" si="10"/>
        <v>290564.51612903224</v>
      </c>
      <c r="U124" s="116">
        <f t="shared" si="11"/>
        <v>6.6704434373056074</v>
      </c>
      <c r="V124" s="115">
        <v>40</v>
      </c>
      <c r="W124" s="115">
        <f t="shared" si="12"/>
        <v>31000</v>
      </c>
      <c r="X124" s="115">
        <f t="shared" si="13"/>
        <v>775</v>
      </c>
      <c r="Y124" s="117" t="s">
        <v>266</v>
      </c>
      <c r="Z124" s="108" t="s">
        <v>35</v>
      </c>
      <c r="AA124" s="108" t="s">
        <v>35</v>
      </c>
      <c r="AB124" s="108" t="s">
        <v>267</v>
      </c>
      <c r="AC124" s="108">
        <v>0</v>
      </c>
      <c r="AD124" s="108">
        <v>1</v>
      </c>
      <c r="AE124" s="108" t="s">
        <v>37</v>
      </c>
      <c r="AF124" s="108" t="s">
        <v>43</v>
      </c>
      <c r="AG124" s="108" t="s">
        <v>38</v>
      </c>
      <c r="AH124" s="108" t="s">
        <v>92</v>
      </c>
    </row>
    <row r="125" spans="1:34" x14ac:dyDescent="0.3">
      <c r="A125" s="107" t="s">
        <v>267</v>
      </c>
      <c r="B125" s="108" t="s">
        <v>287</v>
      </c>
      <c r="C125" s="108" t="s">
        <v>288</v>
      </c>
      <c r="D125" s="109">
        <v>45618</v>
      </c>
      <c r="E125" s="110">
        <v>156000</v>
      </c>
      <c r="F125" s="108" t="s">
        <v>32</v>
      </c>
      <c r="G125" s="108" t="s">
        <v>33</v>
      </c>
      <c r="H125" s="110">
        <v>156000</v>
      </c>
      <c r="I125" s="110">
        <v>54300</v>
      </c>
      <c r="J125" s="111">
        <f t="shared" si="7"/>
        <v>34.807692307692307</v>
      </c>
      <c r="K125" s="110">
        <v>122373</v>
      </c>
      <c r="L125" s="110">
        <f>H125-114060</f>
        <v>41940</v>
      </c>
      <c r="M125" s="110">
        <v>8313</v>
      </c>
      <c r="N125" s="112">
        <f t="shared" si="8"/>
        <v>5.3288461538461541E-2</v>
      </c>
      <c r="O125" s="113">
        <v>40.94</v>
      </c>
      <c r="P125" s="114">
        <v>131</v>
      </c>
      <c r="Q125" s="115">
        <v>0.12</v>
      </c>
      <c r="R125" s="115">
        <v>0.12</v>
      </c>
      <c r="S125" s="110">
        <f t="shared" si="9"/>
        <v>1024.4259892525647</v>
      </c>
      <c r="T125" s="110">
        <f t="shared" si="10"/>
        <v>349500</v>
      </c>
      <c r="U125" s="116">
        <f t="shared" si="11"/>
        <v>8.0234159779614327</v>
      </c>
      <c r="V125" s="115">
        <v>40</v>
      </c>
      <c r="W125" s="115">
        <f t="shared" si="12"/>
        <v>31200</v>
      </c>
      <c r="X125" s="115">
        <f t="shared" si="13"/>
        <v>780</v>
      </c>
      <c r="Y125" s="117" t="s">
        <v>266</v>
      </c>
      <c r="Z125" s="108" t="s">
        <v>35</v>
      </c>
      <c r="AA125" s="108" t="s">
        <v>35</v>
      </c>
      <c r="AB125" s="108" t="s">
        <v>267</v>
      </c>
      <c r="AC125" s="108">
        <v>0</v>
      </c>
      <c r="AD125" s="108">
        <v>1</v>
      </c>
      <c r="AE125" s="108" t="s">
        <v>42</v>
      </c>
      <c r="AF125" s="108" t="s">
        <v>35</v>
      </c>
      <c r="AG125" s="108" t="s">
        <v>38</v>
      </c>
      <c r="AH125" s="108" t="s">
        <v>92</v>
      </c>
    </row>
    <row r="126" spans="1:34" x14ac:dyDescent="0.3">
      <c r="A126" s="107" t="s">
        <v>267</v>
      </c>
      <c r="B126" s="108" t="s">
        <v>345</v>
      </c>
      <c r="C126" s="108" t="s">
        <v>346</v>
      </c>
      <c r="D126" s="109">
        <v>45576</v>
      </c>
      <c r="E126" s="110">
        <v>160000</v>
      </c>
      <c r="F126" s="108" t="s">
        <v>32</v>
      </c>
      <c r="G126" s="108" t="s">
        <v>33</v>
      </c>
      <c r="H126" s="110">
        <v>160000</v>
      </c>
      <c r="I126" s="110">
        <v>63700</v>
      </c>
      <c r="J126" s="111">
        <f t="shared" si="7"/>
        <v>39.8125</v>
      </c>
      <c r="K126" s="110">
        <v>143795</v>
      </c>
      <c r="L126" s="110">
        <f>H126-135381</f>
        <v>24619</v>
      </c>
      <c r="M126" s="110">
        <v>8414</v>
      </c>
      <c r="N126" s="112">
        <f t="shared" si="8"/>
        <v>5.2587500000000002E-2</v>
      </c>
      <c r="O126" s="113">
        <v>41.44</v>
      </c>
      <c r="P126" s="114">
        <v>129</v>
      </c>
      <c r="Q126" s="115">
        <v>0.121</v>
      </c>
      <c r="R126" s="115">
        <v>0.121</v>
      </c>
      <c r="S126" s="110">
        <f t="shared" si="9"/>
        <v>594.08783783783792</v>
      </c>
      <c r="T126" s="110">
        <f t="shared" si="10"/>
        <v>203462.80991735536</v>
      </c>
      <c r="U126" s="116">
        <f t="shared" si="11"/>
        <v>4.6708634048979656</v>
      </c>
      <c r="V126" s="115">
        <v>40.72</v>
      </c>
      <c r="W126" s="115">
        <f t="shared" si="12"/>
        <v>32000</v>
      </c>
      <c r="X126" s="115">
        <f t="shared" si="13"/>
        <v>785.8546168958743</v>
      </c>
      <c r="Y126" s="117" t="s">
        <v>266</v>
      </c>
      <c r="Z126" s="108" t="s">
        <v>35</v>
      </c>
      <c r="AA126" s="108" t="s">
        <v>35</v>
      </c>
      <c r="AB126" s="108" t="s">
        <v>267</v>
      </c>
      <c r="AC126" s="108">
        <v>0</v>
      </c>
      <c r="AD126" s="108">
        <v>1</v>
      </c>
      <c r="AE126" s="108" t="s">
        <v>42</v>
      </c>
      <c r="AF126" s="108" t="s">
        <v>35</v>
      </c>
      <c r="AG126" s="108" t="s">
        <v>38</v>
      </c>
      <c r="AH126" s="108" t="s">
        <v>92</v>
      </c>
    </row>
    <row r="127" spans="1:34" x14ac:dyDescent="0.3">
      <c r="A127" s="107" t="s">
        <v>267</v>
      </c>
      <c r="B127" s="108" t="s">
        <v>304</v>
      </c>
      <c r="C127" s="108" t="s">
        <v>305</v>
      </c>
      <c r="D127" s="109">
        <v>45065</v>
      </c>
      <c r="E127" s="110">
        <v>160000</v>
      </c>
      <c r="F127" s="108" t="s">
        <v>32</v>
      </c>
      <c r="G127" s="108" t="s">
        <v>33</v>
      </c>
      <c r="H127" s="110">
        <v>160000</v>
      </c>
      <c r="I127" s="110">
        <v>61100</v>
      </c>
      <c r="J127" s="111">
        <f t="shared" si="7"/>
        <v>38.1875</v>
      </c>
      <c r="K127" s="110">
        <v>147785</v>
      </c>
      <c r="L127" s="110">
        <f>H127-139472</f>
        <v>20528</v>
      </c>
      <c r="M127" s="110">
        <v>8313</v>
      </c>
      <c r="N127" s="112">
        <f t="shared" si="8"/>
        <v>5.1956250000000002E-2</v>
      </c>
      <c r="O127" s="113">
        <v>40.94</v>
      </c>
      <c r="P127" s="114">
        <v>131</v>
      </c>
      <c r="Q127" s="115">
        <v>0.12</v>
      </c>
      <c r="R127" s="115">
        <v>0.12</v>
      </c>
      <c r="S127" s="110">
        <f t="shared" si="9"/>
        <v>501.41670737664879</v>
      </c>
      <c r="T127" s="110">
        <f t="shared" si="10"/>
        <v>171066.66666666669</v>
      </c>
      <c r="U127" s="116">
        <f t="shared" si="11"/>
        <v>3.9271502907866549</v>
      </c>
      <c r="V127" s="115">
        <v>40</v>
      </c>
      <c r="W127" s="115">
        <f t="shared" si="12"/>
        <v>32000</v>
      </c>
      <c r="X127" s="115">
        <f t="shared" si="13"/>
        <v>800</v>
      </c>
      <c r="Y127" s="117" t="s">
        <v>266</v>
      </c>
      <c r="Z127" s="108" t="s">
        <v>35</v>
      </c>
      <c r="AA127" s="108" t="s">
        <v>35</v>
      </c>
      <c r="AB127" s="108" t="s">
        <v>267</v>
      </c>
      <c r="AC127" s="108">
        <v>0</v>
      </c>
      <c r="AD127" s="108">
        <v>1</v>
      </c>
      <c r="AE127" s="108" t="s">
        <v>42</v>
      </c>
      <c r="AF127" s="108" t="s">
        <v>43</v>
      </c>
      <c r="AG127" s="108" t="s">
        <v>38</v>
      </c>
      <c r="AH127" s="108" t="s">
        <v>92</v>
      </c>
    </row>
    <row r="128" spans="1:34" x14ac:dyDescent="0.3">
      <c r="A128" s="107" t="s">
        <v>267</v>
      </c>
      <c r="B128" s="108" t="s">
        <v>264</v>
      </c>
      <c r="C128" s="108" t="s">
        <v>265</v>
      </c>
      <c r="D128" s="109">
        <v>45135</v>
      </c>
      <c r="E128" s="110">
        <v>161000</v>
      </c>
      <c r="F128" s="108" t="s">
        <v>32</v>
      </c>
      <c r="G128" s="108" t="s">
        <v>33</v>
      </c>
      <c r="H128" s="110">
        <v>161000</v>
      </c>
      <c r="I128" s="110">
        <v>53500</v>
      </c>
      <c r="J128" s="111">
        <f t="shared" si="7"/>
        <v>33.229813664596278</v>
      </c>
      <c r="K128" s="110">
        <v>136568</v>
      </c>
      <c r="L128" s="110">
        <f>H128-128287</f>
        <v>32713</v>
      </c>
      <c r="M128" s="110">
        <v>8281</v>
      </c>
      <c r="N128" s="112">
        <f t="shared" si="8"/>
        <v>5.1434782608695655E-2</v>
      </c>
      <c r="O128" s="113">
        <v>40.79</v>
      </c>
      <c r="P128" s="114">
        <v>130</v>
      </c>
      <c r="Q128" s="115">
        <v>0.11899999999999999</v>
      </c>
      <c r="R128" s="115">
        <v>0.11899999999999999</v>
      </c>
      <c r="S128" s="110">
        <f t="shared" si="9"/>
        <v>801.98578082863446</v>
      </c>
      <c r="T128" s="110">
        <f t="shared" si="10"/>
        <v>274899.15966386558</v>
      </c>
      <c r="U128" s="116">
        <f t="shared" si="11"/>
        <v>6.3108163375543063</v>
      </c>
      <c r="V128" s="115">
        <v>40</v>
      </c>
      <c r="W128" s="115">
        <f t="shared" si="12"/>
        <v>32200</v>
      </c>
      <c r="X128" s="115">
        <f t="shared" si="13"/>
        <v>805</v>
      </c>
      <c r="Y128" s="117" t="s">
        <v>266</v>
      </c>
      <c r="Z128" s="108" t="s">
        <v>35</v>
      </c>
      <c r="AA128" s="108" t="s">
        <v>35</v>
      </c>
      <c r="AB128" s="108" t="s">
        <v>267</v>
      </c>
      <c r="AC128" s="108">
        <v>0</v>
      </c>
      <c r="AD128" s="108">
        <v>1</v>
      </c>
      <c r="AE128" s="108" t="s">
        <v>42</v>
      </c>
      <c r="AF128" s="108" t="s">
        <v>43</v>
      </c>
      <c r="AG128" s="108" t="s">
        <v>38</v>
      </c>
      <c r="AH128" s="108" t="s">
        <v>92</v>
      </c>
    </row>
    <row r="129" spans="1:34" x14ac:dyDescent="0.3">
      <c r="A129" s="107" t="s">
        <v>267</v>
      </c>
      <c r="B129" s="108" t="s">
        <v>472</v>
      </c>
      <c r="C129" s="108" t="s">
        <v>473</v>
      </c>
      <c r="D129" s="109">
        <v>45239</v>
      </c>
      <c r="E129" s="110">
        <v>170000</v>
      </c>
      <c r="F129" s="108" t="s">
        <v>32</v>
      </c>
      <c r="G129" s="108" t="s">
        <v>33</v>
      </c>
      <c r="H129" s="110">
        <v>170000</v>
      </c>
      <c r="I129" s="110">
        <v>62800</v>
      </c>
      <c r="J129" s="111">
        <f t="shared" si="7"/>
        <v>36.941176470588232</v>
      </c>
      <c r="K129" s="110">
        <v>166716</v>
      </c>
      <c r="L129" s="110">
        <f>H129-158277</f>
        <v>11723</v>
      </c>
      <c r="M129" s="110">
        <v>8439</v>
      </c>
      <c r="N129" s="112">
        <f t="shared" si="8"/>
        <v>4.9641176470588237E-2</v>
      </c>
      <c r="O129" s="113">
        <v>41.56</v>
      </c>
      <c r="P129" s="114">
        <v>135</v>
      </c>
      <c r="Q129" s="115">
        <v>0.124</v>
      </c>
      <c r="R129" s="115">
        <v>0.124</v>
      </c>
      <c r="S129" s="110">
        <f t="shared" si="9"/>
        <v>282.07410972088547</v>
      </c>
      <c r="T129" s="110">
        <f t="shared" si="10"/>
        <v>94540.322580645166</v>
      </c>
      <c r="U129" s="116">
        <f t="shared" si="11"/>
        <v>2.1703471666814775</v>
      </c>
      <c r="V129" s="115">
        <v>40</v>
      </c>
      <c r="W129" s="115">
        <f t="shared" si="12"/>
        <v>34000</v>
      </c>
      <c r="X129" s="115">
        <f t="shared" si="13"/>
        <v>850</v>
      </c>
      <c r="Y129" s="117" t="s">
        <v>266</v>
      </c>
      <c r="Z129" s="108" t="s">
        <v>35</v>
      </c>
      <c r="AA129" s="108" t="s">
        <v>35</v>
      </c>
      <c r="AB129" s="108" t="s">
        <v>267</v>
      </c>
      <c r="AC129" s="108">
        <v>0</v>
      </c>
      <c r="AD129" s="108">
        <v>1</v>
      </c>
      <c r="AE129" s="108" t="s">
        <v>37</v>
      </c>
      <c r="AF129" s="108" t="s">
        <v>43</v>
      </c>
      <c r="AG129" s="108" t="s">
        <v>38</v>
      </c>
      <c r="AH129" s="108" t="s">
        <v>92</v>
      </c>
    </row>
    <row r="130" spans="1:34" x14ac:dyDescent="0.3">
      <c r="A130" s="107" t="s">
        <v>267</v>
      </c>
      <c r="B130" s="108" t="s">
        <v>312</v>
      </c>
      <c r="C130" s="108" t="s">
        <v>313</v>
      </c>
      <c r="D130" s="109">
        <v>45457</v>
      </c>
      <c r="E130" s="110">
        <v>180000</v>
      </c>
      <c r="F130" s="108" t="s">
        <v>32</v>
      </c>
      <c r="G130" s="108" t="s">
        <v>33</v>
      </c>
      <c r="H130" s="110">
        <v>180000</v>
      </c>
      <c r="I130" s="110">
        <v>48700</v>
      </c>
      <c r="J130" s="111">
        <f t="shared" ref="J130:J193" si="14">I130/H130*100</f>
        <v>27.055555555555554</v>
      </c>
      <c r="K130" s="110">
        <v>140557</v>
      </c>
      <c r="L130" s="110">
        <f>H130-132940</f>
        <v>47060</v>
      </c>
      <c r="M130" s="110">
        <v>7617</v>
      </c>
      <c r="N130" s="112">
        <f t="shared" ref="N130:N193" si="15">M130/E130</f>
        <v>4.2316666666666669E-2</v>
      </c>
      <c r="O130" s="113">
        <v>37.520000000000003</v>
      </c>
      <c r="P130" s="114">
        <v>110</v>
      </c>
      <c r="Q130" s="115">
        <v>0.10100000000000001</v>
      </c>
      <c r="R130" s="115">
        <v>0.10100000000000001</v>
      </c>
      <c r="S130" s="110">
        <f t="shared" ref="S130:S193" si="16">L130/O130</f>
        <v>1254.2643923240937</v>
      </c>
      <c r="T130" s="110">
        <f t="shared" ref="T130:T193" si="17">L130/Q130</f>
        <v>465940.59405940591</v>
      </c>
      <c r="U130" s="116">
        <f t="shared" ref="U130:U193" si="18">L130/Q130/43560</f>
        <v>10.696524197874332</v>
      </c>
      <c r="V130" s="115">
        <v>40</v>
      </c>
      <c r="W130" s="115">
        <f t="shared" ref="W130:W193" si="19">0.2*E130</f>
        <v>36000</v>
      </c>
      <c r="X130" s="115">
        <f t="shared" ref="X130:X193" si="20">W130/V130</f>
        <v>900</v>
      </c>
      <c r="Y130" s="117" t="s">
        <v>266</v>
      </c>
      <c r="Z130" s="108" t="s">
        <v>35</v>
      </c>
      <c r="AA130" s="108" t="s">
        <v>35</v>
      </c>
      <c r="AB130" s="108" t="s">
        <v>267</v>
      </c>
      <c r="AC130" s="108">
        <v>0</v>
      </c>
      <c r="AD130" s="108">
        <v>1</v>
      </c>
      <c r="AE130" s="108" t="s">
        <v>37</v>
      </c>
      <c r="AF130" s="108" t="s">
        <v>314</v>
      </c>
      <c r="AG130" s="108" t="s">
        <v>38</v>
      </c>
      <c r="AH130" s="108" t="s">
        <v>92</v>
      </c>
    </row>
    <row r="131" spans="1:34" x14ac:dyDescent="0.3">
      <c r="A131" s="118" t="s">
        <v>267</v>
      </c>
      <c r="B131" s="119" t="s">
        <v>308</v>
      </c>
      <c r="C131" s="119" t="s">
        <v>309</v>
      </c>
      <c r="D131" s="120">
        <v>45294</v>
      </c>
      <c r="E131" s="121">
        <v>185000</v>
      </c>
      <c r="F131" s="119" t="s">
        <v>32</v>
      </c>
      <c r="G131" s="119" t="s">
        <v>33</v>
      </c>
      <c r="H131" s="121">
        <v>185000</v>
      </c>
      <c r="I131" s="121">
        <v>51900</v>
      </c>
      <c r="J131" s="122">
        <f t="shared" si="14"/>
        <v>28.054054054054056</v>
      </c>
      <c r="K131" s="121">
        <v>131746</v>
      </c>
      <c r="L131" s="121">
        <f>H131-124483</f>
        <v>60517</v>
      </c>
      <c r="M131" s="121">
        <v>7263</v>
      </c>
      <c r="N131" s="123">
        <f t="shared" si="15"/>
        <v>3.925945945945946E-2</v>
      </c>
      <c r="O131" s="124">
        <v>35.770000000000003</v>
      </c>
      <c r="P131" s="125">
        <v>100</v>
      </c>
      <c r="Q131" s="126">
        <v>9.1999999999999998E-2</v>
      </c>
      <c r="R131" s="126">
        <v>9.1999999999999998E-2</v>
      </c>
      <c r="S131" s="121">
        <f t="shared" si="16"/>
        <v>1691.8367346938774</v>
      </c>
      <c r="T131" s="121">
        <f t="shared" si="17"/>
        <v>657793.47826086963</v>
      </c>
      <c r="U131" s="127">
        <f t="shared" si="18"/>
        <v>15.100860382480937</v>
      </c>
      <c r="V131" s="126">
        <v>40</v>
      </c>
      <c r="W131" s="126">
        <f t="shared" si="19"/>
        <v>37000</v>
      </c>
      <c r="X131" s="126">
        <f t="shared" si="20"/>
        <v>925</v>
      </c>
      <c r="Y131" s="128" t="s">
        <v>266</v>
      </c>
      <c r="Z131" s="119" t="s">
        <v>35</v>
      </c>
      <c r="AA131" s="119" t="s">
        <v>35</v>
      </c>
      <c r="AB131" s="119" t="s">
        <v>267</v>
      </c>
      <c r="AC131" s="119">
        <v>0</v>
      </c>
      <c r="AD131" s="119">
        <v>1</v>
      </c>
      <c r="AE131" s="119" t="s">
        <v>37</v>
      </c>
      <c r="AF131" s="119" t="s">
        <v>43</v>
      </c>
      <c r="AG131" s="119" t="s">
        <v>38</v>
      </c>
      <c r="AH131" s="119" t="s">
        <v>92</v>
      </c>
    </row>
    <row r="132" spans="1:34" x14ac:dyDescent="0.3">
      <c r="A132" s="107" t="s">
        <v>267</v>
      </c>
      <c r="B132" s="108" t="s">
        <v>324</v>
      </c>
      <c r="C132" s="108" t="s">
        <v>325</v>
      </c>
      <c r="D132" s="109">
        <v>45428</v>
      </c>
      <c r="E132" s="110">
        <v>185000</v>
      </c>
      <c r="F132" s="108" t="s">
        <v>32</v>
      </c>
      <c r="G132" s="108" t="s">
        <v>33</v>
      </c>
      <c r="H132" s="110">
        <v>185000</v>
      </c>
      <c r="I132" s="110">
        <v>54300</v>
      </c>
      <c r="J132" s="111">
        <f t="shared" si="14"/>
        <v>29.351351351351351</v>
      </c>
      <c r="K132" s="110">
        <v>117629</v>
      </c>
      <c r="L132" s="110">
        <f>H132-110012</f>
        <v>74988</v>
      </c>
      <c r="M132" s="110">
        <v>7617</v>
      </c>
      <c r="N132" s="112">
        <f t="shared" si="15"/>
        <v>4.1172972972972975E-2</v>
      </c>
      <c r="O132" s="113">
        <v>37.520000000000003</v>
      </c>
      <c r="P132" s="114">
        <v>110</v>
      </c>
      <c r="Q132" s="115">
        <v>0.10100000000000001</v>
      </c>
      <c r="R132" s="115">
        <v>0.10100000000000001</v>
      </c>
      <c r="S132" s="110">
        <f t="shared" si="16"/>
        <v>1998.6140724946692</v>
      </c>
      <c r="T132" s="110">
        <f t="shared" si="17"/>
        <v>742455.44554455439</v>
      </c>
      <c r="U132" s="116">
        <f t="shared" si="18"/>
        <v>17.04443171589886</v>
      </c>
      <c r="V132" s="115">
        <v>40</v>
      </c>
      <c r="W132" s="115">
        <f t="shared" si="19"/>
        <v>37000</v>
      </c>
      <c r="X132" s="115">
        <f t="shared" si="20"/>
        <v>925</v>
      </c>
      <c r="Y132" s="117" t="s">
        <v>266</v>
      </c>
      <c r="Z132" s="108" t="s">
        <v>35</v>
      </c>
      <c r="AA132" s="108" t="s">
        <v>35</v>
      </c>
      <c r="AB132" s="108" t="s">
        <v>267</v>
      </c>
      <c r="AC132" s="108">
        <v>0</v>
      </c>
      <c r="AD132" s="108">
        <v>1</v>
      </c>
      <c r="AE132" s="108" t="s">
        <v>37</v>
      </c>
      <c r="AF132" s="108" t="s">
        <v>43</v>
      </c>
      <c r="AG132" s="108" t="s">
        <v>38</v>
      </c>
      <c r="AH132" s="108" t="s">
        <v>92</v>
      </c>
    </row>
    <row r="133" spans="1:34" x14ac:dyDescent="0.3">
      <c r="A133" s="118" t="s">
        <v>267</v>
      </c>
      <c r="B133" s="119" t="s">
        <v>310</v>
      </c>
      <c r="C133" s="119" t="s">
        <v>311</v>
      </c>
      <c r="D133" s="120">
        <v>45502</v>
      </c>
      <c r="E133" s="121">
        <v>187000</v>
      </c>
      <c r="F133" s="119" t="s">
        <v>32</v>
      </c>
      <c r="G133" s="119" t="s">
        <v>33</v>
      </c>
      <c r="H133" s="121">
        <v>187000</v>
      </c>
      <c r="I133" s="121">
        <v>62200</v>
      </c>
      <c r="J133" s="122">
        <f t="shared" si="14"/>
        <v>33.262032085561501</v>
      </c>
      <c r="K133" s="121">
        <v>134310</v>
      </c>
      <c r="L133" s="121">
        <f>H133-127047</f>
        <v>59953</v>
      </c>
      <c r="M133" s="121">
        <v>7263</v>
      </c>
      <c r="N133" s="123">
        <f t="shared" si="15"/>
        <v>3.8839572192513369E-2</v>
      </c>
      <c r="O133" s="124">
        <v>35.770000000000003</v>
      </c>
      <c r="P133" s="125">
        <v>100</v>
      </c>
      <c r="Q133" s="126">
        <v>9.1999999999999998E-2</v>
      </c>
      <c r="R133" s="126">
        <v>9.1999999999999998E-2</v>
      </c>
      <c r="S133" s="121">
        <f t="shared" si="16"/>
        <v>1676.0693318423259</v>
      </c>
      <c r="T133" s="121">
        <f t="shared" si="17"/>
        <v>651663.04347826086</v>
      </c>
      <c r="U133" s="127">
        <f t="shared" si="18"/>
        <v>14.960124965065676</v>
      </c>
      <c r="V133" s="126">
        <v>40</v>
      </c>
      <c r="W133" s="126">
        <f t="shared" si="19"/>
        <v>37400</v>
      </c>
      <c r="X133" s="126">
        <f t="shared" si="20"/>
        <v>935</v>
      </c>
      <c r="Y133" s="128" t="s">
        <v>266</v>
      </c>
      <c r="Z133" s="119" t="s">
        <v>35</v>
      </c>
      <c r="AA133" s="119" t="s">
        <v>35</v>
      </c>
      <c r="AB133" s="119" t="s">
        <v>267</v>
      </c>
      <c r="AC133" s="119">
        <v>0</v>
      </c>
      <c r="AD133" s="119">
        <v>1</v>
      </c>
      <c r="AE133" s="119" t="s">
        <v>37</v>
      </c>
      <c r="AF133" s="119" t="s">
        <v>43</v>
      </c>
      <c r="AG133" s="119" t="s">
        <v>38</v>
      </c>
      <c r="AH133" s="119" t="s">
        <v>92</v>
      </c>
    </row>
    <row r="134" spans="1:34" x14ac:dyDescent="0.3">
      <c r="A134" s="118" t="s">
        <v>267</v>
      </c>
      <c r="B134" s="119" t="s">
        <v>332</v>
      </c>
      <c r="C134" s="119" t="s">
        <v>333</v>
      </c>
      <c r="D134" s="120">
        <v>45426</v>
      </c>
      <c r="E134" s="121">
        <v>199000</v>
      </c>
      <c r="F134" s="119" t="s">
        <v>32</v>
      </c>
      <c r="G134" s="119" t="s">
        <v>33</v>
      </c>
      <c r="H134" s="121">
        <v>199000</v>
      </c>
      <c r="I134" s="121">
        <v>78500</v>
      </c>
      <c r="J134" s="122">
        <f t="shared" si="14"/>
        <v>39.447236180904518</v>
      </c>
      <c r="K134" s="121">
        <v>171598</v>
      </c>
      <c r="L134" s="121">
        <f>H134-163285</f>
        <v>35715</v>
      </c>
      <c r="M134" s="121">
        <v>8313</v>
      </c>
      <c r="N134" s="123">
        <f t="shared" si="15"/>
        <v>4.1773869346733668E-2</v>
      </c>
      <c r="O134" s="124">
        <v>40.94</v>
      </c>
      <c r="P134" s="125">
        <v>131</v>
      </c>
      <c r="Q134" s="126">
        <v>0.12</v>
      </c>
      <c r="R134" s="126">
        <v>0.12</v>
      </c>
      <c r="S134" s="121">
        <f t="shared" si="16"/>
        <v>872.37420615534938</v>
      </c>
      <c r="T134" s="121">
        <f t="shared" si="17"/>
        <v>297625</v>
      </c>
      <c r="U134" s="127">
        <f t="shared" si="18"/>
        <v>6.8325298438934805</v>
      </c>
      <c r="V134" s="126">
        <v>40</v>
      </c>
      <c r="W134" s="126">
        <f t="shared" si="19"/>
        <v>39800</v>
      </c>
      <c r="X134" s="126">
        <f t="shared" si="20"/>
        <v>995</v>
      </c>
      <c r="Y134" s="128" t="s">
        <v>266</v>
      </c>
      <c r="Z134" s="119" t="s">
        <v>35</v>
      </c>
      <c r="AA134" s="119" t="s">
        <v>35</v>
      </c>
      <c r="AB134" s="119" t="s">
        <v>267</v>
      </c>
      <c r="AC134" s="119">
        <v>0</v>
      </c>
      <c r="AD134" s="119">
        <v>1</v>
      </c>
      <c r="AE134" s="119" t="s">
        <v>334</v>
      </c>
      <c r="AF134" s="119" t="s">
        <v>43</v>
      </c>
      <c r="AG134" s="119" t="s">
        <v>38</v>
      </c>
      <c r="AH134" s="119" t="s">
        <v>92</v>
      </c>
    </row>
    <row r="135" spans="1:34" x14ac:dyDescent="0.3">
      <c r="A135" s="107" t="s">
        <v>267</v>
      </c>
      <c r="B135" s="108" t="s">
        <v>337</v>
      </c>
      <c r="C135" s="108" t="s">
        <v>338</v>
      </c>
      <c r="D135" s="109">
        <v>45055</v>
      </c>
      <c r="E135" s="110">
        <v>215000</v>
      </c>
      <c r="F135" s="108" t="s">
        <v>32</v>
      </c>
      <c r="G135" s="108" t="s">
        <v>33</v>
      </c>
      <c r="H135" s="110">
        <v>215000</v>
      </c>
      <c r="I135" s="110">
        <v>100000</v>
      </c>
      <c r="J135" s="111">
        <f t="shared" si="14"/>
        <v>46.511627906976742</v>
      </c>
      <c r="K135" s="110">
        <v>266139</v>
      </c>
      <c r="L135" s="110">
        <f>H135-257826</f>
        <v>-42826</v>
      </c>
      <c r="M135" s="110">
        <v>8313</v>
      </c>
      <c r="N135" s="112">
        <f t="shared" si="15"/>
        <v>3.8665116279069767E-2</v>
      </c>
      <c r="O135" s="113">
        <v>40.94</v>
      </c>
      <c r="P135" s="114">
        <v>131</v>
      </c>
      <c r="Q135" s="115">
        <v>0.12</v>
      </c>
      <c r="R135" s="115">
        <v>0.12</v>
      </c>
      <c r="S135" s="110">
        <f t="shared" si="16"/>
        <v>-1046.0674157303372</v>
      </c>
      <c r="T135" s="110">
        <f t="shared" si="17"/>
        <v>-356883.33333333337</v>
      </c>
      <c r="U135" s="116">
        <f t="shared" si="18"/>
        <v>-8.1929139883685345</v>
      </c>
      <c r="V135" s="115">
        <v>40</v>
      </c>
      <c r="W135" s="115">
        <f t="shared" si="19"/>
        <v>43000</v>
      </c>
      <c r="X135" s="115">
        <f t="shared" si="20"/>
        <v>1075</v>
      </c>
      <c r="Y135" s="117" t="s">
        <v>266</v>
      </c>
      <c r="Z135" s="108" t="s">
        <v>35</v>
      </c>
      <c r="AA135" s="108" t="s">
        <v>35</v>
      </c>
      <c r="AB135" s="108" t="s">
        <v>267</v>
      </c>
      <c r="AC135" s="108">
        <v>0</v>
      </c>
      <c r="AD135" s="108">
        <v>1</v>
      </c>
      <c r="AE135" s="108" t="s">
        <v>42</v>
      </c>
      <c r="AF135" s="108" t="s">
        <v>43</v>
      </c>
      <c r="AG135" s="108" t="s">
        <v>38</v>
      </c>
      <c r="AH135" s="108" t="s">
        <v>92</v>
      </c>
    </row>
    <row r="136" spans="1:34" x14ac:dyDescent="0.3">
      <c r="A136" s="118" t="s">
        <v>91</v>
      </c>
      <c r="B136" s="119" t="s">
        <v>145</v>
      </c>
      <c r="C136" s="119" t="s">
        <v>146</v>
      </c>
      <c r="D136" s="120">
        <v>45320</v>
      </c>
      <c r="E136" s="121">
        <v>160000</v>
      </c>
      <c r="F136" s="119" t="s">
        <v>32</v>
      </c>
      <c r="G136" s="119" t="s">
        <v>33</v>
      </c>
      <c r="H136" s="121">
        <v>160000</v>
      </c>
      <c r="I136" s="121">
        <v>70000</v>
      </c>
      <c r="J136" s="122">
        <f t="shared" si="14"/>
        <v>43.75</v>
      </c>
      <c r="K136" s="121">
        <v>187559</v>
      </c>
      <c r="L136" s="121">
        <f>H136-166034</f>
        <v>-6034</v>
      </c>
      <c r="M136" s="121">
        <v>21525</v>
      </c>
      <c r="N136" s="123">
        <f t="shared" si="15"/>
        <v>0.13453124999999999</v>
      </c>
      <c r="O136" s="124">
        <v>108.71</v>
      </c>
      <c r="P136" s="125">
        <v>134</v>
      </c>
      <c r="Q136" s="126">
        <v>0.32300000000000001</v>
      </c>
      <c r="R136" s="126">
        <v>0.32300000000000001</v>
      </c>
      <c r="S136" s="121">
        <f t="shared" si="16"/>
        <v>-55.505473277527372</v>
      </c>
      <c r="T136" s="121">
        <f t="shared" si="17"/>
        <v>-18681.114551083592</v>
      </c>
      <c r="U136" s="127">
        <f t="shared" si="18"/>
        <v>-0.42885937904232307</v>
      </c>
      <c r="V136" s="126">
        <v>105</v>
      </c>
      <c r="W136" s="126">
        <f t="shared" si="19"/>
        <v>32000</v>
      </c>
      <c r="X136" s="126">
        <f t="shared" si="20"/>
        <v>304.76190476190476</v>
      </c>
      <c r="Y136" s="128" t="s">
        <v>90</v>
      </c>
      <c r="Z136" s="119" t="s">
        <v>35</v>
      </c>
      <c r="AA136" s="119" t="s">
        <v>35</v>
      </c>
      <c r="AB136" s="119" t="s">
        <v>91</v>
      </c>
      <c r="AC136" s="119">
        <v>0</v>
      </c>
      <c r="AD136" s="119">
        <v>0</v>
      </c>
      <c r="AE136" s="119" t="s">
        <v>37</v>
      </c>
      <c r="AF136" s="119" t="s">
        <v>43</v>
      </c>
      <c r="AG136" s="119" t="s">
        <v>38</v>
      </c>
      <c r="AH136" s="119" t="s">
        <v>92</v>
      </c>
    </row>
    <row r="137" spans="1:34" x14ac:dyDescent="0.3">
      <c r="A137" s="118" t="s">
        <v>91</v>
      </c>
      <c r="B137" s="119" t="s">
        <v>131</v>
      </c>
      <c r="C137" s="119" t="s">
        <v>132</v>
      </c>
      <c r="D137" s="120">
        <v>45048</v>
      </c>
      <c r="E137" s="121">
        <v>120000</v>
      </c>
      <c r="F137" s="119" t="s">
        <v>32</v>
      </c>
      <c r="G137" s="119" t="s">
        <v>33</v>
      </c>
      <c r="H137" s="121">
        <v>120000</v>
      </c>
      <c r="I137" s="121">
        <v>48300</v>
      </c>
      <c r="J137" s="122">
        <f t="shared" si="14"/>
        <v>40.25</v>
      </c>
      <c r="K137" s="121">
        <v>128970</v>
      </c>
      <c r="L137" s="121">
        <f>H137-116942</f>
        <v>3058</v>
      </c>
      <c r="M137" s="121">
        <v>12028</v>
      </c>
      <c r="N137" s="123">
        <f t="shared" si="15"/>
        <v>0.10023333333333333</v>
      </c>
      <c r="O137" s="124">
        <v>60.74</v>
      </c>
      <c r="P137" s="125">
        <v>115</v>
      </c>
      <c r="Q137" s="126">
        <v>0.153</v>
      </c>
      <c r="R137" s="126">
        <v>0.153</v>
      </c>
      <c r="S137" s="121">
        <f t="shared" si="16"/>
        <v>50.345735923608821</v>
      </c>
      <c r="T137" s="121">
        <f t="shared" si="17"/>
        <v>19986.928104575163</v>
      </c>
      <c r="U137" s="127">
        <f t="shared" si="18"/>
        <v>0.45883673334653724</v>
      </c>
      <c r="V137" s="126">
        <v>74</v>
      </c>
      <c r="W137" s="126">
        <f t="shared" si="19"/>
        <v>24000</v>
      </c>
      <c r="X137" s="126">
        <f t="shared" si="20"/>
        <v>324.32432432432432</v>
      </c>
      <c r="Y137" s="128" t="s">
        <v>90</v>
      </c>
      <c r="Z137" s="119" t="s">
        <v>35</v>
      </c>
      <c r="AA137" s="119" t="s">
        <v>35</v>
      </c>
      <c r="AB137" s="119" t="s">
        <v>91</v>
      </c>
      <c r="AC137" s="119">
        <v>0</v>
      </c>
      <c r="AD137" s="119">
        <v>1</v>
      </c>
      <c r="AE137" s="119" t="s">
        <v>37</v>
      </c>
      <c r="AF137" s="119" t="s">
        <v>43</v>
      </c>
      <c r="AG137" s="119" t="s">
        <v>38</v>
      </c>
      <c r="AH137" s="119" t="s">
        <v>92</v>
      </c>
    </row>
    <row r="138" spans="1:34" x14ac:dyDescent="0.3">
      <c r="A138" s="107" t="s">
        <v>91</v>
      </c>
      <c r="B138" s="108" t="s">
        <v>143</v>
      </c>
      <c r="C138" s="108" t="s">
        <v>144</v>
      </c>
      <c r="D138" s="109">
        <v>45582</v>
      </c>
      <c r="E138" s="110">
        <v>75000</v>
      </c>
      <c r="F138" s="108" t="s">
        <v>81</v>
      </c>
      <c r="G138" s="108" t="s">
        <v>33</v>
      </c>
      <c r="H138" s="110">
        <v>75000</v>
      </c>
      <c r="I138" s="110">
        <v>73800</v>
      </c>
      <c r="J138" s="111">
        <f t="shared" si="14"/>
        <v>98.4</v>
      </c>
      <c r="K138" s="110">
        <v>164391</v>
      </c>
      <c r="L138" s="110">
        <f>H138-156345</f>
        <v>-81345</v>
      </c>
      <c r="M138" s="110">
        <v>8046</v>
      </c>
      <c r="N138" s="112">
        <f t="shared" si="15"/>
        <v>0.10728</v>
      </c>
      <c r="O138" s="113">
        <v>40.630000000000003</v>
      </c>
      <c r="P138" s="114">
        <v>129</v>
      </c>
      <c r="Q138" s="115">
        <v>0.11799999999999999</v>
      </c>
      <c r="R138" s="115">
        <v>0.11799999999999999</v>
      </c>
      <c r="S138" s="110">
        <f t="shared" si="16"/>
        <v>-2002.0920502092049</v>
      </c>
      <c r="T138" s="110">
        <f t="shared" si="17"/>
        <v>-689364.40677966108</v>
      </c>
      <c r="U138" s="116">
        <f t="shared" si="18"/>
        <v>-15.825629173086801</v>
      </c>
      <c r="V138" s="115">
        <v>40</v>
      </c>
      <c r="W138" s="115">
        <f t="shared" si="19"/>
        <v>15000</v>
      </c>
      <c r="X138" s="115">
        <f t="shared" si="20"/>
        <v>375</v>
      </c>
      <c r="Y138" s="117" t="s">
        <v>90</v>
      </c>
      <c r="Z138" s="108" t="s">
        <v>35</v>
      </c>
      <c r="AA138" s="108" t="s">
        <v>35</v>
      </c>
      <c r="AB138" s="108" t="s">
        <v>91</v>
      </c>
      <c r="AC138" s="108">
        <v>0</v>
      </c>
      <c r="AD138" s="108">
        <v>1</v>
      </c>
      <c r="AE138" s="108" t="s">
        <v>37</v>
      </c>
      <c r="AF138" s="108" t="s">
        <v>35</v>
      </c>
      <c r="AG138" s="108" t="s">
        <v>38</v>
      </c>
      <c r="AH138" s="108" t="s">
        <v>92</v>
      </c>
    </row>
    <row r="139" spans="1:34" x14ac:dyDescent="0.3">
      <c r="A139" s="107" t="s">
        <v>91</v>
      </c>
      <c r="B139" s="108" t="s">
        <v>99</v>
      </c>
      <c r="C139" s="108" t="s">
        <v>100</v>
      </c>
      <c r="D139" s="109">
        <v>45565</v>
      </c>
      <c r="E139" s="110">
        <v>90000</v>
      </c>
      <c r="F139" s="108" t="s">
        <v>32</v>
      </c>
      <c r="G139" s="108" t="s">
        <v>33</v>
      </c>
      <c r="H139" s="110">
        <v>90000</v>
      </c>
      <c r="I139" s="110">
        <v>50900</v>
      </c>
      <c r="J139" s="111">
        <f t="shared" si="14"/>
        <v>56.555555555555557</v>
      </c>
      <c r="K139" s="110">
        <v>119059</v>
      </c>
      <c r="L139" s="110">
        <f>H139-111076</f>
        <v>-21076</v>
      </c>
      <c r="M139" s="110">
        <v>7983</v>
      </c>
      <c r="N139" s="112">
        <f t="shared" si="15"/>
        <v>8.8700000000000001E-2</v>
      </c>
      <c r="O139" s="113">
        <v>40.31</v>
      </c>
      <c r="P139" s="114">
        <v>127</v>
      </c>
      <c r="Q139" s="115">
        <v>0.11700000000000001</v>
      </c>
      <c r="R139" s="115">
        <v>0.11700000000000001</v>
      </c>
      <c r="S139" s="110">
        <f t="shared" si="16"/>
        <v>-522.8479285537087</v>
      </c>
      <c r="T139" s="110">
        <f t="shared" si="17"/>
        <v>-180136.75213675213</v>
      </c>
      <c r="U139" s="116">
        <f t="shared" si="18"/>
        <v>-4.1353708020374684</v>
      </c>
      <c r="V139" s="115">
        <v>40</v>
      </c>
      <c r="W139" s="115">
        <f t="shared" si="19"/>
        <v>18000</v>
      </c>
      <c r="X139" s="115">
        <f t="shared" si="20"/>
        <v>450</v>
      </c>
      <c r="Y139" s="117" t="s">
        <v>90</v>
      </c>
      <c r="Z139" s="108" t="s">
        <v>35</v>
      </c>
      <c r="AA139" s="108" t="s">
        <v>35</v>
      </c>
      <c r="AB139" s="108" t="s">
        <v>91</v>
      </c>
      <c r="AC139" s="108">
        <v>0</v>
      </c>
      <c r="AD139" s="108">
        <v>1</v>
      </c>
      <c r="AE139" s="108" t="s">
        <v>37</v>
      </c>
      <c r="AF139" s="108" t="s">
        <v>35</v>
      </c>
      <c r="AG139" s="108" t="s">
        <v>38</v>
      </c>
      <c r="AH139" s="108" t="s">
        <v>92</v>
      </c>
    </row>
    <row r="140" spans="1:34" x14ac:dyDescent="0.3">
      <c r="A140" s="107" t="s">
        <v>91</v>
      </c>
      <c r="B140" s="108" t="s">
        <v>99</v>
      </c>
      <c r="C140" s="108" t="s">
        <v>100</v>
      </c>
      <c r="D140" s="109">
        <v>45580</v>
      </c>
      <c r="E140" s="110">
        <v>90000</v>
      </c>
      <c r="F140" s="108" t="s">
        <v>32</v>
      </c>
      <c r="G140" s="108" t="s">
        <v>33</v>
      </c>
      <c r="H140" s="110">
        <v>90000</v>
      </c>
      <c r="I140" s="110">
        <v>50900</v>
      </c>
      <c r="J140" s="111">
        <f t="shared" si="14"/>
        <v>56.555555555555557</v>
      </c>
      <c r="K140" s="110">
        <v>119059</v>
      </c>
      <c r="L140" s="110">
        <f>H140-111076</f>
        <v>-21076</v>
      </c>
      <c r="M140" s="110">
        <v>7983</v>
      </c>
      <c r="N140" s="112">
        <f t="shared" si="15"/>
        <v>8.8700000000000001E-2</v>
      </c>
      <c r="O140" s="113">
        <v>40.31</v>
      </c>
      <c r="P140" s="114">
        <v>127</v>
      </c>
      <c r="Q140" s="115">
        <v>0.11700000000000001</v>
      </c>
      <c r="R140" s="115">
        <v>0.11700000000000001</v>
      </c>
      <c r="S140" s="110">
        <f t="shared" si="16"/>
        <v>-522.8479285537087</v>
      </c>
      <c r="T140" s="110">
        <f t="shared" si="17"/>
        <v>-180136.75213675213</v>
      </c>
      <c r="U140" s="116">
        <f t="shared" si="18"/>
        <v>-4.1353708020374684</v>
      </c>
      <c r="V140" s="115">
        <v>40</v>
      </c>
      <c r="W140" s="115">
        <f t="shared" si="19"/>
        <v>18000</v>
      </c>
      <c r="X140" s="115">
        <f t="shared" si="20"/>
        <v>450</v>
      </c>
      <c r="Y140" s="117" t="s">
        <v>90</v>
      </c>
      <c r="Z140" s="108" t="s">
        <v>35</v>
      </c>
      <c r="AA140" s="108" t="s">
        <v>35</v>
      </c>
      <c r="AB140" s="108" t="s">
        <v>91</v>
      </c>
      <c r="AC140" s="108">
        <v>0</v>
      </c>
      <c r="AD140" s="108">
        <v>1</v>
      </c>
      <c r="AE140" s="108" t="s">
        <v>37</v>
      </c>
      <c r="AF140" s="108" t="s">
        <v>35</v>
      </c>
      <c r="AG140" s="108" t="s">
        <v>38</v>
      </c>
      <c r="AH140" s="108" t="s">
        <v>92</v>
      </c>
    </row>
    <row r="141" spans="1:34" x14ac:dyDescent="0.3">
      <c r="A141" s="107" t="s">
        <v>91</v>
      </c>
      <c r="B141" s="108" t="s">
        <v>93</v>
      </c>
      <c r="C141" s="108" t="s">
        <v>94</v>
      </c>
      <c r="D141" s="109">
        <v>45428</v>
      </c>
      <c r="E141" s="110">
        <v>101200</v>
      </c>
      <c r="F141" s="108" t="s">
        <v>32</v>
      </c>
      <c r="G141" s="108" t="s">
        <v>33</v>
      </c>
      <c r="H141" s="110">
        <v>101200</v>
      </c>
      <c r="I141" s="110">
        <v>63300</v>
      </c>
      <c r="J141" s="111">
        <f t="shared" si="14"/>
        <v>62.549407114624515</v>
      </c>
      <c r="K141" s="110">
        <v>147608</v>
      </c>
      <c r="L141" s="110">
        <f>H141-135255</f>
        <v>-34055</v>
      </c>
      <c r="M141" s="110">
        <v>12353</v>
      </c>
      <c r="N141" s="112">
        <f t="shared" si="15"/>
        <v>0.12206521739130435</v>
      </c>
      <c r="O141" s="113">
        <v>62.38</v>
      </c>
      <c r="P141" s="114">
        <v>164.21</v>
      </c>
      <c r="Q141" s="115">
        <v>0.22500000000000001</v>
      </c>
      <c r="R141" s="115">
        <v>0.22500000000000001</v>
      </c>
      <c r="S141" s="110">
        <f t="shared" si="16"/>
        <v>-545.92818210965049</v>
      </c>
      <c r="T141" s="110">
        <f t="shared" si="17"/>
        <v>-151355.55555555556</v>
      </c>
      <c r="U141" s="116">
        <f t="shared" si="18"/>
        <v>-3.4746454443424142</v>
      </c>
      <c r="V141" s="115">
        <v>43.95</v>
      </c>
      <c r="W141" s="115">
        <f t="shared" si="19"/>
        <v>20240</v>
      </c>
      <c r="X141" s="115">
        <f t="shared" si="20"/>
        <v>460.52332195676905</v>
      </c>
      <c r="Y141" s="117" t="s">
        <v>90</v>
      </c>
      <c r="Z141" s="108" t="s">
        <v>35</v>
      </c>
      <c r="AA141" s="108" t="s">
        <v>35</v>
      </c>
      <c r="AB141" s="108" t="s">
        <v>91</v>
      </c>
      <c r="AC141" s="108">
        <v>0</v>
      </c>
      <c r="AD141" s="108">
        <v>1</v>
      </c>
      <c r="AE141" s="108" t="s">
        <v>42</v>
      </c>
      <c r="AF141" s="108" t="s">
        <v>43</v>
      </c>
      <c r="AG141" s="108" t="s">
        <v>38</v>
      </c>
      <c r="AH141" s="108" t="s">
        <v>92</v>
      </c>
    </row>
    <row r="142" spans="1:34" x14ac:dyDescent="0.3">
      <c r="A142" s="118" t="s">
        <v>91</v>
      </c>
      <c r="B142" s="119" t="s">
        <v>95</v>
      </c>
      <c r="C142" s="119" t="s">
        <v>96</v>
      </c>
      <c r="D142" s="120">
        <v>45071</v>
      </c>
      <c r="E142" s="121">
        <v>100000</v>
      </c>
      <c r="F142" s="119" t="s">
        <v>32</v>
      </c>
      <c r="G142" s="119" t="s">
        <v>33</v>
      </c>
      <c r="H142" s="121">
        <v>100000</v>
      </c>
      <c r="I142" s="121">
        <v>30100</v>
      </c>
      <c r="J142" s="122">
        <f t="shared" si="14"/>
        <v>30.099999999999998</v>
      </c>
      <c r="K142" s="121">
        <v>82872</v>
      </c>
      <c r="L142" s="121">
        <f>H142-73856</f>
        <v>26144</v>
      </c>
      <c r="M142" s="121">
        <v>9016</v>
      </c>
      <c r="N142" s="123">
        <f t="shared" si="15"/>
        <v>9.0160000000000004E-2</v>
      </c>
      <c r="O142" s="124">
        <v>45.53</v>
      </c>
      <c r="P142" s="125">
        <v>162</v>
      </c>
      <c r="Q142" s="126">
        <v>0.14899999999999999</v>
      </c>
      <c r="R142" s="126">
        <v>0.14899999999999999</v>
      </c>
      <c r="S142" s="121">
        <f t="shared" si="16"/>
        <v>574.2148034263123</v>
      </c>
      <c r="T142" s="121">
        <f t="shared" si="17"/>
        <v>175463.08724832215</v>
      </c>
      <c r="U142" s="127">
        <f t="shared" si="18"/>
        <v>4.0280782196584513</v>
      </c>
      <c r="V142" s="126">
        <v>40</v>
      </c>
      <c r="W142" s="126">
        <f t="shared" si="19"/>
        <v>20000</v>
      </c>
      <c r="X142" s="126">
        <f t="shared" si="20"/>
        <v>500</v>
      </c>
      <c r="Y142" s="128" t="s">
        <v>90</v>
      </c>
      <c r="Z142" s="119" t="s">
        <v>35</v>
      </c>
      <c r="AA142" s="119" t="s">
        <v>35</v>
      </c>
      <c r="AB142" s="119" t="s">
        <v>91</v>
      </c>
      <c r="AC142" s="119">
        <v>0</v>
      </c>
      <c r="AD142" s="119">
        <v>1</v>
      </c>
      <c r="AE142" s="119" t="s">
        <v>42</v>
      </c>
      <c r="AF142" s="119" t="s">
        <v>43</v>
      </c>
      <c r="AG142" s="119" t="s">
        <v>38</v>
      </c>
      <c r="AH142" s="119" t="s">
        <v>92</v>
      </c>
    </row>
    <row r="143" spans="1:34" x14ac:dyDescent="0.3">
      <c r="A143" s="107" t="s">
        <v>91</v>
      </c>
      <c r="B143" s="108" t="s">
        <v>161</v>
      </c>
      <c r="C143" s="108" t="s">
        <v>162</v>
      </c>
      <c r="D143" s="109">
        <v>45170</v>
      </c>
      <c r="E143" s="110">
        <v>167000</v>
      </c>
      <c r="F143" s="108" t="s">
        <v>32</v>
      </c>
      <c r="G143" s="108" t="s">
        <v>33</v>
      </c>
      <c r="H143" s="110">
        <v>167000</v>
      </c>
      <c r="I143" s="110">
        <v>51600</v>
      </c>
      <c r="J143" s="111">
        <f t="shared" si="14"/>
        <v>30.898203592814372</v>
      </c>
      <c r="K143" s="110">
        <v>138244</v>
      </c>
      <c r="L143" s="110">
        <f>H143-127576</f>
        <v>39424</v>
      </c>
      <c r="M143" s="110">
        <v>10668</v>
      </c>
      <c r="N143" s="112">
        <f t="shared" si="15"/>
        <v>6.3880239520958088E-2</v>
      </c>
      <c r="O143" s="113">
        <v>53.88</v>
      </c>
      <c r="P143" s="114">
        <v>85</v>
      </c>
      <c r="Q143" s="115">
        <v>0.127</v>
      </c>
      <c r="R143" s="115">
        <v>0.127</v>
      </c>
      <c r="S143" s="110">
        <f t="shared" si="16"/>
        <v>731.70007423904974</v>
      </c>
      <c r="T143" s="110">
        <f t="shared" si="17"/>
        <v>310425.19685039372</v>
      </c>
      <c r="U143" s="116">
        <f t="shared" si="18"/>
        <v>7.1263819295315365</v>
      </c>
      <c r="V143" s="115">
        <v>65.52</v>
      </c>
      <c r="W143" s="115">
        <f t="shared" si="19"/>
        <v>33400</v>
      </c>
      <c r="X143" s="115">
        <f t="shared" si="20"/>
        <v>509.76800976800979</v>
      </c>
      <c r="Y143" s="117" t="s">
        <v>90</v>
      </c>
      <c r="Z143" s="108" t="s">
        <v>35</v>
      </c>
      <c r="AA143" s="108" t="s">
        <v>35</v>
      </c>
      <c r="AB143" s="108" t="s">
        <v>91</v>
      </c>
      <c r="AC143" s="108">
        <v>0</v>
      </c>
      <c r="AD143" s="108">
        <v>1</v>
      </c>
      <c r="AE143" s="108" t="s">
        <v>37</v>
      </c>
      <c r="AF143" s="108" t="s">
        <v>43</v>
      </c>
      <c r="AG143" s="108" t="s">
        <v>38</v>
      </c>
      <c r="AH143" s="108" t="s">
        <v>92</v>
      </c>
    </row>
    <row r="144" spans="1:34" x14ac:dyDescent="0.3">
      <c r="A144" s="107" t="s">
        <v>91</v>
      </c>
      <c r="B144" s="108" t="s">
        <v>147</v>
      </c>
      <c r="C144" s="108" t="s">
        <v>148</v>
      </c>
      <c r="D144" s="109">
        <v>45376</v>
      </c>
      <c r="E144" s="110">
        <v>211000</v>
      </c>
      <c r="F144" s="108" t="s">
        <v>32</v>
      </c>
      <c r="G144" s="108" t="s">
        <v>33</v>
      </c>
      <c r="H144" s="110">
        <v>211000</v>
      </c>
      <c r="I144" s="110">
        <v>96900</v>
      </c>
      <c r="J144" s="111">
        <f t="shared" si="14"/>
        <v>45.924170616113749</v>
      </c>
      <c r="K144" s="110">
        <v>264263</v>
      </c>
      <c r="L144" s="110">
        <f>H144-248724</f>
        <v>-37724</v>
      </c>
      <c r="M144" s="110">
        <v>15539</v>
      </c>
      <c r="N144" s="112">
        <f t="shared" si="15"/>
        <v>7.3644549763033182E-2</v>
      </c>
      <c r="O144" s="113">
        <v>78.48</v>
      </c>
      <c r="P144" s="114">
        <v>120.3</v>
      </c>
      <c r="Q144" s="115">
        <v>0.221</v>
      </c>
      <c r="R144" s="115">
        <v>0.221</v>
      </c>
      <c r="S144" s="110">
        <f t="shared" si="16"/>
        <v>-480.68297655453614</v>
      </c>
      <c r="T144" s="110">
        <f t="shared" si="17"/>
        <v>-170696.83257918552</v>
      </c>
      <c r="U144" s="116">
        <f t="shared" si="18"/>
        <v>-3.9186600683926884</v>
      </c>
      <c r="V144" s="115">
        <v>80</v>
      </c>
      <c r="W144" s="115">
        <f t="shared" si="19"/>
        <v>42200</v>
      </c>
      <c r="X144" s="115">
        <f t="shared" si="20"/>
        <v>527.5</v>
      </c>
      <c r="Y144" s="117" t="s">
        <v>90</v>
      </c>
      <c r="Z144" s="108" t="s">
        <v>35</v>
      </c>
      <c r="AA144" s="108" t="s">
        <v>35</v>
      </c>
      <c r="AB144" s="108" t="s">
        <v>91</v>
      </c>
      <c r="AC144" s="108">
        <v>0</v>
      </c>
      <c r="AD144" s="108">
        <v>1</v>
      </c>
      <c r="AE144" s="108" t="s">
        <v>37</v>
      </c>
      <c r="AF144" s="108" t="s">
        <v>43</v>
      </c>
      <c r="AG144" s="108" t="s">
        <v>38</v>
      </c>
      <c r="AH144" s="108" t="s">
        <v>92</v>
      </c>
    </row>
    <row r="145" spans="1:34" x14ac:dyDescent="0.3">
      <c r="A145" s="107" t="s">
        <v>91</v>
      </c>
      <c r="B145" s="108" t="s">
        <v>133</v>
      </c>
      <c r="C145" s="108" t="s">
        <v>134</v>
      </c>
      <c r="D145" s="109">
        <v>45289</v>
      </c>
      <c r="E145" s="110">
        <v>140000</v>
      </c>
      <c r="F145" s="108" t="s">
        <v>32</v>
      </c>
      <c r="G145" s="108" t="s">
        <v>33</v>
      </c>
      <c r="H145" s="110">
        <v>140000</v>
      </c>
      <c r="I145" s="110">
        <v>54600</v>
      </c>
      <c r="J145" s="111">
        <f t="shared" si="14"/>
        <v>39</v>
      </c>
      <c r="K145" s="110">
        <v>146421</v>
      </c>
      <c r="L145" s="110">
        <f>H145-137566</f>
        <v>2434</v>
      </c>
      <c r="M145" s="110">
        <v>8855</v>
      </c>
      <c r="N145" s="112">
        <f t="shared" si="15"/>
        <v>6.3250000000000001E-2</v>
      </c>
      <c r="O145" s="113">
        <v>44.72</v>
      </c>
      <c r="P145" s="114">
        <v>100</v>
      </c>
      <c r="Q145" s="115">
        <v>0.115</v>
      </c>
      <c r="R145" s="115">
        <v>0.115</v>
      </c>
      <c r="S145" s="110">
        <f t="shared" si="16"/>
        <v>54.427549194991059</v>
      </c>
      <c r="T145" s="110">
        <f t="shared" si="17"/>
        <v>21165.217391304348</v>
      </c>
      <c r="U145" s="116">
        <f t="shared" si="18"/>
        <v>0.48588653331736337</v>
      </c>
      <c r="V145" s="115">
        <v>50</v>
      </c>
      <c r="W145" s="115">
        <f t="shared" si="19"/>
        <v>28000</v>
      </c>
      <c r="X145" s="115">
        <f t="shared" si="20"/>
        <v>560</v>
      </c>
      <c r="Y145" s="117" t="s">
        <v>90</v>
      </c>
      <c r="Z145" s="108" t="s">
        <v>35</v>
      </c>
      <c r="AA145" s="108" t="s">
        <v>35</v>
      </c>
      <c r="AB145" s="108" t="s">
        <v>91</v>
      </c>
      <c r="AC145" s="108">
        <v>0</v>
      </c>
      <c r="AD145" s="108">
        <v>1</v>
      </c>
      <c r="AE145" s="108" t="s">
        <v>37</v>
      </c>
      <c r="AF145" s="108" t="s">
        <v>43</v>
      </c>
      <c r="AG145" s="108" t="s">
        <v>38</v>
      </c>
      <c r="AH145" s="108" t="s">
        <v>92</v>
      </c>
    </row>
    <row r="146" spans="1:34" x14ac:dyDescent="0.3">
      <c r="A146" s="107" t="s">
        <v>91</v>
      </c>
      <c r="B146" s="108" t="s">
        <v>135</v>
      </c>
      <c r="C146" s="108" t="s">
        <v>136</v>
      </c>
      <c r="D146" s="109">
        <v>45313</v>
      </c>
      <c r="E146" s="110">
        <v>161000</v>
      </c>
      <c r="F146" s="108" t="s">
        <v>32</v>
      </c>
      <c r="G146" s="108" t="s">
        <v>33</v>
      </c>
      <c r="H146" s="110">
        <v>161000</v>
      </c>
      <c r="I146" s="110">
        <v>58100</v>
      </c>
      <c r="J146" s="111">
        <f t="shared" si="14"/>
        <v>36.086956521739133</v>
      </c>
      <c r="K146" s="110">
        <v>155521</v>
      </c>
      <c r="L146" s="110">
        <f>H146-144930</f>
        <v>16070</v>
      </c>
      <c r="M146" s="110">
        <v>10591</v>
      </c>
      <c r="N146" s="112">
        <f t="shared" si="15"/>
        <v>6.5782608695652167E-2</v>
      </c>
      <c r="O146" s="113">
        <v>53.48</v>
      </c>
      <c r="P146" s="114">
        <v>110</v>
      </c>
      <c r="Q146" s="115">
        <v>0.14399999999999999</v>
      </c>
      <c r="R146" s="115">
        <v>0.14399999999999999</v>
      </c>
      <c r="S146" s="110">
        <f t="shared" si="16"/>
        <v>300.48616305160812</v>
      </c>
      <c r="T146" s="110">
        <f t="shared" si="17"/>
        <v>111597.22222222223</v>
      </c>
      <c r="U146" s="116">
        <f t="shared" si="18"/>
        <v>2.5619197020712177</v>
      </c>
      <c r="V146" s="115">
        <v>57.02</v>
      </c>
      <c r="W146" s="115">
        <f t="shared" si="19"/>
        <v>32200</v>
      </c>
      <c r="X146" s="115">
        <f t="shared" si="20"/>
        <v>564.71413539109085</v>
      </c>
      <c r="Y146" s="117" t="s">
        <v>90</v>
      </c>
      <c r="Z146" s="108" t="s">
        <v>35</v>
      </c>
      <c r="AA146" s="108" t="s">
        <v>35</v>
      </c>
      <c r="AB146" s="108" t="s">
        <v>91</v>
      </c>
      <c r="AC146" s="108">
        <v>0</v>
      </c>
      <c r="AD146" s="108">
        <v>1</v>
      </c>
      <c r="AE146" s="108" t="s">
        <v>42</v>
      </c>
      <c r="AF146" s="108" t="s">
        <v>43</v>
      </c>
      <c r="AG146" s="108" t="s">
        <v>38</v>
      </c>
      <c r="AH146" s="108" t="s">
        <v>92</v>
      </c>
    </row>
    <row r="147" spans="1:34" x14ac:dyDescent="0.3">
      <c r="A147" s="107" t="s">
        <v>91</v>
      </c>
      <c r="B147" s="108" t="s">
        <v>127</v>
      </c>
      <c r="C147" s="108" t="s">
        <v>128</v>
      </c>
      <c r="D147" s="109">
        <v>45155</v>
      </c>
      <c r="E147" s="110">
        <v>189900</v>
      </c>
      <c r="F147" s="108" t="s">
        <v>32</v>
      </c>
      <c r="G147" s="108" t="s">
        <v>33</v>
      </c>
      <c r="H147" s="110">
        <v>189900</v>
      </c>
      <c r="I147" s="110">
        <v>51200</v>
      </c>
      <c r="J147" s="111">
        <f t="shared" si="14"/>
        <v>26.961558715113217</v>
      </c>
      <c r="K147" s="110">
        <v>135866</v>
      </c>
      <c r="L147" s="110">
        <f>H147-123774</f>
        <v>66126</v>
      </c>
      <c r="M147" s="110">
        <v>12092</v>
      </c>
      <c r="N147" s="112">
        <f t="shared" si="15"/>
        <v>6.3675618746708795E-2</v>
      </c>
      <c r="O147" s="113">
        <v>61.06</v>
      </c>
      <c r="P147" s="114">
        <v>110</v>
      </c>
      <c r="Q147" s="115">
        <v>0.16400000000000001</v>
      </c>
      <c r="R147" s="115">
        <v>0.16400000000000001</v>
      </c>
      <c r="S147" s="110">
        <f t="shared" si="16"/>
        <v>1082.9675728791353</v>
      </c>
      <c r="T147" s="110">
        <f t="shared" si="17"/>
        <v>403207.31707317074</v>
      </c>
      <c r="U147" s="116">
        <f t="shared" si="18"/>
        <v>9.2563663239938183</v>
      </c>
      <c r="V147" s="115">
        <v>65.099999999999994</v>
      </c>
      <c r="W147" s="115">
        <f t="shared" si="19"/>
        <v>37980</v>
      </c>
      <c r="X147" s="115">
        <f t="shared" si="20"/>
        <v>583.41013824884794</v>
      </c>
      <c r="Y147" s="117" t="s">
        <v>90</v>
      </c>
      <c r="Z147" s="108" t="s">
        <v>35</v>
      </c>
      <c r="AA147" s="108" t="s">
        <v>35</v>
      </c>
      <c r="AB147" s="108" t="s">
        <v>91</v>
      </c>
      <c r="AC147" s="108">
        <v>0</v>
      </c>
      <c r="AD147" s="108">
        <v>1</v>
      </c>
      <c r="AE147" s="108" t="s">
        <v>37</v>
      </c>
      <c r="AF147" s="108" t="s">
        <v>43</v>
      </c>
      <c r="AG147" s="108" t="s">
        <v>38</v>
      </c>
      <c r="AH147" s="108" t="s">
        <v>92</v>
      </c>
    </row>
    <row r="148" spans="1:34" x14ac:dyDescent="0.3">
      <c r="A148" s="118" t="s">
        <v>91</v>
      </c>
      <c r="B148" s="119" t="s">
        <v>110</v>
      </c>
      <c r="C148" s="119" t="s">
        <v>111</v>
      </c>
      <c r="D148" s="120">
        <v>45029</v>
      </c>
      <c r="E148" s="121">
        <v>147000</v>
      </c>
      <c r="F148" s="119" t="s">
        <v>32</v>
      </c>
      <c r="G148" s="119" t="s">
        <v>33</v>
      </c>
      <c r="H148" s="121">
        <v>147000</v>
      </c>
      <c r="I148" s="121">
        <v>62800</v>
      </c>
      <c r="J148" s="122">
        <f t="shared" si="14"/>
        <v>42.721088435374149</v>
      </c>
      <c r="K148" s="121">
        <v>175490</v>
      </c>
      <c r="L148" s="121">
        <f>H148-165630</f>
        <v>-18630</v>
      </c>
      <c r="M148" s="121">
        <v>9860</v>
      </c>
      <c r="N148" s="123">
        <f t="shared" si="15"/>
        <v>6.7074829931972793E-2</v>
      </c>
      <c r="O148" s="124">
        <v>49.79</v>
      </c>
      <c r="P148" s="125">
        <v>124</v>
      </c>
      <c r="Q148" s="126">
        <v>0.14199999999999999</v>
      </c>
      <c r="R148" s="126">
        <v>0.14199999999999999</v>
      </c>
      <c r="S148" s="121">
        <f t="shared" si="16"/>
        <v>-374.1715203856196</v>
      </c>
      <c r="T148" s="121">
        <f t="shared" si="17"/>
        <v>-131197.18309859157</v>
      </c>
      <c r="U148" s="127">
        <f t="shared" si="18"/>
        <v>-3.0118728902339664</v>
      </c>
      <c r="V148" s="126">
        <v>50</v>
      </c>
      <c r="W148" s="126">
        <f t="shared" si="19"/>
        <v>29400</v>
      </c>
      <c r="X148" s="126">
        <f t="shared" si="20"/>
        <v>588</v>
      </c>
      <c r="Y148" s="128" t="s">
        <v>90</v>
      </c>
      <c r="Z148" s="119" t="s">
        <v>35</v>
      </c>
      <c r="AA148" s="119" t="s">
        <v>35</v>
      </c>
      <c r="AB148" s="119" t="s">
        <v>91</v>
      </c>
      <c r="AC148" s="119">
        <v>0</v>
      </c>
      <c r="AD148" s="119">
        <v>1</v>
      </c>
      <c r="AE148" s="119" t="s">
        <v>37</v>
      </c>
      <c r="AF148" s="119" t="s">
        <v>43</v>
      </c>
      <c r="AG148" s="119" t="s">
        <v>38</v>
      </c>
      <c r="AH148" s="119" t="s">
        <v>92</v>
      </c>
    </row>
    <row r="149" spans="1:34" x14ac:dyDescent="0.3">
      <c r="A149" s="118" t="s">
        <v>91</v>
      </c>
      <c r="B149" s="119" t="s">
        <v>153</v>
      </c>
      <c r="C149" s="119" t="s">
        <v>154</v>
      </c>
      <c r="D149" s="120">
        <v>45351</v>
      </c>
      <c r="E149" s="121">
        <v>190000</v>
      </c>
      <c r="F149" s="119" t="s">
        <v>32</v>
      </c>
      <c r="G149" s="119" t="s">
        <v>33</v>
      </c>
      <c r="H149" s="121">
        <v>190000</v>
      </c>
      <c r="I149" s="121">
        <v>56700</v>
      </c>
      <c r="J149" s="122">
        <f t="shared" si="14"/>
        <v>29.84210526315789</v>
      </c>
      <c r="K149" s="121">
        <v>151694</v>
      </c>
      <c r="L149" s="121">
        <f>H149-140474</f>
        <v>49526</v>
      </c>
      <c r="M149" s="121">
        <v>11220</v>
      </c>
      <c r="N149" s="123">
        <f t="shared" si="15"/>
        <v>5.905263157894737E-2</v>
      </c>
      <c r="O149" s="124">
        <v>56.66</v>
      </c>
      <c r="P149" s="125">
        <v>98</v>
      </c>
      <c r="Q149" s="126">
        <v>0.14399999999999999</v>
      </c>
      <c r="R149" s="126">
        <v>0.14399999999999999</v>
      </c>
      <c r="S149" s="121">
        <f t="shared" si="16"/>
        <v>874.09106953759272</v>
      </c>
      <c r="T149" s="121">
        <f t="shared" si="17"/>
        <v>343930.55555555556</v>
      </c>
      <c r="U149" s="127">
        <f t="shared" si="18"/>
        <v>7.8955591266197329</v>
      </c>
      <c r="V149" s="126">
        <v>64</v>
      </c>
      <c r="W149" s="126">
        <f t="shared" si="19"/>
        <v>38000</v>
      </c>
      <c r="X149" s="126">
        <f t="shared" si="20"/>
        <v>593.75</v>
      </c>
      <c r="Y149" s="128" t="s">
        <v>90</v>
      </c>
      <c r="Z149" s="119" t="s">
        <v>35</v>
      </c>
      <c r="AA149" s="119" t="s">
        <v>35</v>
      </c>
      <c r="AB149" s="119" t="s">
        <v>91</v>
      </c>
      <c r="AC149" s="119">
        <v>0</v>
      </c>
      <c r="AD149" s="119">
        <v>1</v>
      </c>
      <c r="AE149" s="119" t="s">
        <v>37</v>
      </c>
      <c r="AF149" s="119" t="s">
        <v>43</v>
      </c>
      <c r="AG149" s="119" t="s">
        <v>38</v>
      </c>
      <c r="AH149" s="119" t="s">
        <v>92</v>
      </c>
    </row>
    <row r="150" spans="1:34" x14ac:dyDescent="0.3">
      <c r="A150" s="107" t="s">
        <v>91</v>
      </c>
      <c r="B150" s="108" t="s">
        <v>105</v>
      </c>
      <c r="C150" s="108" t="s">
        <v>106</v>
      </c>
      <c r="D150" s="109">
        <v>45644</v>
      </c>
      <c r="E150" s="110">
        <v>139900</v>
      </c>
      <c r="F150" s="108" t="s">
        <v>32</v>
      </c>
      <c r="G150" s="108" t="s">
        <v>33</v>
      </c>
      <c r="H150" s="110">
        <v>139900</v>
      </c>
      <c r="I150" s="110">
        <v>53200</v>
      </c>
      <c r="J150" s="111">
        <f t="shared" si="14"/>
        <v>38.027162258756256</v>
      </c>
      <c r="K150" s="110">
        <v>124058</v>
      </c>
      <c r="L150" s="110">
        <f>H150-115112</f>
        <v>24788</v>
      </c>
      <c r="M150" s="110">
        <v>8946</v>
      </c>
      <c r="N150" s="112">
        <f t="shared" si="15"/>
        <v>6.3945675482487488E-2</v>
      </c>
      <c r="O150" s="113">
        <v>45.17</v>
      </c>
      <c r="P150" s="114">
        <v>126</v>
      </c>
      <c r="Q150" s="115">
        <v>0.13</v>
      </c>
      <c r="R150" s="115">
        <v>0.13</v>
      </c>
      <c r="S150" s="110">
        <f t="shared" si="16"/>
        <v>548.77130839052461</v>
      </c>
      <c r="T150" s="110">
        <f t="shared" si="17"/>
        <v>190676.92307692306</v>
      </c>
      <c r="U150" s="116">
        <f t="shared" si="18"/>
        <v>4.3773398318852861</v>
      </c>
      <c r="V150" s="115">
        <v>45</v>
      </c>
      <c r="W150" s="115">
        <f t="shared" si="19"/>
        <v>27980</v>
      </c>
      <c r="X150" s="115">
        <f t="shared" si="20"/>
        <v>621.77777777777783</v>
      </c>
      <c r="Y150" s="117" t="s">
        <v>90</v>
      </c>
      <c r="Z150" s="108" t="s">
        <v>35</v>
      </c>
      <c r="AA150" s="108" t="s">
        <v>35</v>
      </c>
      <c r="AB150" s="108" t="s">
        <v>91</v>
      </c>
      <c r="AC150" s="108">
        <v>0</v>
      </c>
      <c r="AD150" s="108">
        <v>1</v>
      </c>
      <c r="AE150" s="108" t="s">
        <v>107</v>
      </c>
      <c r="AF150" s="108" t="s">
        <v>35</v>
      </c>
      <c r="AG150" s="108" t="s">
        <v>38</v>
      </c>
      <c r="AH150" s="108" t="s">
        <v>92</v>
      </c>
    </row>
    <row r="151" spans="1:34" x14ac:dyDescent="0.3">
      <c r="A151" s="107" t="s">
        <v>91</v>
      </c>
      <c r="B151" s="108" t="s">
        <v>153</v>
      </c>
      <c r="C151" s="108" t="s">
        <v>154</v>
      </c>
      <c r="D151" s="109">
        <v>45603</v>
      </c>
      <c r="E151" s="110">
        <v>200000</v>
      </c>
      <c r="F151" s="108" t="s">
        <v>32</v>
      </c>
      <c r="G151" s="108" t="s">
        <v>33</v>
      </c>
      <c r="H151" s="110">
        <v>200000</v>
      </c>
      <c r="I151" s="110">
        <v>67300</v>
      </c>
      <c r="J151" s="111">
        <f t="shared" si="14"/>
        <v>33.650000000000006</v>
      </c>
      <c r="K151" s="110">
        <v>151694</v>
      </c>
      <c r="L151" s="110">
        <f>H151-140474</f>
        <v>59526</v>
      </c>
      <c r="M151" s="110">
        <v>11220</v>
      </c>
      <c r="N151" s="112">
        <f t="shared" si="15"/>
        <v>5.6099999999999997E-2</v>
      </c>
      <c r="O151" s="113">
        <v>56.66</v>
      </c>
      <c r="P151" s="114">
        <v>98</v>
      </c>
      <c r="Q151" s="115">
        <v>0.14399999999999999</v>
      </c>
      <c r="R151" s="115">
        <v>0.14399999999999999</v>
      </c>
      <c r="S151" s="110">
        <f t="shared" si="16"/>
        <v>1050.5824214613485</v>
      </c>
      <c r="T151" s="110">
        <f t="shared" si="17"/>
        <v>413375.00000000006</v>
      </c>
      <c r="U151" s="116">
        <f t="shared" si="18"/>
        <v>9.4897842056932973</v>
      </c>
      <c r="V151" s="115">
        <v>64</v>
      </c>
      <c r="W151" s="115">
        <f t="shared" si="19"/>
        <v>40000</v>
      </c>
      <c r="X151" s="115">
        <f t="shared" si="20"/>
        <v>625</v>
      </c>
      <c r="Y151" s="117" t="s">
        <v>90</v>
      </c>
      <c r="Z151" s="108" t="s">
        <v>35</v>
      </c>
      <c r="AA151" s="108" t="s">
        <v>35</v>
      </c>
      <c r="AB151" s="108" t="s">
        <v>91</v>
      </c>
      <c r="AC151" s="108">
        <v>0</v>
      </c>
      <c r="AD151" s="108">
        <v>1</v>
      </c>
      <c r="AE151" s="108" t="s">
        <v>37</v>
      </c>
      <c r="AF151" s="108" t="s">
        <v>35</v>
      </c>
      <c r="AG151" s="108" t="s">
        <v>38</v>
      </c>
      <c r="AH151" s="108" t="s">
        <v>92</v>
      </c>
    </row>
    <row r="152" spans="1:34" x14ac:dyDescent="0.3">
      <c r="A152" s="118" t="s">
        <v>91</v>
      </c>
      <c r="B152" s="119" t="s">
        <v>101</v>
      </c>
      <c r="C152" s="119" t="s">
        <v>102</v>
      </c>
      <c r="D152" s="120">
        <v>45720</v>
      </c>
      <c r="E152" s="121">
        <v>129000</v>
      </c>
      <c r="F152" s="119" t="s">
        <v>32</v>
      </c>
      <c r="G152" s="119" t="s">
        <v>33</v>
      </c>
      <c r="H152" s="121">
        <v>129000</v>
      </c>
      <c r="I152" s="121">
        <v>53200</v>
      </c>
      <c r="J152" s="122">
        <f t="shared" si="14"/>
        <v>41.240310077519382</v>
      </c>
      <c r="K152" s="121">
        <v>124229</v>
      </c>
      <c r="L152" s="121">
        <f>H152-116246</f>
        <v>12754</v>
      </c>
      <c r="M152" s="121">
        <v>7983</v>
      </c>
      <c r="N152" s="123">
        <f t="shared" si="15"/>
        <v>6.1883720930232561E-2</v>
      </c>
      <c r="O152" s="124">
        <v>40.31</v>
      </c>
      <c r="P152" s="125">
        <v>127</v>
      </c>
      <c r="Q152" s="126">
        <v>0.11700000000000001</v>
      </c>
      <c r="R152" s="126">
        <v>0.11700000000000001</v>
      </c>
      <c r="S152" s="121">
        <f t="shared" si="16"/>
        <v>316.39791614983875</v>
      </c>
      <c r="T152" s="121">
        <f t="shared" si="17"/>
        <v>109008.547008547</v>
      </c>
      <c r="U152" s="127">
        <f t="shared" si="18"/>
        <v>2.5024918964312901</v>
      </c>
      <c r="V152" s="126">
        <v>40</v>
      </c>
      <c r="W152" s="126">
        <f t="shared" si="19"/>
        <v>25800</v>
      </c>
      <c r="X152" s="126">
        <f t="shared" si="20"/>
        <v>645</v>
      </c>
      <c r="Y152" s="128" t="s">
        <v>90</v>
      </c>
      <c r="Z152" s="119" t="s">
        <v>35</v>
      </c>
      <c r="AA152" s="119" t="s">
        <v>35</v>
      </c>
      <c r="AB152" s="119" t="s">
        <v>91</v>
      </c>
      <c r="AC152" s="119">
        <v>0</v>
      </c>
      <c r="AD152" s="119">
        <v>1</v>
      </c>
      <c r="AE152" s="119" t="s">
        <v>42</v>
      </c>
      <c r="AF152" s="119" t="s">
        <v>35</v>
      </c>
      <c r="AG152" s="119" t="s">
        <v>38</v>
      </c>
      <c r="AH152" s="119" t="s">
        <v>92</v>
      </c>
    </row>
    <row r="153" spans="1:34" x14ac:dyDescent="0.3">
      <c r="A153" s="118" t="s">
        <v>91</v>
      </c>
      <c r="B153" s="119" t="s">
        <v>112</v>
      </c>
      <c r="C153" s="119" t="s">
        <v>113</v>
      </c>
      <c r="D153" s="120">
        <v>45702</v>
      </c>
      <c r="E153" s="121">
        <v>132500</v>
      </c>
      <c r="F153" s="119" t="s">
        <v>32</v>
      </c>
      <c r="G153" s="119" t="s">
        <v>33</v>
      </c>
      <c r="H153" s="121">
        <v>132500</v>
      </c>
      <c r="I153" s="121">
        <v>71100</v>
      </c>
      <c r="J153" s="122">
        <f t="shared" si="14"/>
        <v>53.660377358490564</v>
      </c>
      <c r="K153" s="121">
        <v>163548</v>
      </c>
      <c r="L153" s="121">
        <f>H153-153074</f>
        <v>-20574</v>
      </c>
      <c r="M153" s="121">
        <v>10474</v>
      </c>
      <c r="N153" s="123">
        <f t="shared" si="15"/>
        <v>7.9049056603773579E-2</v>
      </c>
      <c r="O153" s="124">
        <v>52.89</v>
      </c>
      <c r="P153" s="125">
        <v>126.39</v>
      </c>
      <c r="Q153" s="126">
        <v>0.17100000000000001</v>
      </c>
      <c r="R153" s="126">
        <v>0.17100000000000001</v>
      </c>
      <c r="S153" s="121">
        <f t="shared" si="16"/>
        <v>-388.99602949517868</v>
      </c>
      <c r="T153" s="121">
        <f t="shared" si="17"/>
        <v>-120315.7894736842</v>
      </c>
      <c r="U153" s="127">
        <f t="shared" si="18"/>
        <v>-2.7620704654197477</v>
      </c>
      <c r="V153" s="126">
        <v>40</v>
      </c>
      <c r="W153" s="126">
        <f t="shared" si="19"/>
        <v>26500</v>
      </c>
      <c r="X153" s="126">
        <f t="shared" si="20"/>
        <v>662.5</v>
      </c>
      <c r="Y153" s="128" t="s">
        <v>90</v>
      </c>
      <c r="Z153" s="119" t="s">
        <v>35</v>
      </c>
      <c r="AA153" s="119" t="s">
        <v>35</v>
      </c>
      <c r="AB153" s="119" t="s">
        <v>91</v>
      </c>
      <c r="AC153" s="119">
        <v>0</v>
      </c>
      <c r="AD153" s="119">
        <v>1</v>
      </c>
      <c r="AE153" s="119" t="s">
        <v>42</v>
      </c>
      <c r="AF153" s="119" t="s">
        <v>35</v>
      </c>
      <c r="AG153" s="119" t="s">
        <v>38</v>
      </c>
      <c r="AH153" s="119" t="s">
        <v>92</v>
      </c>
    </row>
    <row r="154" spans="1:34" x14ac:dyDescent="0.3">
      <c r="A154" s="118" t="s">
        <v>91</v>
      </c>
      <c r="B154" s="119" t="s">
        <v>139</v>
      </c>
      <c r="C154" s="119" t="s">
        <v>140</v>
      </c>
      <c r="D154" s="120">
        <v>45539</v>
      </c>
      <c r="E154" s="121">
        <v>160000</v>
      </c>
      <c r="F154" s="119" t="s">
        <v>32</v>
      </c>
      <c r="G154" s="119" t="s">
        <v>33</v>
      </c>
      <c r="H154" s="121">
        <v>160000</v>
      </c>
      <c r="I154" s="121">
        <v>59500</v>
      </c>
      <c r="J154" s="122">
        <f t="shared" si="14"/>
        <v>37.1875</v>
      </c>
      <c r="K154" s="121">
        <v>134183</v>
      </c>
      <c r="L154" s="121">
        <f>H154-124844</f>
        <v>35156</v>
      </c>
      <c r="M154" s="121">
        <v>9339</v>
      </c>
      <c r="N154" s="123">
        <f t="shared" si="15"/>
        <v>5.8368749999999997E-2</v>
      </c>
      <c r="O154" s="124">
        <v>47.16</v>
      </c>
      <c r="P154" s="125">
        <v>125</v>
      </c>
      <c r="Q154" s="126">
        <v>0.13500000000000001</v>
      </c>
      <c r="R154" s="126">
        <v>0.13500000000000001</v>
      </c>
      <c r="S154" s="121">
        <f t="shared" si="16"/>
        <v>745.46225614927914</v>
      </c>
      <c r="T154" s="121">
        <f t="shared" si="17"/>
        <v>260414.8148148148</v>
      </c>
      <c r="U154" s="127">
        <f t="shared" si="18"/>
        <v>5.9783015338570893</v>
      </c>
      <c r="V154" s="126">
        <v>47.2</v>
      </c>
      <c r="W154" s="126">
        <f t="shared" si="19"/>
        <v>32000</v>
      </c>
      <c r="X154" s="126">
        <f t="shared" si="20"/>
        <v>677.96610169491521</v>
      </c>
      <c r="Y154" s="128" t="s">
        <v>90</v>
      </c>
      <c r="Z154" s="119" t="s">
        <v>35</v>
      </c>
      <c r="AA154" s="119" t="s">
        <v>35</v>
      </c>
      <c r="AB154" s="119" t="s">
        <v>91</v>
      </c>
      <c r="AC154" s="119">
        <v>0</v>
      </c>
      <c r="AD154" s="119">
        <v>1</v>
      </c>
      <c r="AE154" s="119" t="s">
        <v>107</v>
      </c>
      <c r="AF154" s="119" t="s">
        <v>43</v>
      </c>
      <c r="AG154" s="119" t="s">
        <v>38</v>
      </c>
      <c r="AH154" s="119" t="s">
        <v>92</v>
      </c>
    </row>
    <row r="155" spans="1:34" x14ac:dyDescent="0.3">
      <c r="A155" s="107" t="s">
        <v>91</v>
      </c>
      <c r="B155" s="108" t="s">
        <v>108</v>
      </c>
      <c r="C155" s="108" t="s">
        <v>109</v>
      </c>
      <c r="D155" s="109">
        <v>45512</v>
      </c>
      <c r="E155" s="110">
        <v>173000</v>
      </c>
      <c r="F155" s="108" t="s">
        <v>32</v>
      </c>
      <c r="G155" s="108" t="s">
        <v>33</v>
      </c>
      <c r="H155" s="110">
        <v>173000</v>
      </c>
      <c r="I155" s="110">
        <v>68100</v>
      </c>
      <c r="J155" s="111">
        <f t="shared" si="14"/>
        <v>39.364161849710982</v>
      </c>
      <c r="K155" s="110">
        <v>158728</v>
      </c>
      <c r="L155" s="110">
        <f>H155-148868</f>
        <v>24132</v>
      </c>
      <c r="M155" s="110">
        <v>9860</v>
      </c>
      <c r="N155" s="112">
        <f t="shared" si="15"/>
        <v>5.699421965317919E-2</v>
      </c>
      <c r="O155" s="113">
        <v>49.79</v>
      </c>
      <c r="P155" s="114">
        <v>124</v>
      </c>
      <c r="Q155" s="115">
        <v>0.14199999999999999</v>
      </c>
      <c r="R155" s="115">
        <v>0.14199999999999999</v>
      </c>
      <c r="S155" s="110">
        <f t="shared" si="16"/>
        <v>484.67563767824868</v>
      </c>
      <c r="T155" s="110">
        <f t="shared" si="17"/>
        <v>169943.661971831</v>
      </c>
      <c r="U155" s="116">
        <f t="shared" si="18"/>
        <v>3.9013696504093431</v>
      </c>
      <c r="V155" s="115">
        <v>50</v>
      </c>
      <c r="W155" s="115">
        <f t="shared" si="19"/>
        <v>34600</v>
      </c>
      <c r="X155" s="115">
        <f t="shared" si="20"/>
        <v>692</v>
      </c>
      <c r="Y155" s="117" t="s">
        <v>90</v>
      </c>
      <c r="Z155" s="108" t="s">
        <v>35</v>
      </c>
      <c r="AA155" s="108" t="s">
        <v>35</v>
      </c>
      <c r="AB155" s="108" t="s">
        <v>91</v>
      </c>
      <c r="AC155" s="108">
        <v>0</v>
      </c>
      <c r="AD155" s="108">
        <v>1</v>
      </c>
      <c r="AE155" s="108" t="s">
        <v>37</v>
      </c>
      <c r="AF155" s="108" t="s">
        <v>43</v>
      </c>
      <c r="AG155" s="108" t="s">
        <v>38</v>
      </c>
      <c r="AH155" s="108" t="s">
        <v>92</v>
      </c>
    </row>
    <row r="156" spans="1:34" x14ac:dyDescent="0.3">
      <c r="A156" s="107" t="s">
        <v>91</v>
      </c>
      <c r="B156" s="108" t="s">
        <v>149</v>
      </c>
      <c r="C156" s="108" t="s">
        <v>150</v>
      </c>
      <c r="D156" s="109">
        <v>45443</v>
      </c>
      <c r="E156" s="110">
        <v>147500</v>
      </c>
      <c r="F156" s="108" t="s">
        <v>32</v>
      </c>
      <c r="G156" s="108" t="s">
        <v>33</v>
      </c>
      <c r="H156" s="110">
        <v>147500</v>
      </c>
      <c r="I156" s="110">
        <v>59700</v>
      </c>
      <c r="J156" s="111">
        <f t="shared" si="14"/>
        <v>40.474576271186443</v>
      </c>
      <c r="K156" s="110">
        <v>135138</v>
      </c>
      <c r="L156" s="110">
        <f>H156-127092</f>
        <v>20408</v>
      </c>
      <c r="M156" s="110">
        <v>8046</v>
      </c>
      <c r="N156" s="112">
        <f t="shared" si="15"/>
        <v>5.4549152542372879E-2</v>
      </c>
      <c r="O156" s="113">
        <v>40.630000000000003</v>
      </c>
      <c r="P156" s="114">
        <v>129</v>
      </c>
      <c r="Q156" s="115">
        <v>0.11799999999999999</v>
      </c>
      <c r="R156" s="115">
        <v>0.11799999999999999</v>
      </c>
      <c r="S156" s="110">
        <f t="shared" si="16"/>
        <v>502.2889490524243</v>
      </c>
      <c r="T156" s="110">
        <f t="shared" si="17"/>
        <v>172949.1525423729</v>
      </c>
      <c r="U156" s="116">
        <f t="shared" si="18"/>
        <v>3.9703662199810124</v>
      </c>
      <c r="V156" s="115">
        <v>40</v>
      </c>
      <c r="W156" s="115">
        <f t="shared" si="19"/>
        <v>29500</v>
      </c>
      <c r="X156" s="115">
        <f t="shared" si="20"/>
        <v>737.5</v>
      </c>
      <c r="Y156" s="117" t="s">
        <v>90</v>
      </c>
      <c r="Z156" s="108" t="s">
        <v>35</v>
      </c>
      <c r="AA156" s="108" t="s">
        <v>35</v>
      </c>
      <c r="AB156" s="108" t="s">
        <v>91</v>
      </c>
      <c r="AC156" s="108">
        <v>0</v>
      </c>
      <c r="AD156" s="108">
        <v>1</v>
      </c>
      <c r="AE156" s="108" t="s">
        <v>42</v>
      </c>
      <c r="AF156" s="108" t="s">
        <v>43</v>
      </c>
      <c r="AG156" s="108" t="s">
        <v>38</v>
      </c>
      <c r="AH156" s="108" t="s">
        <v>92</v>
      </c>
    </row>
    <row r="157" spans="1:34" x14ac:dyDescent="0.3">
      <c r="A157" s="107" t="s">
        <v>91</v>
      </c>
      <c r="B157" s="108" t="s">
        <v>155</v>
      </c>
      <c r="C157" s="108" t="s">
        <v>156</v>
      </c>
      <c r="D157" s="109">
        <v>45043</v>
      </c>
      <c r="E157" s="110">
        <v>148000</v>
      </c>
      <c r="F157" s="108" t="s">
        <v>32</v>
      </c>
      <c r="G157" s="108" t="s">
        <v>33</v>
      </c>
      <c r="H157" s="110">
        <v>148000</v>
      </c>
      <c r="I157" s="110">
        <v>56200</v>
      </c>
      <c r="J157" s="111">
        <f t="shared" si="14"/>
        <v>37.972972972972975</v>
      </c>
      <c r="K157" s="110">
        <v>150970</v>
      </c>
      <c r="L157" s="110">
        <f>H157-142924</f>
        <v>5076</v>
      </c>
      <c r="M157" s="110">
        <v>8046</v>
      </c>
      <c r="N157" s="112">
        <f t="shared" si="15"/>
        <v>5.4364864864864866E-2</v>
      </c>
      <c r="O157" s="113">
        <v>40.630000000000003</v>
      </c>
      <c r="P157" s="114">
        <v>129</v>
      </c>
      <c r="Q157" s="115">
        <v>0.11799999999999999</v>
      </c>
      <c r="R157" s="115">
        <v>0.11799999999999999</v>
      </c>
      <c r="S157" s="110">
        <f t="shared" si="16"/>
        <v>124.93231602264336</v>
      </c>
      <c r="T157" s="110">
        <f t="shared" si="17"/>
        <v>43016.949152542373</v>
      </c>
      <c r="U157" s="116">
        <f t="shared" si="18"/>
        <v>0.98753326796470098</v>
      </c>
      <c r="V157" s="115">
        <v>40</v>
      </c>
      <c r="W157" s="115">
        <f t="shared" si="19"/>
        <v>29600</v>
      </c>
      <c r="X157" s="115">
        <f t="shared" si="20"/>
        <v>740</v>
      </c>
      <c r="Y157" s="117" t="s">
        <v>90</v>
      </c>
      <c r="Z157" s="108" t="s">
        <v>35</v>
      </c>
      <c r="AA157" s="108" t="s">
        <v>35</v>
      </c>
      <c r="AB157" s="108" t="s">
        <v>91</v>
      </c>
      <c r="AC157" s="108">
        <v>0</v>
      </c>
      <c r="AD157" s="108">
        <v>1</v>
      </c>
      <c r="AE157" s="108" t="s">
        <v>42</v>
      </c>
      <c r="AF157" s="108" t="s">
        <v>43</v>
      </c>
      <c r="AG157" s="108" t="s">
        <v>38</v>
      </c>
      <c r="AH157" s="108" t="s">
        <v>92</v>
      </c>
    </row>
    <row r="158" spans="1:34" x14ac:dyDescent="0.3">
      <c r="A158" s="118" t="s">
        <v>91</v>
      </c>
      <c r="B158" s="119" t="s">
        <v>97</v>
      </c>
      <c r="C158" s="119" t="s">
        <v>98</v>
      </c>
      <c r="D158" s="120">
        <v>45369</v>
      </c>
      <c r="E158" s="121">
        <v>149000</v>
      </c>
      <c r="F158" s="119" t="s">
        <v>32</v>
      </c>
      <c r="G158" s="119" t="s">
        <v>33</v>
      </c>
      <c r="H158" s="121">
        <v>149000</v>
      </c>
      <c r="I158" s="121">
        <v>43400</v>
      </c>
      <c r="J158" s="122">
        <f t="shared" si="14"/>
        <v>29.127516778523489</v>
      </c>
      <c r="K158" s="121">
        <v>120439</v>
      </c>
      <c r="L158" s="121">
        <f>H158-112456</f>
        <v>36544</v>
      </c>
      <c r="M158" s="121">
        <v>7983</v>
      </c>
      <c r="N158" s="123">
        <f t="shared" si="15"/>
        <v>5.3577181208053694E-2</v>
      </c>
      <c r="O158" s="124">
        <v>40.31</v>
      </c>
      <c r="P158" s="125">
        <v>127</v>
      </c>
      <c r="Q158" s="126">
        <v>0.11700000000000001</v>
      </c>
      <c r="R158" s="126">
        <v>0.11700000000000001</v>
      </c>
      <c r="S158" s="121">
        <f t="shared" si="16"/>
        <v>906.57405110394438</v>
      </c>
      <c r="T158" s="121">
        <f t="shared" si="17"/>
        <v>312341.88034188031</v>
      </c>
      <c r="U158" s="127">
        <f t="shared" si="18"/>
        <v>7.170382927958685</v>
      </c>
      <c r="V158" s="126">
        <v>40</v>
      </c>
      <c r="W158" s="126">
        <f t="shared" si="19"/>
        <v>29800</v>
      </c>
      <c r="X158" s="126">
        <f t="shared" si="20"/>
        <v>745</v>
      </c>
      <c r="Y158" s="128" t="s">
        <v>90</v>
      </c>
      <c r="Z158" s="119" t="s">
        <v>35</v>
      </c>
      <c r="AA158" s="119" t="s">
        <v>35</v>
      </c>
      <c r="AB158" s="119" t="s">
        <v>91</v>
      </c>
      <c r="AC158" s="119">
        <v>0</v>
      </c>
      <c r="AD158" s="119">
        <v>1</v>
      </c>
      <c r="AE158" s="119" t="s">
        <v>37</v>
      </c>
      <c r="AF158" s="119" t="s">
        <v>43</v>
      </c>
      <c r="AG158" s="119" t="s">
        <v>38</v>
      </c>
      <c r="AH158" s="119" t="s">
        <v>92</v>
      </c>
    </row>
    <row r="159" spans="1:34" x14ac:dyDescent="0.3">
      <c r="A159" s="107" t="s">
        <v>91</v>
      </c>
      <c r="B159" s="108" t="s">
        <v>141</v>
      </c>
      <c r="C159" s="108" t="s">
        <v>142</v>
      </c>
      <c r="D159" s="109">
        <v>45680</v>
      </c>
      <c r="E159" s="110">
        <v>180250</v>
      </c>
      <c r="F159" s="108" t="s">
        <v>32</v>
      </c>
      <c r="G159" s="108" t="s">
        <v>33</v>
      </c>
      <c r="H159" s="110">
        <v>180250</v>
      </c>
      <c r="I159" s="110">
        <v>81800</v>
      </c>
      <c r="J159" s="111">
        <f t="shared" si="14"/>
        <v>45.381414701803052</v>
      </c>
      <c r="K159" s="110">
        <v>186161</v>
      </c>
      <c r="L159" s="110">
        <f>H159-174336</f>
        <v>5914</v>
      </c>
      <c r="M159" s="110">
        <v>11825</v>
      </c>
      <c r="N159" s="112">
        <f t="shared" si="15"/>
        <v>6.5603328710124822E-2</v>
      </c>
      <c r="O159" s="113">
        <v>59.72</v>
      </c>
      <c r="P159" s="114">
        <v>127</v>
      </c>
      <c r="Q159" s="115">
        <v>0.19</v>
      </c>
      <c r="R159" s="115">
        <v>0.19</v>
      </c>
      <c r="S159" s="110">
        <f t="shared" si="16"/>
        <v>99.028801071667786</v>
      </c>
      <c r="T159" s="110">
        <f t="shared" si="17"/>
        <v>31126.315789473683</v>
      </c>
      <c r="U159" s="116">
        <f t="shared" si="18"/>
        <v>0.71456188681069066</v>
      </c>
      <c r="V159" s="115">
        <v>47.59</v>
      </c>
      <c r="W159" s="115">
        <f t="shared" si="19"/>
        <v>36050</v>
      </c>
      <c r="X159" s="115">
        <f t="shared" si="20"/>
        <v>757.51208237024582</v>
      </c>
      <c r="Y159" s="117" t="s">
        <v>90</v>
      </c>
      <c r="Z159" s="108" t="s">
        <v>35</v>
      </c>
      <c r="AA159" s="108" t="s">
        <v>35</v>
      </c>
      <c r="AB159" s="108" t="s">
        <v>91</v>
      </c>
      <c r="AC159" s="108">
        <v>0</v>
      </c>
      <c r="AD159" s="108">
        <v>1</v>
      </c>
      <c r="AE159" s="108" t="s">
        <v>37</v>
      </c>
      <c r="AF159" s="108" t="s">
        <v>35</v>
      </c>
      <c r="AG159" s="108" t="s">
        <v>38</v>
      </c>
      <c r="AH159" s="108" t="s">
        <v>92</v>
      </c>
    </row>
    <row r="160" spans="1:34" x14ac:dyDescent="0.3">
      <c r="A160" s="118" t="s">
        <v>91</v>
      </c>
      <c r="B160" s="119" t="s">
        <v>129</v>
      </c>
      <c r="C160" s="119" t="s">
        <v>130</v>
      </c>
      <c r="D160" s="120">
        <v>45604</v>
      </c>
      <c r="E160" s="121">
        <v>190000</v>
      </c>
      <c r="F160" s="119" t="s">
        <v>32</v>
      </c>
      <c r="G160" s="119" t="s">
        <v>33</v>
      </c>
      <c r="H160" s="121">
        <v>190000</v>
      </c>
      <c r="I160" s="121">
        <v>69100</v>
      </c>
      <c r="J160" s="122">
        <f t="shared" si="14"/>
        <v>36.368421052631575</v>
      </c>
      <c r="K160" s="121">
        <v>155889</v>
      </c>
      <c r="L160" s="121">
        <f>H160-146602</f>
        <v>43398</v>
      </c>
      <c r="M160" s="121">
        <v>9287</v>
      </c>
      <c r="N160" s="123">
        <f t="shared" si="15"/>
        <v>4.887894736842105E-2</v>
      </c>
      <c r="O160" s="124">
        <v>46.9</v>
      </c>
      <c r="P160" s="125">
        <v>110</v>
      </c>
      <c r="Q160" s="126">
        <v>0.126</v>
      </c>
      <c r="R160" s="126">
        <v>0.126</v>
      </c>
      <c r="S160" s="121">
        <f t="shared" si="16"/>
        <v>925.3304904051173</v>
      </c>
      <c r="T160" s="121">
        <f t="shared" si="17"/>
        <v>344428.57142857142</v>
      </c>
      <c r="U160" s="127">
        <f t="shared" si="18"/>
        <v>7.9069919979010885</v>
      </c>
      <c r="V160" s="126">
        <v>50</v>
      </c>
      <c r="W160" s="126">
        <f t="shared" si="19"/>
        <v>38000</v>
      </c>
      <c r="X160" s="126">
        <f t="shared" si="20"/>
        <v>760</v>
      </c>
      <c r="Y160" s="128" t="s">
        <v>90</v>
      </c>
      <c r="Z160" s="119" t="s">
        <v>35</v>
      </c>
      <c r="AA160" s="119" t="s">
        <v>35</v>
      </c>
      <c r="AB160" s="119" t="s">
        <v>91</v>
      </c>
      <c r="AC160" s="119">
        <v>0</v>
      </c>
      <c r="AD160" s="119">
        <v>1</v>
      </c>
      <c r="AE160" s="119" t="s">
        <v>42</v>
      </c>
      <c r="AF160" s="119" t="s">
        <v>35</v>
      </c>
      <c r="AG160" s="119" t="s">
        <v>38</v>
      </c>
      <c r="AH160" s="119" t="s">
        <v>92</v>
      </c>
    </row>
    <row r="161" spans="1:34" x14ac:dyDescent="0.3">
      <c r="A161" s="118" t="s">
        <v>91</v>
      </c>
      <c r="B161" s="119" t="s">
        <v>151</v>
      </c>
      <c r="C161" s="119" t="s">
        <v>152</v>
      </c>
      <c r="D161" s="120">
        <v>45021</v>
      </c>
      <c r="E161" s="121">
        <v>163000</v>
      </c>
      <c r="F161" s="119" t="s">
        <v>32</v>
      </c>
      <c r="G161" s="119" t="s">
        <v>33</v>
      </c>
      <c r="H161" s="121">
        <v>163000</v>
      </c>
      <c r="I161" s="121">
        <v>56100</v>
      </c>
      <c r="J161" s="122">
        <f t="shared" si="14"/>
        <v>34.417177914110432</v>
      </c>
      <c r="K161" s="121">
        <v>150778</v>
      </c>
      <c r="L161" s="121">
        <f>H161-142732</f>
        <v>20268</v>
      </c>
      <c r="M161" s="121">
        <v>8046</v>
      </c>
      <c r="N161" s="123">
        <f t="shared" si="15"/>
        <v>4.9361963190184051E-2</v>
      </c>
      <c r="O161" s="124">
        <v>40.630000000000003</v>
      </c>
      <c r="P161" s="125">
        <v>129</v>
      </c>
      <c r="Q161" s="126">
        <v>0.11799999999999999</v>
      </c>
      <c r="R161" s="126">
        <v>0.11799999999999999</v>
      </c>
      <c r="S161" s="121">
        <f t="shared" si="16"/>
        <v>498.8432192960866</v>
      </c>
      <c r="T161" s="121">
        <f t="shared" si="17"/>
        <v>171762.7118644068</v>
      </c>
      <c r="U161" s="127">
        <f t="shared" si="18"/>
        <v>3.9431292898165013</v>
      </c>
      <c r="V161" s="126">
        <v>40</v>
      </c>
      <c r="W161" s="126">
        <f t="shared" si="19"/>
        <v>32600</v>
      </c>
      <c r="X161" s="126">
        <f t="shared" si="20"/>
        <v>815</v>
      </c>
      <c r="Y161" s="128" t="s">
        <v>90</v>
      </c>
      <c r="Z161" s="119" t="s">
        <v>35</v>
      </c>
      <c r="AA161" s="119" t="s">
        <v>35</v>
      </c>
      <c r="AB161" s="119" t="s">
        <v>91</v>
      </c>
      <c r="AC161" s="119">
        <v>0</v>
      </c>
      <c r="AD161" s="119">
        <v>1</v>
      </c>
      <c r="AE161" s="119" t="s">
        <v>42</v>
      </c>
      <c r="AF161" s="119" t="s">
        <v>43</v>
      </c>
      <c r="AG161" s="119" t="s">
        <v>38</v>
      </c>
      <c r="AH161" s="119" t="s">
        <v>92</v>
      </c>
    </row>
    <row r="162" spans="1:34" x14ac:dyDescent="0.3">
      <c r="A162" s="118" t="s">
        <v>91</v>
      </c>
      <c r="B162" s="119" t="s">
        <v>157</v>
      </c>
      <c r="C162" s="119" t="s">
        <v>158</v>
      </c>
      <c r="D162" s="120">
        <v>45112</v>
      </c>
      <c r="E162" s="121">
        <v>178500</v>
      </c>
      <c r="F162" s="119" t="s">
        <v>32</v>
      </c>
      <c r="G162" s="119" t="s">
        <v>33</v>
      </c>
      <c r="H162" s="121">
        <v>178500</v>
      </c>
      <c r="I162" s="121">
        <v>55100</v>
      </c>
      <c r="J162" s="122">
        <f t="shared" si="14"/>
        <v>30.868347338935575</v>
      </c>
      <c r="K162" s="121">
        <v>147946</v>
      </c>
      <c r="L162" s="121">
        <f>H162-139770</f>
        <v>38730</v>
      </c>
      <c r="M162" s="121">
        <v>8176</v>
      </c>
      <c r="N162" s="123">
        <f t="shared" si="15"/>
        <v>4.5803921568627448E-2</v>
      </c>
      <c r="O162" s="124">
        <v>41.29</v>
      </c>
      <c r="P162" s="125">
        <v>120.83</v>
      </c>
      <c r="Q162" s="126">
        <v>0.11700000000000001</v>
      </c>
      <c r="R162" s="126">
        <v>0.11700000000000001</v>
      </c>
      <c r="S162" s="121">
        <f t="shared" si="16"/>
        <v>937.99951562121578</v>
      </c>
      <c r="T162" s="121">
        <f t="shared" si="17"/>
        <v>331025.641025641</v>
      </c>
      <c r="U162" s="127">
        <f t="shared" si="18"/>
        <v>7.5993030538485078</v>
      </c>
      <c r="V162" s="126">
        <v>42</v>
      </c>
      <c r="W162" s="126">
        <f t="shared" si="19"/>
        <v>35700</v>
      </c>
      <c r="X162" s="126">
        <f t="shared" si="20"/>
        <v>850</v>
      </c>
      <c r="Y162" s="128" t="s">
        <v>90</v>
      </c>
      <c r="Z162" s="119" t="s">
        <v>35</v>
      </c>
      <c r="AA162" s="119" t="s">
        <v>35</v>
      </c>
      <c r="AB162" s="119" t="s">
        <v>91</v>
      </c>
      <c r="AC162" s="119">
        <v>0</v>
      </c>
      <c r="AD162" s="119">
        <v>1</v>
      </c>
      <c r="AE162" s="119" t="s">
        <v>42</v>
      </c>
      <c r="AF162" s="119" t="s">
        <v>43</v>
      </c>
      <c r="AG162" s="119" t="s">
        <v>38</v>
      </c>
      <c r="AH162" s="119" t="s">
        <v>92</v>
      </c>
    </row>
    <row r="163" spans="1:34" x14ac:dyDescent="0.3">
      <c r="A163" s="118" t="s">
        <v>91</v>
      </c>
      <c r="B163" s="119" t="s">
        <v>143</v>
      </c>
      <c r="C163" s="119" t="s">
        <v>144</v>
      </c>
      <c r="D163" s="120">
        <v>45734</v>
      </c>
      <c r="E163" s="121">
        <v>172000</v>
      </c>
      <c r="F163" s="119" t="s">
        <v>32</v>
      </c>
      <c r="G163" s="119" t="s">
        <v>33</v>
      </c>
      <c r="H163" s="121">
        <v>172000</v>
      </c>
      <c r="I163" s="121">
        <v>73800</v>
      </c>
      <c r="J163" s="122">
        <f t="shared" si="14"/>
        <v>42.906976744186046</v>
      </c>
      <c r="K163" s="121">
        <v>164391</v>
      </c>
      <c r="L163" s="121">
        <f>H163-156345</f>
        <v>15655</v>
      </c>
      <c r="M163" s="121">
        <v>8046</v>
      </c>
      <c r="N163" s="123">
        <f t="shared" si="15"/>
        <v>4.677906976744186E-2</v>
      </c>
      <c r="O163" s="124">
        <v>40.630000000000003</v>
      </c>
      <c r="P163" s="125">
        <v>129</v>
      </c>
      <c r="Q163" s="126">
        <v>0.11799999999999999</v>
      </c>
      <c r="R163" s="126">
        <v>0.11799999999999999</v>
      </c>
      <c r="S163" s="121">
        <f t="shared" si="16"/>
        <v>385.30642382476003</v>
      </c>
      <c r="T163" s="121">
        <f t="shared" si="17"/>
        <v>132669.49152542374</v>
      </c>
      <c r="U163" s="127">
        <f t="shared" si="18"/>
        <v>3.0456724408958618</v>
      </c>
      <c r="V163" s="126">
        <v>40</v>
      </c>
      <c r="W163" s="126">
        <f t="shared" si="19"/>
        <v>34400</v>
      </c>
      <c r="X163" s="126">
        <f t="shared" si="20"/>
        <v>860</v>
      </c>
      <c r="Y163" s="128" t="s">
        <v>90</v>
      </c>
      <c r="Z163" s="119" t="s">
        <v>35</v>
      </c>
      <c r="AA163" s="119" t="s">
        <v>35</v>
      </c>
      <c r="AB163" s="119" t="s">
        <v>91</v>
      </c>
      <c r="AC163" s="119">
        <v>0</v>
      </c>
      <c r="AD163" s="119">
        <v>1</v>
      </c>
      <c r="AE163" s="119" t="s">
        <v>37</v>
      </c>
      <c r="AF163" s="119" t="s">
        <v>35</v>
      </c>
      <c r="AG163" s="119" t="s">
        <v>38</v>
      </c>
      <c r="AH163" s="119" t="s">
        <v>92</v>
      </c>
    </row>
    <row r="164" spans="1:34" x14ac:dyDescent="0.3">
      <c r="A164" s="118" t="s">
        <v>91</v>
      </c>
      <c r="B164" s="119" t="s">
        <v>159</v>
      </c>
      <c r="C164" s="119" t="s">
        <v>160</v>
      </c>
      <c r="D164" s="120">
        <v>45239</v>
      </c>
      <c r="E164" s="121">
        <v>188000</v>
      </c>
      <c r="F164" s="119" t="s">
        <v>32</v>
      </c>
      <c r="G164" s="119" t="s">
        <v>33</v>
      </c>
      <c r="H164" s="121">
        <v>188000</v>
      </c>
      <c r="I164" s="121">
        <v>61500</v>
      </c>
      <c r="J164" s="122">
        <f t="shared" si="14"/>
        <v>32.712765957446813</v>
      </c>
      <c r="K164" s="121">
        <v>166074</v>
      </c>
      <c r="L164" s="121">
        <f>H164-157872</f>
        <v>30128</v>
      </c>
      <c r="M164" s="121">
        <v>8202</v>
      </c>
      <c r="N164" s="123">
        <f t="shared" si="15"/>
        <v>4.3627659574468083E-2</v>
      </c>
      <c r="O164" s="124">
        <v>41.42</v>
      </c>
      <c r="P164" s="125">
        <v>121.6</v>
      </c>
      <c r="Q164" s="126">
        <v>0.11700000000000001</v>
      </c>
      <c r="R164" s="126">
        <v>0.11700000000000001</v>
      </c>
      <c r="S164" s="121">
        <f t="shared" si="16"/>
        <v>727.37807822308059</v>
      </c>
      <c r="T164" s="121">
        <f t="shared" si="17"/>
        <v>257504.2735042735</v>
      </c>
      <c r="U164" s="127">
        <f t="shared" si="18"/>
        <v>5.9114846993634869</v>
      </c>
      <c r="V164" s="126">
        <v>42</v>
      </c>
      <c r="W164" s="126">
        <f t="shared" si="19"/>
        <v>37600</v>
      </c>
      <c r="X164" s="126">
        <f t="shared" si="20"/>
        <v>895.23809523809518</v>
      </c>
      <c r="Y164" s="128" t="s">
        <v>90</v>
      </c>
      <c r="Z164" s="119" t="s">
        <v>35</v>
      </c>
      <c r="AA164" s="119" t="s">
        <v>35</v>
      </c>
      <c r="AB164" s="119" t="s">
        <v>91</v>
      </c>
      <c r="AC164" s="119">
        <v>0</v>
      </c>
      <c r="AD164" s="119">
        <v>1</v>
      </c>
      <c r="AE164" s="119" t="s">
        <v>42</v>
      </c>
      <c r="AF164" s="119" t="s">
        <v>43</v>
      </c>
      <c r="AG164" s="119" t="s">
        <v>38</v>
      </c>
      <c r="AH164" s="119" t="s">
        <v>92</v>
      </c>
    </row>
    <row r="165" spans="1:34" x14ac:dyDescent="0.3">
      <c r="A165" s="107" t="s">
        <v>91</v>
      </c>
      <c r="B165" s="108" t="s">
        <v>88</v>
      </c>
      <c r="C165" s="108" t="s">
        <v>89</v>
      </c>
      <c r="D165" s="109">
        <v>45616</v>
      </c>
      <c r="E165" s="110">
        <v>190000</v>
      </c>
      <c r="F165" s="108" t="s">
        <v>32</v>
      </c>
      <c r="G165" s="108" t="s">
        <v>33</v>
      </c>
      <c r="H165" s="110">
        <v>190000</v>
      </c>
      <c r="I165" s="110">
        <v>66800</v>
      </c>
      <c r="J165" s="111">
        <f t="shared" si="14"/>
        <v>35.157894736842103</v>
      </c>
      <c r="K165" s="110">
        <v>153609</v>
      </c>
      <c r="L165" s="110">
        <f>H165-145470</f>
        <v>44530</v>
      </c>
      <c r="M165" s="110">
        <v>8139</v>
      </c>
      <c r="N165" s="112">
        <f t="shared" si="15"/>
        <v>4.2836842105263159E-2</v>
      </c>
      <c r="O165" s="113">
        <v>41.1</v>
      </c>
      <c r="P165" s="114">
        <v>132</v>
      </c>
      <c r="Q165" s="115">
        <v>0.121</v>
      </c>
      <c r="R165" s="115">
        <v>0.121</v>
      </c>
      <c r="S165" s="110">
        <f t="shared" si="16"/>
        <v>1083.4549878345499</v>
      </c>
      <c r="T165" s="110">
        <f t="shared" si="17"/>
        <v>368016.52892561984</v>
      </c>
      <c r="U165" s="116">
        <f t="shared" si="18"/>
        <v>8.4484969909462766</v>
      </c>
      <c r="V165" s="115">
        <v>40</v>
      </c>
      <c r="W165" s="115">
        <f t="shared" si="19"/>
        <v>38000</v>
      </c>
      <c r="X165" s="115">
        <f t="shared" si="20"/>
        <v>950</v>
      </c>
      <c r="Y165" s="117" t="s">
        <v>90</v>
      </c>
      <c r="Z165" s="108" t="s">
        <v>35</v>
      </c>
      <c r="AA165" s="108" t="s">
        <v>35</v>
      </c>
      <c r="AB165" s="108" t="s">
        <v>91</v>
      </c>
      <c r="AC165" s="108">
        <v>0</v>
      </c>
      <c r="AD165" s="108">
        <v>1</v>
      </c>
      <c r="AE165" s="108" t="s">
        <v>37</v>
      </c>
      <c r="AF165" s="108" t="s">
        <v>35</v>
      </c>
      <c r="AG165" s="108" t="s">
        <v>38</v>
      </c>
      <c r="AH165" s="108" t="s">
        <v>92</v>
      </c>
    </row>
    <row r="166" spans="1:34" x14ac:dyDescent="0.3">
      <c r="A166" s="118" t="s">
        <v>91</v>
      </c>
      <c r="B166" s="119" t="s">
        <v>137</v>
      </c>
      <c r="C166" s="119" t="s">
        <v>138</v>
      </c>
      <c r="D166" s="120">
        <v>45450</v>
      </c>
      <c r="E166" s="121">
        <v>196500</v>
      </c>
      <c r="F166" s="119" t="s">
        <v>32</v>
      </c>
      <c r="G166" s="119" t="s">
        <v>33</v>
      </c>
      <c r="H166" s="121">
        <v>196500</v>
      </c>
      <c r="I166" s="121">
        <v>60400</v>
      </c>
      <c r="J166" s="122">
        <f t="shared" si="14"/>
        <v>30.737913486005091</v>
      </c>
      <c r="K166" s="121">
        <v>135962</v>
      </c>
      <c r="L166" s="121">
        <f>H166-128042</f>
        <v>68458</v>
      </c>
      <c r="M166" s="121">
        <v>7920</v>
      </c>
      <c r="N166" s="123">
        <f t="shared" si="15"/>
        <v>4.0305343511450382E-2</v>
      </c>
      <c r="O166" s="124">
        <v>40</v>
      </c>
      <c r="P166" s="125">
        <v>125</v>
      </c>
      <c r="Q166" s="126">
        <v>0.115</v>
      </c>
      <c r="R166" s="126">
        <v>0.115</v>
      </c>
      <c r="S166" s="121">
        <f t="shared" si="16"/>
        <v>1711.45</v>
      </c>
      <c r="T166" s="121">
        <f t="shared" si="17"/>
        <v>595286.95652173914</v>
      </c>
      <c r="U166" s="127">
        <f t="shared" si="18"/>
        <v>13.665908092785564</v>
      </c>
      <c r="V166" s="126">
        <v>40</v>
      </c>
      <c r="W166" s="126">
        <f t="shared" si="19"/>
        <v>39300</v>
      </c>
      <c r="X166" s="126">
        <f t="shared" si="20"/>
        <v>982.5</v>
      </c>
      <c r="Y166" s="128" t="s">
        <v>90</v>
      </c>
      <c r="Z166" s="119" t="s">
        <v>35</v>
      </c>
      <c r="AA166" s="119" t="s">
        <v>35</v>
      </c>
      <c r="AB166" s="119" t="s">
        <v>91</v>
      </c>
      <c r="AC166" s="119">
        <v>0</v>
      </c>
      <c r="AD166" s="119">
        <v>1</v>
      </c>
      <c r="AE166" s="119" t="s">
        <v>37</v>
      </c>
      <c r="AF166" s="119" t="s">
        <v>43</v>
      </c>
      <c r="AG166" s="119" t="s">
        <v>38</v>
      </c>
      <c r="AH166" s="119" t="s">
        <v>92</v>
      </c>
    </row>
    <row r="167" spans="1:34" x14ac:dyDescent="0.3">
      <c r="A167" s="118" t="s">
        <v>91</v>
      </c>
      <c r="B167" s="119" t="s">
        <v>103</v>
      </c>
      <c r="C167" s="119" t="s">
        <v>104</v>
      </c>
      <c r="D167" s="120">
        <v>45049</v>
      </c>
      <c r="E167" s="121">
        <v>245000</v>
      </c>
      <c r="F167" s="119" t="s">
        <v>32</v>
      </c>
      <c r="G167" s="119" t="s">
        <v>33</v>
      </c>
      <c r="H167" s="121">
        <v>245000</v>
      </c>
      <c r="I167" s="121">
        <v>54700</v>
      </c>
      <c r="J167" s="122">
        <f t="shared" si="14"/>
        <v>22.326530612244898</v>
      </c>
      <c r="K167" s="121">
        <v>274998</v>
      </c>
      <c r="L167" s="121">
        <f>H167-267038</f>
        <v>-22038</v>
      </c>
      <c r="M167" s="121">
        <v>7960</v>
      </c>
      <c r="N167" s="123">
        <f t="shared" si="15"/>
        <v>3.2489795918367349E-2</v>
      </c>
      <c r="O167" s="124">
        <v>40.19</v>
      </c>
      <c r="P167" s="125">
        <v>126.25</v>
      </c>
      <c r="Q167" s="126">
        <v>0.11600000000000001</v>
      </c>
      <c r="R167" s="126">
        <v>0.11600000000000001</v>
      </c>
      <c r="S167" s="121">
        <f t="shared" si="16"/>
        <v>-548.34535954217472</v>
      </c>
      <c r="T167" s="121">
        <f t="shared" si="17"/>
        <v>-189982.75862068965</v>
      </c>
      <c r="U167" s="127">
        <f t="shared" si="18"/>
        <v>-4.3614040087394317</v>
      </c>
      <c r="V167" s="126">
        <v>40</v>
      </c>
      <c r="W167" s="126">
        <f t="shared" si="19"/>
        <v>49000</v>
      </c>
      <c r="X167" s="126">
        <f t="shared" si="20"/>
        <v>1225</v>
      </c>
      <c r="Y167" s="128" t="s">
        <v>90</v>
      </c>
      <c r="Z167" s="119" t="s">
        <v>35</v>
      </c>
      <c r="AA167" s="119" t="s">
        <v>35</v>
      </c>
      <c r="AB167" s="119" t="s">
        <v>91</v>
      </c>
      <c r="AC167" s="119">
        <v>0</v>
      </c>
      <c r="AD167" s="119">
        <v>1</v>
      </c>
      <c r="AE167" s="119" t="s">
        <v>37</v>
      </c>
      <c r="AF167" s="119" t="s">
        <v>43</v>
      </c>
      <c r="AG167" s="119" t="s">
        <v>38</v>
      </c>
      <c r="AH167" s="119" t="s">
        <v>92</v>
      </c>
    </row>
    <row r="168" spans="1:34" x14ac:dyDescent="0.3">
      <c r="A168" s="118" t="s">
        <v>215</v>
      </c>
      <c r="B168" s="119" t="s">
        <v>259</v>
      </c>
      <c r="C168" s="119" t="s">
        <v>260</v>
      </c>
      <c r="D168" s="120">
        <v>45679</v>
      </c>
      <c r="E168" s="121">
        <v>2500</v>
      </c>
      <c r="F168" s="119" t="s">
        <v>32</v>
      </c>
      <c r="G168" s="119" t="s">
        <v>66</v>
      </c>
      <c r="H168" s="121">
        <v>2500</v>
      </c>
      <c r="I168" s="121">
        <v>20600</v>
      </c>
      <c r="J168" s="122">
        <f t="shared" si="14"/>
        <v>824</v>
      </c>
      <c r="K168" s="121">
        <v>46830</v>
      </c>
      <c r="L168" s="121">
        <f>H168-0</f>
        <v>2500</v>
      </c>
      <c r="M168" s="121">
        <v>46830</v>
      </c>
      <c r="N168" s="123">
        <f t="shared" si="15"/>
        <v>18.731999999999999</v>
      </c>
      <c r="O168" s="124">
        <v>217.81</v>
      </c>
      <c r="P168" s="125">
        <v>324.60000000000002</v>
      </c>
      <c r="Q168" s="126">
        <v>0.69299999999999995</v>
      </c>
      <c r="R168" s="126">
        <v>0.23799999999999999</v>
      </c>
      <c r="S168" s="121">
        <f t="shared" si="16"/>
        <v>11.477893576970754</v>
      </c>
      <c r="T168" s="121">
        <f t="shared" si="17"/>
        <v>3607.5036075036078</v>
      </c>
      <c r="U168" s="127">
        <f t="shared" si="18"/>
        <v>8.2816887224600733E-2</v>
      </c>
      <c r="V168" s="126">
        <v>187.46</v>
      </c>
      <c r="W168" s="126">
        <f t="shared" si="19"/>
        <v>500</v>
      </c>
      <c r="X168" s="126">
        <f t="shared" si="20"/>
        <v>2.6672356769444145</v>
      </c>
      <c r="Y168" s="128" t="s">
        <v>191</v>
      </c>
      <c r="Z168" s="119" t="s">
        <v>35</v>
      </c>
      <c r="AA168" s="119" t="s">
        <v>261</v>
      </c>
      <c r="AB168" s="119" t="s">
        <v>215</v>
      </c>
      <c r="AC168" s="119">
        <v>0</v>
      </c>
      <c r="AD168" s="119">
        <v>0</v>
      </c>
      <c r="AE168" s="119" t="s">
        <v>37</v>
      </c>
      <c r="AF168" s="119" t="s">
        <v>35</v>
      </c>
      <c r="AG168" s="119" t="s">
        <v>61</v>
      </c>
      <c r="AH168" s="119" t="s">
        <v>217</v>
      </c>
    </row>
    <row r="169" spans="1:34" x14ac:dyDescent="0.3">
      <c r="A169" s="118" t="s">
        <v>215</v>
      </c>
      <c r="B169" s="119" t="s">
        <v>242</v>
      </c>
      <c r="C169" s="119" t="s">
        <v>243</v>
      </c>
      <c r="D169" s="120">
        <v>45679</v>
      </c>
      <c r="E169" s="121">
        <v>2500</v>
      </c>
      <c r="F169" s="119" t="s">
        <v>32</v>
      </c>
      <c r="G169" s="119" t="s">
        <v>66</v>
      </c>
      <c r="H169" s="121">
        <v>2500</v>
      </c>
      <c r="I169" s="121">
        <v>12500</v>
      </c>
      <c r="J169" s="122">
        <f t="shared" si="14"/>
        <v>500</v>
      </c>
      <c r="K169" s="121">
        <v>28346</v>
      </c>
      <c r="L169" s="121">
        <f>H169-0</f>
        <v>2500</v>
      </c>
      <c r="M169" s="121">
        <v>28346</v>
      </c>
      <c r="N169" s="123">
        <f t="shared" si="15"/>
        <v>11.3384</v>
      </c>
      <c r="O169" s="124">
        <v>131.84</v>
      </c>
      <c r="P169" s="125">
        <v>231.05</v>
      </c>
      <c r="Q169" s="126">
        <v>0.35599999999999998</v>
      </c>
      <c r="R169" s="126">
        <v>0.113</v>
      </c>
      <c r="S169" s="121">
        <f t="shared" si="16"/>
        <v>18.962378640776699</v>
      </c>
      <c r="T169" s="121">
        <f t="shared" si="17"/>
        <v>7022.4719101123601</v>
      </c>
      <c r="U169" s="127">
        <f t="shared" si="18"/>
        <v>0.16121377204114692</v>
      </c>
      <c r="V169" s="126">
        <v>149</v>
      </c>
      <c r="W169" s="126">
        <f t="shared" si="19"/>
        <v>500</v>
      </c>
      <c r="X169" s="126">
        <f t="shared" si="20"/>
        <v>3.3557046979865772</v>
      </c>
      <c r="Y169" s="128" t="s">
        <v>191</v>
      </c>
      <c r="Z169" s="119" t="s">
        <v>35</v>
      </c>
      <c r="AA169" s="119" t="s">
        <v>244</v>
      </c>
      <c r="AB169" s="119" t="s">
        <v>215</v>
      </c>
      <c r="AC169" s="119">
        <v>0</v>
      </c>
      <c r="AD169" s="119">
        <v>1</v>
      </c>
      <c r="AE169" s="119" t="s">
        <v>37</v>
      </c>
      <c r="AF169" s="119" t="s">
        <v>35</v>
      </c>
      <c r="AG169" s="119" t="s">
        <v>61</v>
      </c>
      <c r="AH169" s="119" t="s">
        <v>217</v>
      </c>
    </row>
    <row r="170" spans="1:34" x14ac:dyDescent="0.3">
      <c r="A170" s="118" t="s">
        <v>215</v>
      </c>
      <c r="B170" s="119" t="s">
        <v>387</v>
      </c>
      <c r="C170" s="119" t="s">
        <v>388</v>
      </c>
      <c r="D170" s="120">
        <v>45603</v>
      </c>
      <c r="E170" s="121">
        <v>82500</v>
      </c>
      <c r="F170" s="119" t="s">
        <v>32</v>
      </c>
      <c r="G170" s="119" t="s">
        <v>33</v>
      </c>
      <c r="H170" s="121">
        <v>82500</v>
      </c>
      <c r="I170" s="121">
        <v>60900</v>
      </c>
      <c r="J170" s="122">
        <f t="shared" si="14"/>
        <v>73.818181818181813</v>
      </c>
      <c r="K170" s="121">
        <v>144634</v>
      </c>
      <c r="L170" s="121">
        <f>H170-118620</f>
        <v>-36120</v>
      </c>
      <c r="M170" s="121">
        <v>26014</v>
      </c>
      <c r="N170" s="123">
        <f t="shared" si="15"/>
        <v>0.31532121212121211</v>
      </c>
      <c r="O170" s="124">
        <v>120.99</v>
      </c>
      <c r="P170" s="125">
        <v>122</v>
      </c>
      <c r="Q170" s="126">
        <v>0.33600000000000002</v>
      </c>
      <c r="R170" s="126">
        <v>0.33600000000000002</v>
      </c>
      <c r="S170" s="121">
        <f t="shared" si="16"/>
        <v>-298.53706917927104</v>
      </c>
      <c r="T170" s="121">
        <f t="shared" si="17"/>
        <v>-107500</v>
      </c>
      <c r="U170" s="127">
        <f t="shared" si="18"/>
        <v>-2.4678604224058769</v>
      </c>
      <c r="V170" s="126">
        <v>120</v>
      </c>
      <c r="W170" s="126">
        <f t="shared" si="19"/>
        <v>16500</v>
      </c>
      <c r="X170" s="126">
        <f t="shared" si="20"/>
        <v>137.5</v>
      </c>
      <c r="Y170" s="128" t="s">
        <v>370</v>
      </c>
      <c r="Z170" s="119" t="s">
        <v>35</v>
      </c>
      <c r="AA170" s="119" t="s">
        <v>35</v>
      </c>
      <c r="AB170" s="119" t="s">
        <v>215</v>
      </c>
      <c r="AC170" s="119">
        <v>0</v>
      </c>
      <c r="AD170" s="119">
        <v>1</v>
      </c>
      <c r="AE170" s="119" t="s">
        <v>42</v>
      </c>
      <c r="AF170" s="119" t="s">
        <v>35</v>
      </c>
      <c r="AG170" s="119" t="s">
        <v>38</v>
      </c>
      <c r="AH170" s="119" t="s">
        <v>217</v>
      </c>
    </row>
    <row r="171" spans="1:34" x14ac:dyDescent="0.3">
      <c r="A171" s="118" t="s">
        <v>215</v>
      </c>
      <c r="B171" s="119" t="s">
        <v>389</v>
      </c>
      <c r="C171" s="119" t="s">
        <v>390</v>
      </c>
      <c r="D171" s="120">
        <v>45456</v>
      </c>
      <c r="E171" s="121">
        <v>105000</v>
      </c>
      <c r="F171" s="119" t="s">
        <v>32</v>
      </c>
      <c r="G171" s="119" t="s">
        <v>33</v>
      </c>
      <c r="H171" s="121">
        <v>105000</v>
      </c>
      <c r="I171" s="121">
        <v>54100</v>
      </c>
      <c r="J171" s="122">
        <f t="shared" si="14"/>
        <v>51.523809523809526</v>
      </c>
      <c r="K171" s="121">
        <v>127116</v>
      </c>
      <c r="L171" s="121">
        <f>H171-106215</f>
        <v>-1215</v>
      </c>
      <c r="M171" s="121">
        <v>20901</v>
      </c>
      <c r="N171" s="123">
        <f t="shared" si="15"/>
        <v>0.19905714285714285</v>
      </c>
      <c r="O171" s="124">
        <v>97.21</v>
      </c>
      <c r="P171" s="125">
        <v>131</v>
      </c>
      <c r="Q171" s="126">
        <v>0.27700000000000002</v>
      </c>
      <c r="R171" s="126">
        <v>0.28100000000000003</v>
      </c>
      <c r="S171" s="121">
        <f t="shared" si="16"/>
        <v>-12.498714124061312</v>
      </c>
      <c r="T171" s="121">
        <f t="shared" si="17"/>
        <v>-4386.2815884476531</v>
      </c>
      <c r="U171" s="127">
        <f t="shared" si="18"/>
        <v>-0.10069516961541904</v>
      </c>
      <c r="V171" s="126">
        <v>91.96</v>
      </c>
      <c r="W171" s="126">
        <f t="shared" si="19"/>
        <v>21000</v>
      </c>
      <c r="X171" s="126">
        <f t="shared" si="20"/>
        <v>228.36015658982168</v>
      </c>
      <c r="Y171" s="128" t="s">
        <v>370</v>
      </c>
      <c r="Z171" s="119" t="s">
        <v>35</v>
      </c>
      <c r="AA171" s="119" t="s">
        <v>35</v>
      </c>
      <c r="AB171" s="119" t="s">
        <v>215</v>
      </c>
      <c r="AC171" s="119">
        <v>0</v>
      </c>
      <c r="AD171" s="119">
        <v>1</v>
      </c>
      <c r="AE171" s="119" t="s">
        <v>42</v>
      </c>
      <c r="AF171" s="119" t="s">
        <v>43</v>
      </c>
      <c r="AG171" s="119" t="s">
        <v>38</v>
      </c>
      <c r="AH171" s="119" t="s">
        <v>217</v>
      </c>
    </row>
    <row r="172" spans="1:34" x14ac:dyDescent="0.3">
      <c r="A172" s="118" t="s">
        <v>215</v>
      </c>
      <c r="B172" s="119" t="s">
        <v>383</v>
      </c>
      <c r="C172" s="119" t="s">
        <v>384</v>
      </c>
      <c r="D172" s="120">
        <v>45149</v>
      </c>
      <c r="E172" s="121">
        <v>140000</v>
      </c>
      <c r="F172" s="119" t="s">
        <v>32</v>
      </c>
      <c r="G172" s="119" t="s">
        <v>33</v>
      </c>
      <c r="H172" s="121">
        <v>140000</v>
      </c>
      <c r="I172" s="121">
        <v>51700</v>
      </c>
      <c r="J172" s="122">
        <f t="shared" si="14"/>
        <v>36.928571428571431</v>
      </c>
      <c r="K172" s="121">
        <v>132825</v>
      </c>
      <c r="L172" s="121">
        <f>H172-105868</f>
        <v>34132</v>
      </c>
      <c r="M172" s="121">
        <v>26957</v>
      </c>
      <c r="N172" s="123">
        <f t="shared" si="15"/>
        <v>0.19255</v>
      </c>
      <c r="O172" s="124">
        <v>125.37</v>
      </c>
      <c r="P172" s="125">
        <v>131</v>
      </c>
      <c r="Q172" s="126">
        <v>0.36099999999999999</v>
      </c>
      <c r="R172" s="126">
        <v>0.36099999999999999</v>
      </c>
      <c r="S172" s="121">
        <f t="shared" si="16"/>
        <v>272.25013958682297</v>
      </c>
      <c r="T172" s="121">
        <f t="shared" si="17"/>
        <v>94548.476454293632</v>
      </c>
      <c r="U172" s="127">
        <f t="shared" si="18"/>
        <v>2.17053435386349</v>
      </c>
      <c r="V172" s="126">
        <v>120</v>
      </c>
      <c r="W172" s="126">
        <f t="shared" si="19"/>
        <v>28000</v>
      </c>
      <c r="X172" s="126">
        <f t="shared" si="20"/>
        <v>233.33333333333334</v>
      </c>
      <c r="Y172" s="128" t="s">
        <v>370</v>
      </c>
      <c r="Z172" s="119" t="s">
        <v>35</v>
      </c>
      <c r="AA172" s="119" t="s">
        <v>35</v>
      </c>
      <c r="AB172" s="119" t="s">
        <v>215</v>
      </c>
      <c r="AC172" s="119">
        <v>0</v>
      </c>
      <c r="AD172" s="119">
        <v>1</v>
      </c>
      <c r="AE172" s="119" t="s">
        <v>37</v>
      </c>
      <c r="AF172" s="119" t="s">
        <v>43</v>
      </c>
      <c r="AG172" s="119" t="s">
        <v>38</v>
      </c>
      <c r="AH172" s="119" t="s">
        <v>217</v>
      </c>
    </row>
    <row r="173" spans="1:34" x14ac:dyDescent="0.3">
      <c r="A173" s="118" t="s">
        <v>215</v>
      </c>
      <c r="B173" s="119" t="s">
        <v>232</v>
      </c>
      <c r="C173" s="119" t="s">
        <v>233</v>
      </c>
      <c r="D173" s="120">
        <v>45534</v>
      </c>
      <c r="E173" s="121">
        <v>48000</v>
      </c>
      <c r="F173" s="119" t="s">
        <v>81</v>
      </c>
      <c r="G173" s="119" t="s">
        <v>33</v>
      </c>
      <c r="H173" s="121">
        <v>48000</v>
      </c>
      <c r="I173" s="121">
        <v>52400</v>
      </c>
      <c r="J173" s="122">
        <f t="shared" si="14"/>
        <v>109.16666666666666</v>
      </c>
      <c r="K173" s="121">
        <v>122921</v>
      </c>
      <c r="L173" s="121">
        <f>H173-114321</f>
        <v>-66321</v>
      </c>
      <c r="M173" s="121">
        <v>8600</v>
      </c>
      <c r="N173" s="123">
        <f t="shared" si="15"/>
        <v>0.17916666666666667</v>
      </c>
      <c r="O173" s="124">
        <v>40</v>
      </c>
      <c r="P173" s="125">
        <v>120</v>
      </c>
      <c r="Q173" s="126">
        <v>0.11</v>
      </c>
      <c r="R173" s="126">
        <v>0.11</v>
      </c>
      <c r="S173" s="121">
        <f t="shared" si="16"/>
        <v>-1658.0250000000001</v>
      </c>
      <c r="T173" s="121">
        <f t="shared" si="17"/>
        <v>-602918.18181818177</v>
      </c>
      <c r="U173" s="127">
        <f t="shared" si="18"/>
        <v>-13.841096919609315</v>
      </c>
      <c r="V173" s="126">
        <v>40</v>
      </c>
      <c r="W173" s="126">
        <f t="shared" si="19"/>
        <v>9600</v>
      </c>
      <c r="X173" s="126">
        <f t="shared" si="20"/>
        <v>240</v>
      </c>
      <c r="Y173" s="128" t="s">
        <v>191</v>
      </c>
      <c r="Z173" s="119" t="s">
        <v>35</v>
      </c>
      <c r="AA173" s="119" t="s">
        <v>35</v>
      </c>
      <c r="AB173" s="119" t="s">
        <v>215</v>
      </c>
      <c r="AC173" s="119">
        <v>0</v>
      </c>
      <c r="AD173" s="119">
        <v>1</v>
      </c>
      <c r="AE173" s="119" t="s">
        <v>37</v>
      </c>
      <c r="AF173" s="119" t="s">
        <v>35</v>
      </c>
      <c r="AG173" s="119" t="s">
        <v>38</v>
      </c>
      <c r="AH173" s="119" t="s">
        <v>217</v>
      </c>
    </row>
    <row r="174" spans="1:34" x14ac:dyDescent="0.3">
      <c r="A174" s="107" t="s">
        <v>215</v>
      </c>
      <c r="B174" s="108" t="s">
        <v>383</v>
      </c>
      <c r="C174" s="108" t="s">
        <v>384</v>
      </c>
      <c r="D174" s="109">
        <v>45596</v>
      </c>
      <c r="E174" s="110">
        <v>150000</v>
      </c>
      <c r="F174" s="108" t="s">
        <v>32</v>
      </c>
      <c r="G174" s="108" t="s">
        <v>33</v>
      </c>
      <c r="H174" s="110">
        <v>150000</v>
      </c>
      <c r="I174" s="110">
        <v>60000</v>
      </c>
      <c r="J174" s="111">
        <f t="shared" si="14"/>
        <v>40</v>
      </c>
      <c r="K174" s="110">
        <v>132825</v>
      </c>
      <c r="L174" s="110">
        <f>H174-105868</f>
        <v>44132</v>
      </c>
      <c r="M174" s="110">
        <v>26957</v>
      </c>
      <c r="N174" s="112">
        <f t="shared" si="15"/>
        <v>0.17971333333333334</v>
      </c>
      <c r="O174" s="113">
        <v>125.37</v>
      </c>
      <c r="P174" s="114">
        <v>131</v>
      </c>
      <c r="Q174" s="115">
        <v>0.36099999999999999</v>
      </c>
      <c r="R174" s="115">
        <v>0.36099999999999999</v>
      </c>
      <c r="S174" s="110">
        <f t="shared" si="16"/>
        <v>352.01403844619927</v>
      </c>
      <c r="T174" s="110">
        <f t="shared" si="17"/>
        <v>122249.30747922439</v>
      </c>
      <c r="U174" s="116">
        <f t="shared" si="18"/>
        <v>2.8064579311116709</v>
      </c>
      <c r="V174" s="115">
        <v>120</v>
      </c>
      <c r="W174" s="115">
        <f t="shared" si="19"/>
        <v>30000</v>
      </c>
      <c r="X174" s="115">
        <f t="shared" si="20"/>
        <v>250</v>
      </c>
      <c r="Y174" s="117" t="s">
        <v>370</v>
      </c>
      <c r="Z174" s="108" t="s">
        <v>35</v>
      </c>
      <c r="AA174" s="108" t="s">
        <v>35</v>
      </c>
      <c r="AB174" s="108" t="s">
        <v>215</v>
      </c>
      <c r="AC174" s="108">
        <v>0</v>
      </c>
      <c r="AD174" s="108">
        <v>1</v>
      </c>
      <c r="AE174" s="108" t="s">
        <v>37</v>
      </c>
      <c r="AF174" s="108" t="s">
        <v>35</v>
      </c>
      <c r="AG174" s="108" t="s">
        <v>38</v>
      </c>
      <c r="AH174" s="108" t="s">
        <v>217</v>
      </c>
    </row>
    <row r="175" spans="1:34" x14ac:dyDescent="0.3">
      <c r="A175" s="107" t="s">
        <v>215</v>
      </c>
      <c r="B175" s="108" t="s">
        <v>379</v>
      </c>
      <c r="C175" s="108" t="s">
        <v>380</v>
      </c>
      <c r="D175" s="109">
        <v>45639</v>
      </c>
      <c r="E175" s="110">
        <v>62000</v>
      </c>
      <c r="F175" s="108" t="s">
        <v>32</v>
      </c>
      <c r="G175" s="108" t="s">
        <v>33</v>
      </c>
      <c r="H175" s="110">
        <v>62000</v>
      </c>
      <c r="I175" s="110">
        <v>51900</v>
      </c>
      <c r="J175" s="111">
        <f t="shared" si="14"/>
        <v>83.709677419354833</v>
      </c>
      <c r="K175" s="110">
        <v>117995</v>
      </c>
      <c r="L175" s="110">
        <f>H175-109324</f>
        <v>-47324</v>
      </c>
      <c r="M175" s="110">
        <v>8671</v>
      </c>
      <c r="N175" s="112">
        <f t="shared" si="15"/>
        <v>0.13985483870967741</v>
      </c>
      <c r="O175" s="113">
        <v>40.33</v>
      </c>
      <c r="P175" s="114">
        <v>122</v>
      </c>
      <c r="Q175" s="115">
        <v>0.112</v>
      </c>
      <c r="R175" s="115">
        <v>0.112</v>
      </c>
      <c r="S175" s="110">
        <f t="shared" si="16"/>
        <v>-1173.4192908504835</v>
      </c>
      <c r="T175" s="110">
        <f t="shared" si="17"/>
        <v>-422535.71428571426</v>
      </c>
      <c r="U175" s="116">
        <f t="shared" si="18"/>
        <v>-9.7000852682670864</v>
      </c>
      <c r="V175" s="115">
        <v>40</v>
      </c>
      <c r="W175" s="115">
        <f t="shared" si="19"/>
        <v>12400</v>
      </c>
      <c r="X175" s="115">
        <f t="shared" si="20"/>
        <v>310</v>
      </c>
      <c r="Y175" s="117" t="s">
        <v>370</v>
      </c>
      <c r="Z175" s="108" t="s">
        <v>35</v>
      </c>
      <c r="AA175" s="108" t="s">
        <v>35</v>
      </c>
      <c r="AB175" s="108" t="s">
        <v>215</v>
      </c>
      <c r="AC175" s="108">
        <v>0</v>
      </c>
      <c r="AD175" s="108">
        <v>1</v>
      </c>
      <c r="AE175" s="108" t="s">
        <v>37</v>
      </c>
      <c r="AF175" s="108" t="s">
        <v>35</v>
      </c>
      <c r="AG175" s="108" t="s">
        <v>38</v>
      </c>
      <c r="AH175" s="108" t="s">
        <v>217</v>
      </c>
    </row>
    <row r="176" spans="1:34" x14ac:dyDescent="0.3">
      <c r="A176" s="118" t="s">
        <v>215</v>
      </c>
      <c r="B176" s="119" t="s">
        <v>381</v>
      </c>
      <c r="C176" s="119" t="s">
        <v>382</v>
      </c>
      <c r="D176" s="120">
        <v>45436</v>
      </c>
      <c r="E176" s="121">
        <v>62000</v>
      </c>
      <c r="F176" s="119" t="s">
        <v>32</v>
      </c>
      <c r="G176" s="119" t="s">
        <v>33</v>
      </c>
      <c r="H176" s="121">
        <v>62000</v>
      </c>
      <c r="I176" s="121">
        <v>37700</v>
      </c>
      <c r="J176" s="122">
        <f t="shared" si="14"/>
        <v>60.806451612903224</v>
      </c>
      <c r="K176" s="121">
        <v>88278</v>
      </c>
      <c r="L176" s="121">
        <f>H176-79607</f>
        <v>-17607</v>
      </c>
      <c r="M176" s="121">
        <v>8671</v>
      </c>
      <c r="N176" s="123">
        <f t="shared" si="15"/>
        <v>0.13985483870967741</v>
      </c>
      <c r="O176" s="124">
        <v>40.33</v>
      </c>
      <c r="P176" s="125">
        <v>122</v>
      </c>
      <c r="Q176" s="126">
        <v>0.112</v>
      </c>
      <c r="R176" s="126">
        <v>0.112</v>
      </c>
      <c r="S176" s="121">
        <f t="shared" si="16"/>
        <v>-436.57327051822466</v>
      </c>
      <c r="T176" s="121">
        <f t="shared" si="17"/>
        <v>-157205.35714285713</v>
      </c>
      <c r="U176" s="127">
        <f t="shared" si="18"/>
        <v>-3.6089384100747735</v>
      </c>
      <c r="V176" s="126">
        <v>40</v>
      </c>
      <c r="W176" s="126">
        <f t="shared" si="19"/>
        <v>12400</v>
      </c>
      <c r="X176" s="126">
        <f t="shared" si="20"/>
        <v>310</v>
      </c>
      <c r="Y176" s="128" t="s">
        <v>370</v>
      </c>
      <c r="Z176" s="119" t="s">
        <v>35</v>
      </c>
      <c r="AA176" s="119" t="s">
        <v>35</v>
      </c>
      <c r="AB176" s="119" t="s">
        <v>215</v>
      </c>
      <c r="AC176" s="119">
        <v>0</v>
      </c>
      <c r="AD176" s="119">
        <v>1</v>
      </c>
      <c r="AE176" s="119" t="s">
        <v>42</v>
      </c>
      <c r="AF176" s="119" t="s">
        <v>43</v>
      </c>
      <c r="AG176" s="119" t="s">
        <v>38</v>
      </c>
      <c r="AH176" s="119" t="s">
        <v>217</v>
      </c>
    </row>
    <row r="177" spans="1:34" x14ac:dyDescent="0.3">
      <c r="A177" s="118" t="s">
        <v>215</v>
      </c>
      <c r="B177" s="119" t="s">
        <v>226</v>
      </c>
      <c r="C177" s="119" t="s">
        <v>227</v>
      </c>
      <c r="D177" s="120">
        <v>45196</v>
      </c>
      <c r="E177" s="121">
        <v>179000</v>
      </c>
      <c r="F177" s="119" t="s">
        <v>32</v>
      </c>
      <c r="G177" s="119" t="s">
        <v>33</v>
      </c>
      <c r="H177" s="121">
        <v>179000</v>
      </c>
      <c r="I177" s="121">
        <v>71200</v>
      </c>
      <c r="J177" s="122">
        <f t="shared" si="14"/>
        <v>39.776536312849167</v>
      </c>
      <c r="K177" s="121">
        <v>188521</v>
      </c>
      <c r="L177" s="121">
        <f>H177-170031</f>
        <v>8969</v>
      </c>
      <c r="M177" s="121">
        <v>18490</v>
      </c>
      <c r="N177" s="123">
        <f t="shared" si="15"/>
        <v>0.10329608938547485</v>
      </c>
      <c r="O177" s="124">
        <v>86</v>
      </c>
      <c r="P177" s="125">
        <v>120</v>
      </c>
      <c r="Q177" s="126">
        <v>0.23699999999999999</v>
      </c>
      <c r="R177" s="126">
        <v>0.23699999999999999</v>
      </c>
      <c r="S177" s="121">
        <f t="shared" si="16"/>
        <v>104.29069767441861</v>
      </c>
      <c r="T177" s="121">
        <f t="shared" si="17"/>
        <v>37843.881856540087</v>
      </c>
      <c r="U177" s="127">
        <f t="shared" si="18"/>
        <v>0.86877598385078258</v>
      </c>
      <c r="V177" s="126">
        <v>86</v>
      </c>
      <c r="W177" s="126">
        <f t="shared" si="19"/>
        <v>35800</v>
      </c>
      <c r="X177" s="126">
        <f t="shared" si="20"/>
        <v>416.27906976744185</v>
      </c>
      <c r="Y177" s="128" t="s">
        <v>191</v>
      </c>
      <c r="Z177" s="119" t="s">
        <v>35</v>
      </c>
      <c r="AA177" s="119" t="s">
        <v>35</v>
      </c>
      <c r="AB177" s="119" t="s">
        <v>215</v>
      </c>
      <c r="AC177" s="119">
        <v>0</v>
      </c>
      <c r="AD177" s="119">
        <v>1</v>
      </c>
      <c r="AE177" s="119" t="s">
        <v>42</v>
      </c>
      <c r="AF177" s="119" t="s">
        <v>43</v>
      </c>
      <c r="AG177" s="119" t="s">
        <v>38</v>
      </c>
      <c r="AH177" s="119" t="s">
        <v>217</v>
      </c>
    </row>
    <row r="178" spans="1:34" x14ac:dyDescent="0.3">
      <c r="A178" s="118" t="s">
        <v>215</v>
      </c>
      <c r="B178" s="119" t="s">
        <v>405</v>
      </c>
      <c r="C178" s="119" t="s">
        <v>406</v>
      </c>
      <c r="D178" s="120">
        <v>45673</v>
      </c>
      <c r="E178" s="121">
        <v>178700</v>
      </c>
      <c r="F178" s="119" t="s">
        <v>32</v>
      </c>
      <c r="G178" s="119" t="s">
        <v>33</v>
      </c>
      <c r="H178" s="121">
        <v>178700</v>
      </c>
      <c r="I178" s="121">
        <v>58200</v>
      </c>
      <c r="J178" s="122">
        <f t="shared" si="14"/>
        <v>32.568550643536653</v>
      </c>
      <c r="K178" s="121">
        <v>138003</v>
      </c>
      <c r="L178" s="121">
        <f>H178-120803</f>
        <v>57897</v>
      </c>
      <c r="M178" s="121">
        <v>17200</v>
      </c>
      <c r="N178" s="123">
        <f t="shared" si="15"/>
        <v>9.6250699496362613E-2</v>
      </c>
      <c r="O178" s="124">
        <v>80</v>
      </c>
      <c r="P178" s="125">
        <v>120</v>
      </c>
      <c r="Q178" s="126">
        <v>0.22</v>
      </c>
      <c r="R178" s="126">
        <v>0.22</v>
      </c>
      <c r="S178" s="121">
        <f t="shared" si="16"/>
        <v>723.71249999999998</v>
      </c>
      <c r="T178" s="121">
        <f t="shared" si="17"/>
        <v>263168.18181818182</v>
      </c>
      <c r="U178" s="127">
        <f t="shared" si="18"/>
        <v>6.0415101427498126</v>
      </c>
      <c r="V178" s="126">
        <v>80</v>
      </c>
      <c r="W178" s="126">
        <f t="shared" si="19"/>
        <v>35740</v>
      </c>
      <c r="X178" s="126">
        <f t="shared" si="20"/>
        <v>446.75</v>
      </c>
      <c r="Y178" s="128" t="s">
        <v>370</v>
      </c>
      <c r="Z178" s="119" t="s">
        <v>35</v>
      </c>
      <c r="AA178" s="119" t="s">
        <v>35</v>
      </c>
      <c r="AB178" s="119" t="s">
        <v>215</v>
      </c>
      <c r="AC178" s="119">
        <v>0</v>
      </c>
      <c r="AD178" s="119">
        <v>1</v>
      </c>
      <c r="AE178" s="119" t="s">
        <v>37</v>
      </c>
      <c r="AF178" s="119" t="s">
        <v>35</v>
      </c>
      <c r="AG178" s="119" t="s">
        <v>38</v>
      </c>
      <c r="AH178" s="119" t="s">
        <v>217</v>
      </c>
    </row>
    <row r="179" spans="1:34" x14ac:dyDescent="0.3">
      <c r="A179" s="107" t="s">
        <v>215</v>
      </c>
      <c r="B179" s="108" t="s">
        <v>368</v>
      </c>
      <c r="C179" s="108" t="s">
        <v>369</v>
      </c>
      <c r="D179" s="109">
        <v>45282</v>
      </c>
      <c r="E179" s="110">
        <v>142500</v>
      </c>
      <c r="F179" s="108" t="s">
        <v>32</v>
      </c>
      <c r="G179" s="108" t="s">
        <v>33</v>
      </c>
      <c r="H179" s="110">
        <v>142500</v>
      </c>
      <c r="I179" s="110">
        <v>47500</v>
      </c>
      <c r="J179" s="111">
        <f t="shared" si="14"/>
        <v>33.333333333333329</v>
      </c>
      <c r="K179" s="110">
        <v>131292</v>
      </c>
      <c r="L179" s="110">
        <f>H179-119516</f>
        <v>22984</v>
      </c>
      <c r="M179" s="110">
        <v>11776</v>
      </c>
      <c r="N179" s="112">
        <f t="shared" si="15"/>
        <v>8.2638596491228067E-2</v>
      </c>
      <c r="O179" s="113">
        <v>54.77</v>
      </c>
      <c r="P179" s="114">
        <v>100</v>
      </c>
      <c r="Q179" s="115">
        <v>0.13800000000000001</v>
      </c>
      <c r="R179" s="115">
        <v>0.13800000000000001</v>
      </c>
      <c r="S179" s="110">
        <f t="shared" si="16"/>
        <v>419.64579149169253</v>
      </c>
      <c r="T179" s="110">
        <f t="shared" si="17"/>
        <v>166550.72463768115</v>
      </c>
      <c r="U179" s="116">
        <f t="shared" si="18"/>
        <v>3.8234785270358391</v>
      </c>
      <c r="V179" s="115">
        <v>60</v>
      </c>
      <c r="W179" s="115">
        <f t="shared" si="19"/>
        <v>28500</v>
      </c>
      <c r="X179" s="115">
        <f t="shared" si="20"/>
        <v>475</v>
      </c>
      <c r="Y179" s="117" t="s">
        <v>370</v>
      </c>
      <c r="Z179" s="108" t="s">
        <v>35</v>
      </c>
      <c r="AA179" s="108" t="s">
        <v>35</v>
      </c>
      <c r="AB179" s="108" t="s">
        <v>215</v>
      </c>
      <c r="AC179" s="108">
        <v>0</v>
      </c>
      <c r="AD179" s="108">
        <v>1</v>
      </c>
      <c r="AE179" s="108" t="s">
        <v>42</v>
      </c>
      <c r="AF179" s="108" t="s">
        <v>43</v>
      </c>
      <c r="AG179" s="108" t="s">
        <v>38</v>
      </c>
      <c r="AH179" s="108" t="s">
        <v>217</v>
      </c>
    </row>
    <row r="180" spans="1:34" x14ac:dyDescent="0.3">
      <c r="A180" s="118" t="s">
        <v>215</v>
      </c>
      <c r="B180" s="119" t="s">
        <v>375</v>
      </c>
      <c r="C180" s="119" t="s">
        <v>376</v>
      </c>
      <c r="D180" s="120">
        <v>45532</v>
      </c>
      <c r="E180" s="121">
        <v>200000</v>
      </c>
      <c r="F180" s="119" t="s">
        <v>32</v>
      </c>
      <c r="G180" s="119" t="s">
        <v>33</v>
      </c>
      <c r="H180" s="121">
        <v>200000</v>
      </c>
      <c r="I180" s="121">
        <v>44300</v>
      </c>
      <c r="J180" s="122">
        <f t="shared" si="14"/>
        <v>22.15</v>
      </c>
      <c r="K180" s="121">
        <v>103981</v>
      </c>
      <c r="L180" s="121">
        <f>H180-86638</f>
        <v>113362</v>
      </c>
      <c r="M180" s="121">
        <v>17343</v>
      </c>
      <c r="N180" s="123">
        <f t="shared" si="15"/>
        <v>8.6715E-2</v>
      </c>
      <c r="O180" s="124">
        <v>80.66</v>
      </c>
      <c r="P180" s="125">
        <v>122</v>
      </c>
      <c r="Q180" s="126">
        <v>0.224</v>
      </c>
      <c r="R180" s="126">
        <v>0.224</v>
      </c>
      <c r="S180" s="121">
        <f t="shared" si="16"/>
        <v>1405.430200843045</v>
      </c>
      <c r="T180" s="121">
        <f t="shared" si="17"/>
        <v>506080.35714285716</v>
      </c>
      <c r="U180" s="127">
        <f t="shared" si="18"/>
        <v>11.618006362324545</v>
      </c>
      <c r="V180" s="126">
        <v>80</v>
      </c>
      <c r="W180" s="126">
        <f t="shared" si="19"/>
        <v>40000</v>
      </c>
      <c r="X180" s="126">
        <f t="shared" si="20"/>
        <v>500</v>
      </c>
      <c r="Y180" s="128" t="s">
        <v>370</v>
      </c>
      <c r="Z180" s="119" t="s">
        <v>35</v>
      </c>
      <c r="AA180" s="119" t="s">
        <v>35</v>
      </c>
      <c r="AB180" s="119" t="s">
        <v>215</v>
      </c>
      <c r="AC180" s="119">
        <v>0</v>
      </c>
      <c r="AD180" s="119">
        <v>1</v>
      </c>
      <c r="AE180" s="119" t="s">
        <v>42</v>
      </c>
      <c r="AF180" s="119" t="s">
        <v>43</v>
      </c>
      <c r="AG180" s="119" t="s">
        <v>38</v>
      </c>
      <c r="AH180" s="119" t="s">
        <v>217</v>
      </c>
    </row>
    <row r="181" spans="1:34" x14ac:dyDescent="0.3">
      <c r="A181" s="118" t="s">
        <v>215</v>
      </c>
      <c r="B181" s="119" t="s">
        <v>257</v>
      </c>
      <c r="C181" s="119" t="s">
        <v>258</v>
      </c>
      <c r="D181" s="120">
        <v>45301</v>
      </c>
      <c r="E181" s="121">
        <v>153000</v>
      </c>
      <c r="F181" s="119" t="s">
        <v>32</v>
      </c>
      <c r="G181" s="119" t="s">
        <v>33</v>
      </c>
      <c r="H181" s="121">
        <v>153000</v>
      </c>
      <c r="I181" s="121">
        <v>59400</v>
      </c>
      <c r="J181" s="122">
        <f t="shared" si="14"/>
        <v>38.82352941176471</v>
      </c>
      <c r="K181" s="121">
        <v>149339</v>
      </c>
      <c r="L181" s="121">
        <f>H181-133748</f>
        <v>19252</v>
      </c>
      <c r="M181" s="121">
        <v>15591</v>
      </c>
      <c r="N181" s="123">
        <f t="shared" si="15"/>
        <v>0.10190196078431372</v>
      </c>
      <c r="O181" s="124">
        <v>72.510000000000005</v>
      </c>
      <c r="P181" s="125">
        <v>169.59</v>
      </c>
      <c r="Q181" s="126">
        <v>0.23699999999999999</v>
      </c>
      <c r="R181" s="126">
        <v>0.23699999999999999</v>
      </c>
      <c r="S181" s="121">
        <f t="shared" si="16"/>
        <v>265.50820576472211</v>
      </c>
      <c r="T181" s="121">
        <f t="shared" si="17"/>
        <v>81232.067510548528</v>
      </c>
      <c r="U181" s="127">
        <f t="shared" si="18"/>
        <v>1.8648316692045117</v>
      </c>
      <c r="V181" s="126">
        <v>61</v>
      </c>
      <c r="W181" s="126">
        <f t="shared" si="19"/>
        <v>30600</v>
      </c>
      <c r="X181" s="126">
        <f t="shared" si="20"/>
        <v>501.63934426229508</v>
      </c>
      <c r="Y181" s="128" t="s">
        <v>191</v>
      </c>
      <c r="Z181" s="119" t="s">
        <v>35</v>
      </c>
      <c r="AA181" s="119" t="s">
        <v>35</v>
      </c>
      <c r="AB181" s="119" t="s">
        <v>215</v>
      </c>
      <c r="AC181" s="119">
        <v>0</v>
      </c>
      <c r="AD181" s="119">
        <v>1</v>
      </c>
      <c r="AE181" s="119" t="s">
        <v>37</v>
      </c>
      <c r="AF181" s="119" t="s">
        <v>43</v>
      </c>
      <c r="AG181" s="119" t="s">
        <v>38</v>
      </c>
      <c r="AH181" s="119" t="s">
        <v>217</v>
      </c>
    </row>
    <row r="182" spans="1:34" x14ac:dyDescent="0.3">
      <c r="A182" s="107" t="s">
        <v>215</v>
      </c>
      <c r="B182" s="108" t="s">
        <v>255</v>
      </c>
      <c r="C182" s="108" t="s">
        <v>256</v>
      </c>
      <c r="D182" s="109">
        <v>45107</v>
      </c>
      <c r="E182" s="110">
        <v>155000</v>
      </c>
      <c r="F182" s="108" t="s">
        <v>32</v>
      </c>
      <c r="G182" s="108" t="s">
        <v>33</v>
      </c>
      <c r="H182" s="110">
        <v>155000</v>
      </c>
      <c r="I182" s="110">
        <v>63500</v>
      </c>
      <c r="J182" s="111">
        <f t="shared" si="14"/>
        <v>40.967741935483872</v>
      </c>
      <c r="K182" s="110">
        <v>161091</v>
      </c>
      <c r="L182" s="110">
        <f>H182-145553</f>
        <v>9447</v>
      </c>
      <c r="M182" s="110">
        <v>15538</v>
      </c>
      <c r="N182" s="112">
        <f t="shared" si="15"/>
        <v>0.10024516129032258</v>
      </c>
      <c r="O182" s="113">
        <v>72.27</v>
      </c>
      <c r="P182" s="114">
        <v>168.44</v>
      </c>
      <c r="Q182" s="115">
        <v>0.23599999999999999</v>
      </c>
      <c r="R182" s="115">
        <v>0.23599999999999999</v>
      </c>
      <c r="S182" s="110">
        <f t="shared" si="16"/>
        <v>130.71814030718141</v>
      </c>
      <c r="T182" s="110">
        <f t="shared" si="17"/>
        <v>40029.661016949154</v>
      </c>
      <c r="U182" s="116">
        <f t="shared" si="18"/>
        <v>0.91895456880048565</v>
      </c>
      <c r="V182" s="115">
        <v>61</v>
      </c>
      <c r="W182" s="115">
        <f t="shared" si="19"/>
        <v>31000</v>
      </c>
      <c r="X182" s="115">
        <f t="shared" si="20"/>
        <v>508.19672131147541</v>
      </c>
      <c r="Y182" s="117" t="s">
        <v>191</v>
      </c>
      <c r="Z182" s="108" t="s">
        <v>35</v>
      </c>
      <c r="AA182" s="108" t="s">
        <v>35</v>
      </c>
      <c r="AB182" s="108" t="s">
        <v>215</v>
      </c>
      <c r="AC182" s="108">
        <v>0</v>
      </c>
      <c r="AD182" s="108">
        <v>1</v>
      </c>
      <c r="AE182" s="108" t="s">
        <v>37</v>
      </c>
      <c r="AF182" s="108" t="s">
        <v>43</v>
      </c>
      <c r="AG182" s="108" t="s">
        <v>38</v>
      </c>
      <c r="AH182" s="108" t="s">
        <v>217</v>
      </c>
    </row>
    <row r="183" spans="1:34" x14ac:dyDescent="0.3">
      <c r="A183" s="107" t="s">
        <v>215</v>
      </c>
      <c r="B183" s="108" t="s">
        <v>385</v>
      </c>
      <c r="C183" s="108" t="s">
        <v>386</v>
      </c>
      <c r="D183" s="109">
        <v>45442</v>
      </c>
      <c r="E183" s="110">
        <v>102500</v>
      </c>
      <c r="F183" s="108" t="s">
        <v>32</v>
      </c>
      <c r="G183" s="108" t="s">
        <v>33</v>
      </c>
      <c r="H183" s="110">
        <v>102500</v>
      </c>
      <c r="I183" s="110">
        <v>42000</v>
      </c>
      <c r="J183" s="111">
        <f t="shared" si="14"/>
        <v>40.975609756097562</v>
      </c>
      <c r="K183" s="110">
        <v>98751</v>
      </c>
      <c r="L183" s="110">
        <f>H183-90080</f>
        <v>12420</v>
      </c>
      <c r="M183" s="110">
        <v>8671</v>
      </c>
      <c r="N183" s="112">
        <f t="shared" si="15"/>
        <v>8.4595121951219515E-2</v>
      </c>
      <c r="O183" s="113">
        <v>40.33</v>
      </c>
      <c r="P183" s="114">
        <v>122</v>
      </c>
      <c r="Q183" s="115">
        <v>0.112</v>
      </c>
      <c r="R183" s="115">
        <v>0.112</v>
      </c>
      <c r="S183" s="110">
        <f t="shared" si="16"/>
        <v>307.95933548227129</v>
      </c>
      <c r="T183" s="110">
        <f t="shared" si="17"/>
        <v>110892.85714285714</v>
      </c>
      <c r="U183" s="116">
        <f t="shared" si="18"/>
        <v>2.5457497048406141</v>
      </c>
      <c r="V183" s="115">
        <v>40</v>
      </c>
      <c r="W183" s="115">
        <f t="shared" si="19"/>
        <v>20500</v>
      </c>
      <c r="X183" s="115">
        <f t="shared" si="20"/>
        <v>512.5</v>
      </c>
      <c r="Y183" s="117" t="s">
        <v>370</v>
      </c>
      <c r="Z183" s="108" t="s">
        <v>35</v>
      </c>
      <c r="AA183" s="108" t="s">
        <v>35</v>
      </c>
      <c r="AB183" s="108" t="s">
        <v>215</v>
      </c>
      <c r="AC183" s="108">
        <v>0</v>
      </c>
      <c r="AD183" s="108">
        <v>1</v>
      </c>
      <c r="AE183" s="108" t="s">
        <v>42</v>
      </c>
      <c r="AF183" s="108" t="s">
        <v>43</v>
      </c>
      <c r="AG183" s="108" t="s">
        <v>38</v>
      </c>
      <c r="AH183" s="108" t="s">
        <v>217</v>
      </c>
    </row>
    <row r="184" spans="1:34" x14ac:dyDescent="0.3">
      <c r="A184" s="118" t="s">
        <v>215</v>
      </c>
      <c r="B184" s="119" t="s">
        <v>397</v>
      </c>
      <c r="C184" s="119" t="s">
        <v>398</v>
      </c>
      <c r="D184" s="120">
        <v>45562</v>
      </c>
      <c r="E184" s="121">
        <v>105000</v>
      </c>
      <c r="F184" s="119" t="s">
        <v>32</v>
      </c>
      <c r="G184" s="119" t="s">
        <v>33</v>
      </c>
      <c r="H184" s="121">
        <v>105000</v>
      </c>
      <c r="I184" s="121">
        <v>40800</v>
      </c>
      <c r="J184" s="122">
        <f t="shared" si="14"/>
        <v>38.857142857142854</v>
      </c>
      <c r="K184" s="121">
        <v>96153</v>
      </c>
      <c r="L184" s="121">
        <f>H184-87202</f>
        <v>17798</v>
      </c>
      <c r="M184" s="121">
        <v>8951</v>
      </c>
      <c r="N184" s="123">
        <f t="shared" si="15"/>
        <v>8.5247619047619044E-2</v>
      </c>
      <c r="O184" s="124">
        <v>41.63</v>
      </c>
      <c r="P184" s="125">
        <v>130</v>
      </c>
      <c r="Q184" s="126">
        <v>0.11899999999999999</v>
      </c>
      <c r="R184" s="126">
        <v>0.11899999999999999</v>
      </c>
      <c r="S184" s="121">
        <f t="shared" si="16"/>
        <v>427.52822483785729</v>
      </c>
      <c r="T184" s="121">
        <f t="shared" si="17"/>
        <v>149563.02521008404</v>
      </c>
      <c r="U184" s="127">
        <f t="shared" si="18"/>
        <v>3.4334946099651984</v>
      </c>
      <c r="V184" s="126">
        <v>40</v>
      </c>
      <c r="W184" s="126">
        <f t="shared" si="19"/>
        <v>21000</v>
      </c>
      <c r="X184" s="126">
        <f t="shared" si="20"/>
        <v>525</v>
      </c>
      <c r="Y184" s="128" t="s">
        <v>370</v>
      </c>
      <c r="Z184" s="119" t="s">
        <v>35</v>
      </c>
      <c r="AA184" s="119" t="s">
        <v>35</v>
      </c>
      <c r="AB184" s="119" t="s">
        <v>215</v>
      </c>
      <c r="AC184" s="119">
        <v>0</v>
      </c>
      <c r="AD184" s="119">
        <v>1</v>
      </c>
      <c r="AE184" s="119" t="s">
        <v>42</v>
      </c>
      <c r="AF184" s="119" t="s">
        <v>43</v>
      </c>
      <c r="AG184" s="119" t="s">
        <v>38</v>
      </c>
      <c r="AH184" s="119" t="s">
        <v>217</v>
      </c>
    </row>
    <row r="185" spans="1:34" x14ac:dyDescent="0.3">
      <c r="A185" s="107" t="s">
        <v>215</v>
      </c>
      <c r="B185" s="108" t="s">
        <v>393</v>
      </c>
      <c r="C185" s="108" t="s">
        <v>394</v>
      </c>
      <c r="D185" s="109">
        <v>45467</v>
      </c>
      <c r="E185" s="110">
        <v>106000</v>
      </c>
      <c r="F185" s="108" t="s">
        <v>32</v>
      </c>
      <c r="G185" s="108" t="s">
        <v>33</v>
      </c>
      <c r="H185" s="110">
        <v>106000</v>
      </c>
      <c r="I185" s="110">
        <v>44700</v>
      </c>
      <c r="J185" s="111">
        <f t="shared" si="14"/>
        <v>42.169811320754718</v>
      </c>
      <c r="K185" s="110">
        <v>106510</v>
      </c>
      <c r="L185" s="110">
        <f>H185-97768</f>
        <v>8232</v>
      </c>
      <c r="M185" s="110">
        <v>8742</v>
      </c>
      <c r="N185" s="112">
        <f t="shared" si="15"/>
        <v>8.2471698113207551E-2</v>
      </c>
      <c r="O185" s="113">
        <v>40.659999999999997</v>
      </c>
      <c r="P185" s="114">
        <v>124</v>
      </c>
      <c r="Q185" s="115">
        <v>0.114</v>
      </c>
      <c r="R185" s="115">
        <v>0.114</v>
      </c>
      <c r="S185" s="110">
        <f t="shared" si="16"/>
        <v>202.45941957697985</v>
      </c>
      <c r="T185" s="110">
        <f t="shared" si="17"/>
        <v>72210.526315789466</v>
      </c>
      <c r="U185" s="116">
        <f t="shared" si="18"/>
        <v>1.6577255811705571</v>
      </c>
      <c r="V185" s="115">
        <v>40</v>
      </c>
      <c r="W185" s="115">
        <f t="shared" si="19"/>
        <v>21200</v>
      </c>
      <c r="X185" s="115">
        <f t="shared" si="20"/>
        <v>530</v>
      </c>
      <c r="Y185" s="117" t="s">
        <v>370</v>
      </c>
      <c r="Z185" s="108" t="s">
        <v>35</v>
      </c>
      <c r="AA185" s="108" t="s">
        <v>35</v>
      </c>
      <c r="AB185" s="108" t="s">
        <v>215</v>
      </c>
      <c r="AC185" s="108">
        <v>0</v>
      </c>
      <c r="AD185" s="108">
        <v>1</v>
      </c>
      <c r="AE185" s="108" t="s">
        <v>37</v>
      </c>
      <c r="AF185" s="108" t="s">
        <v>43</v>
      </c>
      <c r="AG185" s="108" t="s">
        <v>38</v>
      </c>
      <c r="AH185" s="108" t="s">
        <v>217</v>
      </c>
    </row>
    <row r="186" spans="1:34" x14ac:dyDescent="0.3">
      <c r="A186" s="107" t="s">
        <v>215</v>
      </c>
      <c r="B186" s="108" t="s">
        <v>371</v>
      </c>
      <c r="C186" s="108" t="s">
        <v>372</v>
      </c>
      <c r="D186" s="109">
        <v>45595</v>
      </c>
      <c r="E186" s="110">
        <v>110000</v>
      </c>
      <c r="F186" s="108" t="s">
        <v>32</v>
      </c>
      <c r="G186" s="108" t="s">
        <v>33</v>
      </c>
      <c r="H186" s="110">
        <v>110000</v>
      </c>
      <c r="I186" s="110">
        <v>50900</v>
      </c>
      <c r="J186" s="111">
        <f t="shared" si="14"/>
        <v>46.272727272727273</v>
      </c>
      <c r="K186" s="110">
        <v>120517</v>
      </c>
      <c r="L186" s="110">
        <f>H186-112666</f>
        <v>-2666</v>
      </c>
      <c r="M186" s="110">
        <v>7851</v>
      </c>
      <c r="N186" s="112">
        <f t="shared" si="15"/>
        <v>7.1372727272727268E-2</v>
      </c>
      <c r="O186" s="113">
        <v>36.51</v>
      </c>
      <c r="P186" s="114">
        <v>100</v>
      </c>
      <c r="Q186" s="115">
        <v>9.1999999999999998E-2</v>
      </c>
      <c r="R186" s="115">
        <v>9.1999999999999998E-2</v>
      </c>
      <c r="S186" s="110">
        <f t="shared" si="16"/>
        <v>-73.021090112297998</v>
      </c>
      <c r="T186" s="110">
        <f t="shared" si="17"/>
        <v>-28978.260869565216</v>
      </c>
      <c r="U186" s="116">
        <f t="shared" si="18"/>
        <v>-0.6652493312572364</v>
      </c>
      <c r="V186" s="115">
        <v>40</v>
      </c>
      <c r="W186" s="115">
        <f t="shared" si="19"/>
        <v>22000</v>
      </c>
      <c r="X186" s="115">
        <f t="shared" si="20"/>
        <v>550</v>
      </c>
      <c r="Y186" s="117" t="s">
        <v>370</v>
      </c>
      <c r="Z186" s="108" t="s">
        <v>35</v>
      </c>
      <c r="AA186" s="108" t="s">
        <v>35</v>
      </c>
      <c r="AB186" s="108" t="s">
        <v>215</v>
      </c>
      <c r="AC186" s="108">
        <v>0</v>
      </c>
      <c r="AD186" s="108">
        <v>1</v>
      </c>
      <c r="AE186" s="108" t="s">
        <v>42</v>
      </c>
      <c r="AF186" s="108" t="s">
        <v>35</v>
      </c>
      <c r="AG186" s="108" t="s">
        <v>38</v>
      </c>
      <c r="AH186" s="108" t="s">
        <v>217</v>
      </c>
    </row>
    <row r="187" spans="1:34" x14ac:dyDescent="0.3">
      <c r="A187" s="118" t="s">
        <v>215</v>
      </c>
      <c r="B187" s="119" t="s">
        <v>395</v>
      </c>
      <c r="C187" s="119" t="s">
        <v>396</v>
      </c>
      <c r="D187" s="120">
        <v>45215</v>
      </c>
      <c r="E187" s="121">
        <v>114900</v>
      </c>
      <c r="F187" s="119" t="s">
        <v>81</v>
      </c>
      <c r="G187" s="119" t="s">
        <v>33</v>
      </c>
      <c r="H187" s="121">
        <v>114900</v>
      </c>
      <c r="I187" s="121">
        <v>36400</v>
      </c>
      <c r="J187" s="122">
        <f t="shared" si="14"/>
        <v>31.679721496953871</v>
      </c>
      <c r="K187" s="121">
        <v>101568</v>
      </c>
      <c r="L187" s="121">
        <f>H187-92932</f>
        <v>21968</v>
      </c>
      <c r="M187" s="121">
        <v>8636</v>
      </c>
      <c r="N187" s="123">
        <f t="shared" si="15"/>
        <v>7.5161009573542215E-2</v>
      </c>
      <c r="O187" s="124">
        <v>40.159999999999997</v>
      </c>
      <c r="P187" s="125">
        <v>121</v>
      </c>
      <c r="Q187" s="126">
        <v>0.111</v>
      </c>
      <c r="R187" s="126">
        <v>0.111</v>
      </c>
      <c r="S187" s="121">
        <f t="shared" si="16"/>
        <v>547.01195219123508</v>
      </c>
      <c r="T187" s="121">
        <f t="shared" si="17"/>
        <v>197909.90990990991</v>
      </c>
      <c r="U187" s="127">
        <f t="shared" si="18"/>
        <v>4.5433863615681798</v>
      </c>
      <c r="V187" s="126">
        <v>40</v>
      </c>
      <c r="W187" s="126">
        <f t="shared" si="19"/>
        <v>22980</v>
      </c>
      <c r="X187" s="126">
        <f t="shared" si="20"/>
        <v>574.5</v>
      </c>
      <c r="Y187" s="128" t="s">
        <v>370</v>
      </c>
      <c r="Z187" s="119" t="s">
        <v>35</v>
      </c>
      <c r="AA187" s="119" t="s">
        <v>35</v>
      </c>
      <c r="AB187" s="119" t="s">
        <v>215</v>
      </c>
      <c r="AC187" s="119">
        <v>0</v>
      </c>
      <c r="AD187" s="119">
        <v>1</v>
      </c>
      <c r="AE187" s="119" t="s">
        <v>37</v>
      </c>
      <c r="AF187" s="119" t="s">
        <v>43</v>
      </c>
      <c r="AG187" s="119" t="s">
        <v>38</v>
      </c>
      <c r="AH187" s="119" t="s">
        <v>217</v>
      </c>
    </row>
    <row r="188" spans="1:34" x14ac:dyDescent="0.3">
      <c r="A188" s="118" t="s">
        <v>215</v>
      </c>
      <c r="B188" s="119" t="s">
        <v>251</v>
      </c>
      <c r="C188" s="119" t="s">
        <v>252</v>
      </c>
      <c r="D188" s="120">
        <v>45260</v>
      </c>
      <c r="E188" s="121">
        <v>115000</v>
      </c>
      <c r="F188" s="119" t="s">
        <v>32</v>
      </c>
      <c r="G188" s="119" t="s">
        <v>33</v>
      </c>
      <c r="H188" s="121">
        <v>115000</v>
      </c>
      <c r="I188" s="121">
        <v>44100</v>
      </c>
      <c r="J188" s="122">
        <f t="shared" si="14"/>
        <v>38.347826086956523</v>
      </c>
      <c r="K188" s="121">
        <v>115942</v>
      </c>
      <c r="L188" s="121">
        <f>H188-107505</f>
        <v>7495</v>
      </c>
      <c r="M188" s="121">
        <v>8437</v>
      </c>
      <c r="N188" s="123">
        <f t="shared" si="15"/>
        <v>7.3365217391304346E-2</v>
      </c>
      <c r="O188" s="124">
        <v>39.24</v>
      </c>
      <c r="P188" s="125">
        <v>115.5</v>
      </c>
      <c r="Q188" s="126">
        <v>0.106</v>
      </c>
      <c r="R188" s="126">
        <v>0.106</v>
      </c>
      <c r="S188" s="121">
        <f t="shared" si="16"/>
        <v>191.00407747196738</v>
      </c>
      <c r="T188" s="121">
        <f t="shared" si="17"/>
        <v>70707.547169811325</v>
      </c>
      <c r="U188" s="127">
        <f t="shared" si="18"/>
        <v>1.6232219276816191</v>
      </c>
      <c r="V188" s="126">
        <v>40</v>
      </c>
      <c r="W188" s="126">
        <f t="shared" si="19"/>
        <v>23000</v>
      </c>
      <c r="X188" s="126">
        <f t="shared" si="20"/>
        <v>575</v>
      </c>
      <c r="Y188" s="128" t="s">
        <v>191</v>
      </c>
      <c r="Z188" s="119" t="s">
        <v>35</v>
      </c>
      <c r="AA188" s="119" t="s">
        <v>35</v>
      </c>
      <c r="AB188" s="119" t="s">
        <v>215</v>
      </c>
      <c r="AC188" s="119">
        <v>0</v>
      </c>
      <c r="AD188" s="119">
        <v>1</v>
      </c>
      <c r="AE188" s="119" t="s">
        <v>37</v>
      </c>
      <c r="AF188" s="119" t="s">
        <v>43</v>
      </c>
      <c r="AG188" s="119" t="s">
        <v>38</v>
      </c>
      <c r="AH188" s="119" t="s">
        <v>217</v>
      </c>
    </row>
    <row r="189" spans="1:34" x14ac:dyDescent="0.3">
      <c r="A189" s="107" t="s">
        <v>215</v>
      </c>
      <c r="B189" s="108" t="s">
        <v>401</v>
      </c>
      <c r="C189" s="108" t="s">
        <v>402</v>
      </c>
      <c r="D189" s="109">
        <v>45511</v>
      </c>
      <c r="E189" s="110">
        <v>115000</v>
      </c>
      <c r="F189" s="108" t="s">
        <v>32</v>
      </c>
      <c r="G189" s="108" t="s">
        <v>33</v>
      </c>
      <c r="H189" s="110">
        <v>115000</v>
      </c>
      <c r="I189" s="110">
        <v>37200</v>
      </c>
      <c r="J189" s="111">
        <f t="shared" si="14"/>
        <v>32.347826086956523</v>
      </c>
      <c r="K189" s="110">
        <v>88672</v>
      </c>
      <c r="L189" s="110">
        <f>H189-79721</f>
        <v>35279</v>
      </c>
      <c r="M189" s="110">
        <v>8951</v>
      </c>
      <c r="N189" s="112">
        <f t="shared" si="15"/>
        <v>7.7834782608695655E-2</v>
      </c>
      <c r="O189" s="113">
        <v>41.63</v>
      </c>
      <c r="P189" s="114">
        <v>130</v>
      </c>
      <c r="Q189" s="115">
        <v>0.11899999999999999</v>
      </c>
      <c r="R189" s="115">
        <v>0.11899999999999999</v>
      </c>
      <c r="S189" s="110">
        <f t="shared" si="16"/>
        <v>847.44174873889017</v>
      </c>
      <c r="T189" s="110">
        <f t="shared" si="17"/>
        <v>296462.18487394962</v>
      </c>
      <c r="U189" s="116">
        <f t="shared" si="18"/>
        <v>6.8058352817711114</v>
      </c>
      <c r="V189" s="115">
        <v>40</v>
      </c>
      <c r="W189" s="115">
        <f t="shared" si="19"/>
        <v>23000</v>
      </c>
      <c r="X189" s="115">
        <f t="shared" si="20"/>
        <v>575</v>
      </c>
      <c r="Y189" s="117" t="s">
        <v>370</v>
      </c>
      <c r="Z189" s="108" t="s">
        <v>35</v>
      </c>
      <c r="AA189" s="108" t="s">
        <v>35</v>
      </c>
      <c r="AB189" s="108" t="s">
        <v>215</v>
      </c>
      <c r="AC189" s="108">
        <v>0</v>
      </c>
      <c r="AD189" s="108">
        <v>1</v>
      </c>
      <c r="AE189" s="108" t="s">
        <v>37</v>
      </c>
      <c r="AF189" s="108" t="s">
        <v>43</v>
      </c>
      <c r="AG189" s="108" t="s">
        <v>38</v>
      </c>
      <c r="AH189" s="108" t="s">
        <v>217</v>
      </c>
    </row>
    <row r="190" spans="1:34" x14ac:dyDescent="0.3">
      <c r="A190" s="107" t="s">
        <v>215</v>
      </c>
      <c r="B190" s="108" t="s">
        <v>391</v>
      </c>
      <c r="C190" s="108" t="s">
        <v>392</v>
      </c>
      <c r="D190" s="109">
        <v>45082</v>
      </c>
      <c r="E190" s="110">
        <v>120000</v>
      </c>
      <c r="F190" s="108" t="s">
        <v>81</v>
      </c>
      <c r="G190" s="108" t="s">
        <v>33</v>
      </c>
      <c r="H190" s="110">
        <v>120000</v>
      </c>
      <c r="I190" s="110">
        <v>40600</v>
      </c>
      <c r="J190" s="111">
        <f t="shared" si="14"/>
        <v>33.833333333333329</v>
      </c>
      <c r="K190" s="110">
        <v>113409</v>
      </c>
      <c r="L190" s="110">
        <f>H190-104738</f>
        <v>15262</v>
      </c>
      <c r="M190" s="110">
        <v>8671</v>
      </c>
      <c r="N190" s="112">
        <f t="shared" si="15"/>
        <v>7.2258333333333327E-2</v>
      </c>
      <c r="O190" s="113">
        <v>40.33</v>
      </c>
      <c r="P190" s="114">
        <v>122</v>
      </c>
      <c r="Q190" s="115">
        <v>0.112</v>
      </c>
      <c r="R190" s="115">
        <v>0.112</v>
      </c>
      <c r="S190" s="110">
        <f t="shared" si="16"/>
        <v>378.42796925365735</v>
      </c>
      <c r="T190" s="110">
        <f t="shared" si="17"/>
        <v>136267.85714285713</v>
      </c>
      <c r="U190" s="116">
        <f t="shared" si="18"/>
        <v>3.1282795487340938</v>
      </c>
      <c r="V190" s="115">
        <v>40</v>
      </c>
      <c r="W190" s="115">
        <f t="shared" si="19"/>
        <v>24000</v>
      </c>
      <c r="X190" s="115">
        <f t="shared" si="20"/>
        <v>600</v>
      </c>
      <c r="Y190" s="117" t="s">
        <v>370</v>
      </c>
      <c r="Z190" s="108" t="s">
        <v>35</v>
      </c>
      <c r="AA190" s="108" t="s">
        <v>35</v>
      </c>
      <c r="AB190" s="108" t="s">
        <v>215</v>
      </c>
      <c r="AC190" s="108">
        <v>0</v>
      </c>
      <c r="AD190" s="108">
        <v>1</v>
      </c>
      <c r="AE190" s="108" t="s">
        <v>37</v>
      </c>
      <c r="AF190" s="108" t="s">
        <v>43</v>
      </c>
      <c r="AG190" s="108" t="s">
        <v>38</v>
      </c>
      <c r="AH190" s="108" t="s">
        <v>217</v>
      </c>
    </row>
    <row r="191" spans="1:34" x14ac:dyDescent="0.3">
      <c r="A191" s="107" t="s">
        <v>215</v>
      </c>
      <c r="B191" s="108" t="s">
        <v>220</v>
      </c>
      <c r="C191" s="108" t="s">
        <v>221</v>
      </c>
      <c r="D191" s="109">
        <v>45240</v>
      </c>
      <c r="E191" s="110">
        <v>123500</v>
      </c>
      <c r="F191" s="108" t="s">
        <v>81</v>
      </c>
      <c r="G191" s="108" t="s">
        <v>33</v>
      </c>
      <c r="H191" s="110">
        <v>123500</v>
      </c>
      <c r="I191" s="110">
        <v>46400</v>
      </c>
      <c r="J191" s="111">
        <f t="shared" si="14"/>
        <v>37.570850202429149</v>
      </c>
      <c r="K191" s="110">
        <v>122921</v>
      </c>
      <c r="L191" s="110">
        <f>H191-114321</f>
        <v>9179</v>
      </c>
      <c r="M191" s="110">
        <v>8600</v>
      </c>
      <c r="N191" s="112">
        <f t="shared" si="15"/>
        <v>6.9635627530364369E-2</v>
      </c>
      <c r="O191" s="113">
        <v>40</v>
      </c>
      <c r="P191" s="114">
        <v>120</v>
      </c>
      <c r="Q191" s="115">
        <v>0.11</v>
      </c>
      <c r="R191" s="115">
        <v>0.11</v>
      </c>
      <c r="S191" s="110">
        <f t="shared" si="16"/>
        <v>229.47499999999999</v>
      </c>
      <c r="T191" s="110">
        <f t="shared" si="17"/>
        <v>83445.454545454544</v>
      </c>
      <c r="U191" s="116">
        <f t="shared" si="18"/>
        <v>1.9156440437432172</v>
      </c>
      <c r="V191" s="115">
        <v>40</v>
      </c>
      <c r="W191" s="115">
        <f t="shared" si="19"/>
        <v>24700</v>
      </c>
      <c r="X191" s="115">
        <f t="shared" si="20"/>
        <v>617.5</v>
      </c>
      <c r="Y191" s="117" t="s">
        <v>191</v>
      </c>
      <c r="Z191" s="108" t="s">
        <v>35</v>
      </c>
      <c r="AA191" s="108" t="s">
        <v>35</v>
      </c>
      <c r="AB191" s="108" t="s">
        <v>215</v>
      </c>
      <c r="AC191" s="108">
        <v>0</v>
      </c>
      <c r="AD191" s="108">
        <v>1</v>
      </c>
      <c r="AE191" s="108" t="s">
        <v>37</v>
      </c>
      <c r="AF191" s="108" t="s">
        <v>43</v>
      </c>
      <c r="AG191" s="108" t="s">
        <v>38</v>
      </c>
      <c r="AH191" s="108" t="s">
        <v>217</v>
      </c>
    </row>
    <row r="192" spans="1:34" x14ac:dyDescent="0.3">
      <c r="A192" s="107" t="s">
        <v>215</v>
      </c>
      <c r="B192" s="108" t="s">
        <v>238</v>
      </c>
      <c r="C192" s="108" t="s">
        <v>239</v>
      </c>
      <c r="D192" s="109">
        <v>45356</v>
      </c>
      <c r="E192" s="110">
        <v>130000</v>
      </c>
      <c r="F192" s="108" t="s">
        <v>32</v>
      </c>
      <c r="G192" s="108" t="s">
        <v>33</v>
      </c>
      <c r="H192" s="110">
        <v>130000</v>
      </c>
      <c r="I192" s="110">
        <v>44700</v>
      </c>
      <c r="J192" s="111">
        <f t="shared" si="14"/>
        <v>34.384615384615387</v>
      </c>
      <c r="K192" s="110">
        <v>118628</v>
      </c>
      <c r="L192" s="110">
        <f>H192-109851</f>
        <v>20149</v>
      </c>
      <c r="M192" s="110">
        <v>8777</v>
      </c>
      <c r="N192" s="112">
        <f t="shared" si="15"/>
        <v>6.7515384615384616E-2</v>
      </c>
      <c r="O192" s="113">
        <v>40.82</v>
      </c>
      <c r="P192" s="114">
        <v>125</v>
      </c>
      <c r="Q192" s="115">
        <v>0.115</v>
      </c>
      <c r="R192" s="115">
        <v>0.115</v>
      </c>
      <c r="S192" s="110">
        <f t="shared" si="16"/>
        <v>493.6060754532092</v>
      </c>
      <c r="T192" s="110">
        <f t="shared" si="17"/>
        <v>175208.69565217392</v>
      </c>
      <c r="U192" s="116">
        <f t="shared" si="18"/>
        <v>4.0222381921986665</v>
      </c>
      <c r="V192" s="115">
        <v>40</v>
      </c>
      <c r="W192" s="115">
        <f t="shared" si="19"/>
        <v>26000</v>
      </c>
      <c r="X192" s="115">
        <f t="shared" si="20"/>
        <v>650</v>
      </c>
      <c r="Y192" s="117" t="s">
        <v>191</v>
      </c>
      <c r="Z192" s="108" t="s">
        <v>35</v>
      </c>
      <c r="AA192" s="108" t="s">
        <v>35</v>
      </c>
      <c r="AB192" s="108" t="s">
        <v>215</v>
      </c>
      <c r="AC192" s="108">
        <v>0</v>
      </c>
      <c r="AD192" s="108">
        <v>1</v>
      </c>
      <c r="AE192" s="108" t="s">
        <v>37</v>
      </c>
      <c r="AF192" s="108" t="s">
        <v>43</v>
      </c>
      <c r="AG192" s="108" t="s">
        <v>38</v>
      </c>
      <c r="AH192" s="108" t="s">
        <v>217</v>
      </c>
    </row>
    <row r="193" spans="1:34" x14ac:dyDescent="0.3">
      <c r="A193" s="107" t="s">
        <v>215</v>
      </c>
      <c r="B193" s="108" t="s">
        <v>399</v>
      </c>
      <c r="C193" s="108" t="s">
        <v>400</v>
      </c>
      <c r="D193" s="109">
        <v>45582</v>
      </c>
      <c r="E193" s="110">
        <v>136000</v>
      </c>
      <c r="F193" s="108" t="s">
        <v>32</v>
      </c>
      <c r="G193" s="108" t="s">
        <v>33</v>
      </c>
      <c r="H193" s="110">
        <v>136000</v>
      </c>
      <c r="I193" s="110">
        <v>45400</v>
      </c>
      <c r="J193" s="111">
        <f t="shared" si="14"/>
        <v>33.382352941176471</v>
      </c>
      <c r="K193" s="110">
        <v>108029</v>
      </c>
      <c r="L193" s="110">
        <f>H193-99078</f>
        <v>36922</v>
      </c>
      <c r="M193" s="110">
        <v>8951</v>
      </c>
      <c r="N193" s="112">
        <f t="shared" si="15"/>
        <v>6.5816176470588239E-2</v>
      </c>
      <c r="O193" s="113">
        <v>41.63</v>
      </c>
      <c r="P193" s="114">
        <v>130</v>
      </c>
      <c r="Q193" s="115">
        <v>0.11899999999999999</v>
      </c>
      <c r="R193" s="115">
        <v>0.11899999999999999</v>
      </c>
      <c r="S193" s="110">
        <f t="shared" si="16"/>
        <v>886.90847946192639</v>
      </c>
      <c r="T193" s="110">
        <f t="shared" si="17"/>
        <v>310268.90756302525</v>
      </c>
      <c r="U193" s="116">
        <f t="shared" si="18"/>
        <v>7.122794021189744</v>
      </c>
      <c r="V193" s="115">
        <v>40</v>
      </c>
      <c r="W193" s="115">
        <f t="shared" si="19"/>
        <v>27200</v>
      </c>
      <c r="X193" s="115">
        <f t="shared" si="20"/>
        <v>680</v>
      </c>
      <c r="Y193" s="117" t="s">
        <v>370</v>
      </c>
      <c r="Z193" s="108" t="s">
        <v>35</v>
      </c>
      <c r="AA193" s="108" t="s">
        <v>35</v>
      </c>
      <c r="AB193" s="108" t="s">
        <v>215</v>
      </c>
      <c r="AC193" s="108">
        <v>0</v>
      </c>
      <c r="AD193" s="108">
        <v>1</v>
      </c>
      <c r="AE193" s="108" t="s">
        <v>37</v>
      </c>
      <c r="AF193" s="108" t="s">
        <v>35</v>
      </c>
      <c r="AG193" s="108" t="s">
        <v>38</v>
      </c>
      <c r="AH193" s="108" t="s">
        <v>217</v>
      </c>
    </row>
    <row r="194" spans="1:34" x14ac:dyDescent="0.3">
      <c r="A194" s="107" t="s">
        <v>215</v>
      </c>
      <c r="B194" s="108" t="s">
        <v>236</v>
      </c>
      <c r="C194" s="108" t="s">
        <v>237</v>
      </c>
      <c r="D194" s="109">
        <v>45155</v>
      </c>
      <c r="E194" s="110">
        <v>140000</v>
      </c>
      <c r="F194" s="108" t="s">
        <v>32</v>
      </c>
      <c r="G194" s="108" t="s">
        <v>33</v>
      </c>
      <c r="H194" s="110">
        <v>140000</v>
      </c>
      <c r="I194" s="110">
        <v>53900</v>
      </c>
      <c r="J194" s="111">
        <f t="shared" ref="J194:J257" si="21">I194/H194*100</f>
        <v>38.5</v>
      </c>
      <c r="K194" s="110">
        <v>141773</v>
      </c>
      <c r="L194" s="110">
        <f>H194-132996</f>
        <v>7004</v>
      </c>
      <c r="M194" s="110">
        <v>8777</v>
      </c>
      <c r="N194" s="112">
        <f t="shared" ref="N194:N257" si="22">M194/E194</f>
        <v>6.2692857142857147E-2</v>
      </c>
      <c r="O194" s="113">
        <v>40.82</v>
      </c>
      <c r="P194" s="114">
        <v>125</v>
      </c>
      <c r="Q194" s="115">
        <v>0.115</v>
      </c>
      <c r="R194" s="115">
        <v>0.115</v>
      </c>
      <c r="S194" s="110">
        <f t="shared" ref="S194:S257" si="23">L194/O194</f>
        <v>171.5825575698187</v>
      </c>
      <c r="T194" s="110">
        <f t="shared" ref="T194:T257" si="24">L194/Q194</f>
        <v>60904.347826086952</v>
      </c>
      <c r="U194" s="116">
        <f t="shared" ref="U194:U257" si="25">L194/Q194/43560</f>
        <v>1.3981714376971293</v>
      </c>
      <c r="V194" s="115">
        <v>40</v>
      </c>
      <c r="W194" s="115">
        <f t="shared" ref="W194:W257" si="26">0.2*E194</f>
        <v>28000</v>
      </c>
      <c r="X194" s="115">
        <f t="shared" ref="X194:X257" si="27">W194/V194</f>
        <v>700</v>
      </c>
      <c r="Y194" s="117" t="s">
        <v>191</v>
      </c>
      <c r="Z194" s="108" t="s">
        <v>35</v>
      </c>
      <c r="AA194" s="108" t="s">
        <v>35</v>
      </c>
      <c r="AB194" s="108" t="s">
        <v>215</v>
      </c>
      <c r="AC194" s="108">
        <v>0</v>
      </c>
      <c r="AD194" s="108">
        <v>1</v>
      </c>
      <c r="AE194" s="108" t="s">
        <v>37</v>
      </c>
      <c r="AF194" s="108" t="s">
        <v>43</v>
      </c>
      <c r="AG194" s="108" t="s">
        <v>38</v>
      </c>
      <c r="AH194" s="108" t="s">
        <v>217</v>
      </c>
    </row>
    <row r="195" spans="1:34" x14ac:dyDescent="0.3">
      <c r="A195" s="107" t="s">
        <v>215</v>
      </c>
      <c r="B195" s="108" t="s">
        <v>245</v>
      </c>
      <c r="C195" s="108" t="s">
        <v>246</v>
      </c>
      <c r="D195" s="109">
        <v>45084</v>
      </c>
      <c r="E195" s="110">
        <v>147000</v>
      </c>
      <c r="F195" s="108" t="s">
        <v>32</v>
      </c>
      <c r="G195" s="108" t="s">
        <v>33</v>
      </c>
      <c r="H195" s="110">
        <v>147000</v>
      </c>
      <c r="I195" s="110">
        <v>56600</v>
      </c>
      <c r="J195" s="111">
        <f t="shared" si="21"/>
        <v>38.503401360544217</v>
      </c>
      <c r="K195" s="110">
        <v>140226</v>
      </c>
      <c r="L195" s="110">
        <f>H195-131994</f>
        <v>15006</v>
      </c>
      <c r="M195" s="110">
        <v>8232</v>
      </c>
      <c r="N195" s="112">
        <f t="shared" si="22"/>
        <v>5.6000000000000001E-2</v>
      </c>
      <c r="O195" s="113">
        <v>38.28</v>
      </c>
      <c r="P195" s="114">
        <v>107.86</v>
      </c>
      <c r="Q195" s="115">
        <v>0.1</v>
      </c>
      <c r="R195" s="115">
        <v>0.1</v>
      </c>
      <c r="S195" s="110">
        <f t="shared" si="23"/>
        <v>392.00626959247649</v>
      </c>
      <c r="T195" s="110">
        <f t="shared" si="24"/>
        <v>150060</v>
      </c>
      <c r="U195" s="116">
        <f t="shared" si="25"/>
        <v>3.4449035812672175</v>
      </c>
      <c r="V195" s="115">
        <v>40.57</v>
      </c>
      <c r="W195" s="115">
        <f t="shared" si="26"/>
        <v>29400</v>
      </c>
      <c r="X195" s="115">
        <f t="shared" si="27"/>
        <v>724.6734039930983</v>
      </c>
      <c r="Y195" s="117" t="s">
        <v>191</v>
      </c>
      <c r="Z195" s="108" t="s">
        <v>35</v>
      </c>
      <c r="AA195" s="108" t="s">
        <v>35</v>
      </c>
      <c r="AB195" s="108" t="s">
        <v>215</v>
      </c>
      <c r="AC195" s="108">
        <v>0</v>
      </c>
      <c r="AD195" s="108">
        <v>1</v>
      </c>
      <c r="AE195" s="108" t="s">
        <v>37</v>
      </c>
      <c r="AF195" s="108" t="s">
        <v>43</v>
      </c>
      <c r="AG195" s="108" t="s">
        <v>38</v>
      </c>
      <c r="AH195" s="108" t="s">
        <v>217</v>
      </c>
    </row>
    <row r="196" spans="1:34" x14ac:dyDescent="0.3">
      <c r="A196" s="118" t="s">
        <v>215</v>
      </c>
      <c r="B196" s="119" t="s">
        <v>249</v>
      </c>
      <c r="C196" s="119" t="s">
        <v>250</v>
      </c>
      <c r="D196" s="120">
        <v>45463</v>
      </c>
      <c r="E196" s="121">
        <v>145000</v>
      </c>
      <c r="F196" s="119" t="s">
        <v>32</v>
      </c>
      <c r="G196" s="119" t="s">
        <v>33</v>
      </c>
      <c r="H196" s="121">
        <v>145000</v>
      </c>
      <c r="I196" s="121">
        <v>49200</v>
      </c>
      <c r="J196" s="122">
        <f t="shared" si="21"/>
        <v>33.931034482758619</v>
      </c>
      <c r="K196" s="121">
        <v>115484</v>
      </c>
      <c r="L196" s="121">
        <f>H196-107250</f>
        <v>37750</v>
      </c>
      <c r="M196" s="121">
        <v>8234</v>
      </c>
      <c r="N196" s="123">
        <f t="shared" si="22"/>
        <v>5.6786206896551727E-2</v>
      </c>
      <c r="O196" s="124">
        <v>38.29</v>
      </c>
      <c r="P196" s="125">
        <v>109.99</v>
      </c>
      <c r="Q196" s="126">
        <v>0.10100000000000001</v>
      </c>
      <c r="R196" s="126">
        <v>0.10100000000000001</v>
      </c>
      <c r="S196" s="121">
        <f t="shared" si="23"/>
        <v>985.89710107077565</v>
      </c>
      <c r="T196" s="121">
        <f t="shared" si="24"/>
        <v>373762.37623762374</v>
      </c>
      <c r="U196" s="127">
        <f t="shared" si="25"/>
        <v>8.5804034948949433</v>
      </c>
      <c r="V196" s="126">
        <v>40</v>
      </c>
      <c r="W196" s="126">
        <f t="shared" si="26"/>
        <v>29000</v>
      </c>
      <c r="X196" s="126">
        <f t="shared" si="27"/>
        <v>725</v>
      </c>
      <c r="Y196" s="128" t="s">
        <v>191</v>
      </c>
      <c r="Z196" s="119" t="s">
        <v>35</v>
      </c>
      <c r="AA196" s="119" t="s">
        <v>35</v>
      </c>
      <c r="AB196" s="119" t="s">
        <v>215</v>
      </c>
      <c r="AC196" s="119">
        <v>0</v>
      </c>
      <c r="AD196" s="119">
        <v>1</v>
      </c>
      <c r="AE196" s="119" t="s">
        <v>42</v>
      </c>
      <c r="AF196" s="119" t="s">
        <v>43</v>
      </c>
      <c r="AG196" s="119" t="s">
        <v>38</v>
      </c>
      <c r="AH196" s="119" t="s">
        <v>217</v>
      </c>
    </row>
    <row r="197" spans="1:34" x14ac:dyDescent="0.3">
      <c r="A197" s="107" t="s">
        <v>215</v>
      </c>
      <c r="B197" s="108" t="s">
        <v>247</v>
      </c>
      <c r="C197" s="108" t="s">
        <v>248</v>
      </c>
      <c r="D197" s="109">
        <v>45653</v>
      </c>
      <c r="E197" s="110">
        <v>145250</v>
      </c>
      <c r="F197" s="108" t="s">
        <v>81</v>
      </c>
      <c r="G197" s="108" t="s">
        <v>33</v>
      </c>
      <c r="H197" s="110">
        <v>145250</v>
      </c>
      <c r="I197" s="110">
        <v>3500</v>
      </c>
      <c r="J197" s="111">
        <f t="shared" si="21"/>
        <v>2.4096385542168677</v>
      </c>
      <c r="K197" s="110">
        <v>7979</v>
      </c>
      <c r="L197" s="110">
        <f>H197-0</f>
        <v>145250</v>
      </c>
      <c r="M197" s="110">
        <v>7979</v>
      </c>
      <c r="N197" s="112">
        <f t="shared" si="22"/>
        <v>5.4932874354561102E-2</v>
      </c>
      <c r="O197" s="113">
        <v>37.11</v>
      </c>
      <c r="P197" s="114">
        <v>103.27</v>
      </c>
      <c r="Q197" s="115">
        <v>9.5000000000000001E-2</v>
      </c>
      <c r="R197" s="115">
        <v>9.5000000000000001E-2</v>
      </c>
      <c r="S197" s="110">
        <f t="shared" si="23"/>
        <v>3914.0393424952845</v>
      </c>
      <c r="T197" s="110">
        <f t="shared" si="24"/>
        <v>1528947.3684210526</v>
      </c>
      <c r="U197" s="116">
        <f t="shared" si="25"/>
        <v>35.099801846213332</v>
      </c>
      <c r="V197" s="115">
        <v>40</v>
      </c>
      <c r="W197" s="115">
        <f t="shared" si="26"/>
        <v>29050</v>
      </c>
      <c r="X197" s="115">
        <f t="shared" si="27"/>
        <v>726.25</v>
      </c>
      <c r="Y197" s="117" t="s">
        <v>191</v>
      </c>
      <c r="Z197" s="108" t="s">
        <v>35</v>
      </c>
      <c r="AA197" s="108" t="s">
        <v>35</v>
      </c>
      <c r="AB197" s="108" t="s">
        <v>215</v>
      </c>
      <c r="AC197" s="108">
        <v>0</v>
      </c>
      <c r="AD197" s="108">
        <v>1</v>
      </c>
      <c r="AE197" s="108" t="s">
        <v>37</v>
      </c>
      <c r="AF197" s="108" t="s">
        <v>35</v>
      </c>
      <c r="AG197" s="108" t="s">
        <v>61</v>
      </c>
      <c r="AH197" s="108" t="s">
        <v>217</v>
      </c>
    </row>
    <row r="198" spans="1:34" x14ac:dyDescent="0.3">
      <c r="A198" s="118" t="s">
        <v>215</v>
      </c>
      <c r="B198" s="119" t="s">
        <v>373</v>
      </c>
      <c r="C198" s="119" t="s">
        <v>374</v>
      </c>
      <c r="D198" s="120">
        <v>45334</v>
      </c>
      <c r="E198" s="121">
        <v>155000</v>
      </c>
      <c r="F198" s="119" t="s">
        <v>32</v>
      </c>
      <c r="G198" s="119" t="s">
        <v>33</v>
      </c>
      <c r="H198" s="121">
        <v>155000</v>
      </c>
      <c r="I198" s="121">
        <v>60400</v>
      </c>
      <c r="J198" s="122">
        <f t="shared" si="21"/>
        <v>38.967741935483872</v>
      </c>
      <c r="K198" s="121">
        <v>159311</v>
      </c>
      <c r="L198" s="121">
        <f>H198-151131</f>
        <v>3869</v>
      </c>
      <c r="M198" s="121">
        <v>8180</v>
      </c>
      <c r="N198" s="123">
        <f t="shared" si="22"/>
        <v>5.2774193548387097E-2</v>
      </c>
      <c r="O198" s="124">
        <v>38.04</v>
      </c>
      <c r="P198" s="125">
        <v>100</v>
      </c>
      <c r="Q198" s="126">
        <v>9.5000000000000001E-2</v>
      </c>
      <c r="R198" s="126">
        <v>9.5000000000000001E-2</v>
      </c>
      <c r="S198" s="121">
        <f t="shared" si="23"/>
        <v>101.70872765509989</v>
      </c>
      <c r="T198" s="121">
        <f t="shared" si="24"/>
        <v>40726.315789473687</v>
      </c>
      <c r="U198" s="127">
        <f t="shared" si="25"/>
        <v>0.93494756174182014</v>
      </c>
      <c r="V198" s="126">
        <v>42</v>
      </c>
      <c r="W198" s="126">
        <f t="shared" si="26"/>
        <v>31000</v>
      </c>
      <c r="X198" s="126">
        <f t="shared" si="27"/>
        <v>738.09523809523807</v>
      </c>
      <c r="Y198" s="128" t="s">
        <v>370</v>
      </c>
      <c r="Z198" s="119" t="s">
        <v>35</v>
      </c>
      <c r="AA198" s="119" t="s">
        <v>35</v>
      </c>
      <c r="AB198" s="119" t="s">
        <v>215</v>
      </c>
      <c r="AC198" s="119">
        <v>0</v>
      </c>
      <c r="AD198" s="119">
        <v>1</v>
      </c>
      <c r="AE198" s="119" t="s">
        <v>37</v>
      </c>
      <c r="AF198" s="119" t="s">
        <v>43</v>
      </c>
      <c r="AG198" s="119" t="s">
        <v>38</v>
      </c>
      <c r="AH198" s="119" t="s">
        <v>217</v>
      </c>
    </row>
    <row r="199" spans="1:34" x14ac:dyDescent="0.3">
      <c r="A199" s="107" t="s">
        <v>215</v>
      </c>
      <c r="B199" s="108" t="s">
        <v>253</v>
      </c>
      <c r="C199" s="108" t="s">
        <v>254</v>
      </c>
      <c r="D199" s="109">
        <v>45149</v>
      </c>
      <c r="E199" s="110">
        <v>148000</v>
      </c>
      <c r="F199" s="108" t="s">
        <v>32</v>
      </c>
      <c r="G199" s="108" t="s">
        <v>33</v>
      </c>
      <c r="H199" s="110">
        <v>148000</v>
      </c>
      <c r="I199" s="110">
        <v>52400</v>
      </c>
      <c r="J199" s="111">
        <f t="shared" si="21"/>
        <v>35.405405405405403</v>
      </c>
      <c r="K199" s="110">
        <v>137927</v>
      </c>
      <c r="L199" s="110">
        <f>H199-129626</f>
        <v>18374</v>
      </c>
      <c r="M199" s="110">
        <v>8301</v>
      </c>
      <c r="N199" s="112">
        <f t="shared" si="22"/>
        <v>5.6087837837837835E-2</v>
      </c>
      <c r="O199" s="113">
        <v>38.6</v>
      </c>
      <c r="P199" s="114">
        <v>111.8</v>
      </c>
      <c r="Q199" s="115">
        <v>0.10299999999999999</v>
      </c>
      <c r="R199" s="115">
        <v>0.10299999999999999</v>
      </c>
      <c r="S199" s="110">
        <f t="shared" si="23"/>
        <v>476.01036269430051</v>
      </c>
      <c r="T199" s="110">
        <f t="shared" si="24"/>
        <v>178388.3495145631</v>
      </c>
      <c r="U199" s="116">
        <f t="shared" si="25"/>
        <v>4.0952330007934599</v>
      </c>
      <c r="V199" s="115">
        <v>40</v>
      </c>
      <c r="W199" s="115">
        <f t="shared" si="26"/>
        <v>29600</v>
      </c>
      <c r="X199" s="115">
        <f t="shared" si="27"/>
        <v>740</v>
      </c>
      <c r="Y199" s="117" t="s">
        <v>191</v>
      </c>
      <c r="Z199" s="108" t="s">
        <v>35</v>
      </c>
      <c r="AA199" s="108" t="s">
        <v>35</v>
      </c>
      <c r="AB199" s="108" t="s">
        <v>215</v>
      </c>
      <c r="AC199" s="108">
        <v>0</v>
      </c>
      <c r="AD199" s="108">
        <v>1</v>
      </c>
      <c r="AE199" s="108" t="s">
        <v>37</v>
      </c>
      <c r="AF199" s="108" t="s">
        <v>43</v>
      </c>
      <c r="AG199" s="108" t="s">
        <v>38</v>
      </c>
      <c r="AH199" s="108" t="s">
        <v>217</v>
      </c>
    </row>
    <row r="200" spans="1:34" x14ac:dyDescent="0.3">
      <c r="A200" s="107" t="s">
        <v>215</v>
      </c>
      <c r="B200" s="108" t="s">
        <v>222</v>
      </c>
      <c r="C200" s="108" t="s">
        <v>223</v>
      </c>
      <c r="D200" s="109">
        <v>45170</v>
      </c>
      <c r="E200" s="110">
        <v>150000</v>
      </c>
      <c r="F200" s="108" t="s">
        <v>32</v>
      </c>
      <c r="G200" s="108" t="s">
        <v>33</v>
      </c>
      <c r="H200" s="110">
        <v>150000</v>
      </c>
      <c r="I200" s="110">
        <v>48000</v>
      </c>
      <c r="J200" s="111">
        <f t="shared" si="21"/>
        <v>32</v>
      </c>
      <c r="K200" s="110">
        <v>126938</v>
      </c>
      <c r="L200" s="110">
        <f>H200-118338</f>
        <v>31662</v>
      </c>
      <c r="M200" s="110">
        <v>8600</v>
      </c>
      <c r="N200" s="112">
        <f t="shared" si="22"/>
        <v>5.7333333333333333E-2</v>
      </c>
      <c r="O200" s="113">
        <v>40</v>
      </c>
      <c r="P200" s="114">
        <v>120</v>
      </c>
      <c r="Q200" s="115">
        <v>0.11</v>
      </c>
      <c r="R200" s="115">
        <v>0.11</v>
      </c>
      <c r="S200" s="110">
        <f t="shared" si="23"/>
        <v>791.55</v>
      </c>
      <c r="T200" s="110">
        <f t="shared" si="24"/>
        <v>287836.36363636365</v>
      </c>
      <c r="U200" s="116">
        <f t="shared" si="25"/>
        <v>6.6078136739293765</v>
      </c>
      <c r="V200" s="115">
        <v>40</v>
      </c>
      <c r="W200" s="115">
        <f t="shared" si="26"/>
        <v>30000</v>
      </c>
      <c r="X200" s="115">
        <f t="shared" si="27"/>
        <v>750</v>
      </c>
      <c r="Y200" s="117" t="s">
        <v>191</v>
      </c>
      <c r="Z200" s="108" t="s">
        <v>35</v>
      </c>
      <c r="AA200" s="108" t="s">
        <v>35</v>
      </c>
      <c r="AB200" s="108" t="s">
        <v>215</v>
      </c>
      <c r="AC200" s="108">
        <v>0</v>
      </c>
      <c r="AD200" s="108">
        <v>1</v>
      </c>
      <c r="AE200" s="108" t="s">
        <v>37</v>
      </c>
      <c r="AF200" s="108" t="s">
        <v>43</v>
      </c>
      <c r="AG200" s="108" t="s">
        <v>38</v>
      </c>
      <c r="AH200" s="108" t="s">
        <v>217</v>
      </c>
    </row>
    <row r="201" spans="1:34" x14ac:dyDescent="0.3">
      <c r="A201" s="118" t="s">
        <v>215</v>
      </c>
      <c r="B201" s="119" t="s">
        <v>403</v>
      </c>
      <c r="C201" s="119" t="s">
        <v>404</v>
      </c>
      <c r="D201" s="120">
        <v>45443</v>
      </c>
      <c r="E201" s="121">
        <v>155000</v>
      </c>
      <c r="F201" s="119" t="s">
        <v>32</v>
      </c>
      <c r="G201" s="119" t="s">
        <v>33</v>
      </c>
      <c r="H201" s="121">
        <v>155000</v>
      </c>
      <c r="I201" s="121">
        <v>49200</v>
      </c>
      <c r="J201" s="122">
        <f t="shared" si="21"/>
        <v>31.741935483870972</v>
      </c>
      <c r="K201" s="121">
        <v>116079</v>
      </c>
      <c r="L201" s="121">
        <f>H201-107128</f>
        <v>47872</v>
      </c>
      <c r="M201" s="121">
        <v>8951</v>
      </c>
      <c r="N201" s="123">
        <f t="shared" si="22"/>
        <v>5.7748387096774191E-2</v>
      </c>
      <c r="O201" s="124">
        <v>41.63</v>
      </c>
      <c r="P201" s="125">
        <v>130</v>
      </c>
      <c r="Q201" s="126">
        <v>0.11899999999999999</v>
      </c>
      <c r="R201" s="126">
        <v>0.11899999999999999</v>
      </c>
      <c r="S201" s="121">
        <f t="shared" si="23"/>
        <v>1149.939947153495</v>
      </c>
      <c r="T201" s="121">
        <f t="shared" si="24"/>
        <v>402285.71428571432</v>
      </c>
      <c r="U201" s="127">
        <f t="shared" si="25"/>
        <v>9.2352092352092363</v>
      </c>
      <c r="V201" s="126">
        <v>40</v>
      </c>
      <c r="W201" s="126">
        <f t="shared" si="26"/>
        <v>31000</v>
      </c>
      <c r="X201" s="126">
        <f t="shared" si="27"/>
        <v>775</v>
      </c>
      <c r="Y201" s="128" t="s">
        <v>370</v>
      </c>
      <c r="Z201" s="119" t="s">
        <v>35</v>
      </c>
      <c r="AA201" s="119" t="s">
        <v>35</v>
      </c>
      <c r="AB201" s="119" t="s">
        <v>215</v>
      </c>
      <c r="AC201" s="119">
        <v>0</v>
      </c>
      <c r="AD201" s="119">
        <v>1</v>
      </c>
      <c r="AE201" s="119" t="s">
        <v>42</v>
      </c>
      <c r="AF201" s="119" t="s">
        <v>43</v>
      </c>
      <c r="AG201" s="119" t="s">
        <v>38</v>
      </c>
      <c r="AH201" s="119" t="s">
        <v>217</v>
      </c>
    </row>
    <row r="202" spans="1:34" x14ac:dyDescent="0.3">
      <c r="A202" s="118" t="s">
        <v>215</v>
      </c>
      <c r="B202" s="119" t="s">
        <v>234</v>
      </c>
      <c r="C202" s="119" t="s">
        <v>235</v>
      </c>
      <c r="D202" s="120">
        <v>45239</v>
      </c>
      <c r="E202" s="121">
        <v>158000</v>
      </c>
      <c r="F202" s="119" t="s">
        <v>32</v>
      </c>
      <c r="G202" s="119" t="s">
        <v>33</v>
      </c>
      <c r="H202" s="121">
        <v>158000</v>
      </c>
      <c r="I202" s="121">
        <v>51700</v>
      </c>
      <c r="J202" s="122">
        <f t="shared" si="21"/>
        <v>32.721518987341774</v>
      </c>
      <c r="K202" s="121">
        <v>136183</v>
      </c>
      <c r="L202" s="121">
        <f>H202-127583</f>
        <v>30417</v>
      </c>
      <c r="M202" s="121">
        <v>8600</v>
      </c>
      <c r="N202" s="123">
        <f t="shared" si="22"/>
        <v>5.4430379746835442E-2</v>
      </c>
      <c r="O202" s="124">
        <v>40</v>
      </c>
      <c r="P202" s="125">
        <v>120</v>
      </c>
      <c r="Q202" s="126">
        <v>0.11</v>
      </c>
      <c r="R202" s="126">
        <v>0.11</v>
      </c>
      <c r="S202" s="121">
        <f t="shared" si="23"/>
        <v>760.42499999999995</v>
      </c>
      <c r="T202" s="121">
        <f t="shared" si="24"/>
        <v>276518.18181818182</v>
      </c>
      <c r="U202" s="127">
        <f t="shared" si="25"/>
        <v>6.3479839719509146</v>
      </c>
      <c r="V202" s="126">
        <v>40</v>
      </c>
      <c r="W202" s="126">
        <f t="shared" si="26"/>
        <v>31600</v>
      </c>
      <c r="X202" s="126">
        <f t="shared" si="27"/>
        <v>790</v>
      </c>
      <c r="Y202" s="128" t="s">
        <v>191</v>
      </c>
      <c r="Z202" s="119" t="s">
        <v>35</v>
      </c>
      <c r="AA202" s="119" t="s">
        <v>35</v>
      </c>
      <c r="AB202" s="119" t="s">
        <v>215</v>
      </c>
      <c r="AC202" s="119">
        <v>0</v>
      </c>
      <c r="AD202" s="119">
        <v>1</v>
      </c>
      <c r="AE202" s="119" t="s">
        <v>37</v>
      </c>
      <c r="AF202" s="119" t="s">
        <v>43</v>
      </c>
      <c r="AG202" s="119" t="s">
        <v>38</v>
      </c>
      <c r="AH202" s="119" t="s">
        <v>217</v>
      </c>
    </row>
    <row r="203" spans="1:34" x14ac:dyDescent="0.3">
      <c r="A203" s="107" t="s">
        <v>215</v>
      </c>
      <c r="B203" s="108" t="s">
        <v>377</v>
      </c>
      <c r="C203" s="108" t="s">
        <v>378</v>
      </c>
      <c r="D203" s="109">
        <v>45740</v>
      </c>
      <c r="E203" s="110">
        <v>158000</v>
      </c>
      <c r="F203" s="108" t="s">
        <v>32</v>
      </c>
      <c r="G203" s="108" t="s">
        <v>33</v>
      </c>
      <c r="H203" s="110">
        <v>158000</v>
      </c>
      <c r="I203" s="110">
        <v>60000</v>
      </c>
      <c r="J203" s="111">
        <f t="shared" si="21"/>
        <v>37.974683544303801</v>
      </c>
      <c r="K203" s="110">
        <v>136588</v>
      </c>
      <c r="L203" s="110">
        <f>H203-127917</f>
        <v>30083</v>
      </c>
      <c r="M203" s="110">
        <v>8671</v>
      </c>
      <c r="N203" s="112">
        <f t="shared" si="22"/>
        <v>5.4879746835443041E-2</v>
      </c>
      <c r="O203" s="113">
        <v>40.33</v>
      </c>
      <c r="P203" s="114">
        <v>122</v>
      </c>
      <c r="Q203" s="115">
        <v>0.112</v>
      </c>
      <c r="R203" s="115">
        <v>0.112</v>
      </c>
      <c r="S203" s="110">
        <f t="shared" si="23"/>
        <v>745.92115050830648</v>
      </c>
      <c r="T203" s="110">
        <f t="shared" si="24"/>
        <v>268598.21428571426</v>
      </c>
      <c r="U203" s="116">
        <f t="shared" si="25"/>
        <v>6.1661665354847166</v>
      </c>
      <c r="V203" s="115">
        <v>40</v>
      </c>
      <c r="W203" s="115">
        <f t="shared" si="26"/>
        <v>31600</v>
      </c>
      <c r="X203" s="115">
        <f t="shared" si="27"/>
        <v>790</v>
      </c>
      <c r="Y203" s="117" t="s">
        <v>370</v>
      </c>
      <c r="Z203" s="108" t="s">
        <v>35</v>
      </c>
      <c r="AA203" s="108" t="s">
        <v>35</v>
      </c>
      <c r="AB203" s="108" t="s">
        <v>215</v>
      </c>
      <c r="AC203" s="108">
        <v>0</v>
      </c>
      <c r="AD203" s="108">
        <v>1</v>
      </c>
      <c r="AE203" s="108" t="s">
        <v>42</v>
      </c>
      <c r="AF203" s="108" t="s">
        <v>35</v>
      </c>
      <c r="AG203" s="108" t="s">
        <v>38</v>
      </c>
      <c r="AH203" s="108" t="s">
        <v>217</v>
      </c>
    </row>
    <row r="204" spans="1:34" x14ac:dyDescent="0.3">
      <c r="A204" s="107" t="s">
        <v>215</v>
      </c>
      <c r="B204" s="108" t="s">
        <v>228</v>
      </c>
      <c r="C204" s="108" t="s">
        <v>229</v>
      </c>
      <c r="D204" s="109">
        <v>45268</v>
      </c>
      <c r="E204" s="110">
        <v>162000</v>
      </c>
      <c r="F204" s="108" t="s">
        <v>32</v>
      </c>
      <c r="G204" s="108" t="s">
        <v>33</v>
      </c>
      <c r="H204" s="110">
        <v>162000</v>
      </c>
      <c r="I204" s="110">
        <v>58800</v>
      </c>
      <c r="J204" s="111">
        <f t="shared" si="21"/>
        <v>36.296296296296298</v>
      </c>
      <c r="K204" s="110">
        <v>148615</v>
      </c>
      <c r="L204" s="110">
        <f>H204-140196</f>
        <v>21804</v>
      </c>
      <c r="M204" s="110">
        <v>8419</v>
      </c>
      <c r="N204" s="112">
        <f t="shared" si="22"/>
        <v>5.1969135802469132E-2</v>
      </c>
      <c r="O204" s="113">
        <v>39.15</v>
      </c>
      <c r="P204" s="114">
        <v>115</v>
      </c>
      <c r="Q204" s="115">
        <v>0.106</v>
      </c>
      <c r="R204" s="115">
        <v>0.106</v>
      </c>
      <c r="S204" s="110">
        <f t="shared" si="23"/>
        <v>556.93486590038322</v>
      </c>
      <c r="T204" s="110">
        <f t="shared" si="24"/>
        <v>205698.11320754717</v>
      </c>
      <c r="U204" s="116">
        <f t="shared" si="25"/>
        <v>4.7221789074276206</v>
      </c>
      <c r="V204" s="115">
        <v>40</v>
      </c>
      <c r="W204" s="115">
        <f t="shared" si="26"/>
        <v>32400</v>
      </c>
      <c r="X204" s="115">
        <f t="shared" si="27"/>
        <v>810</v>
      </c>
      <c r="Y204" s="117" t="s">
        <v>191</v>
      </c>
      <c r="Z204" s="108" t="s">
        <v>35</v>
      </c>
      <c r="AA204" s="108" t="s">
        <v>35</v>
      </c>
      <c r="AB204" s="108" t="s">
        <v>215</v>
      </c>
      <c r="AC204" s="108">
        <v>0</v>
      </c>
      <c r="AD204" s="108">
        <v>1</v>
      </c>
      <c r="AE204" s="108" t="s">
        <v>42</v>
      </c>
      <c r="AF204" s="108" t="s">
        <v>43</v>
      </c>
      <c r="AG204" s="108" t="s">
        <v>38</v>
      </c>
      <c r="AH204" s="108" t="s">
        <v>217</v>
      </c>
    </row>
    <row r="205" spans="1:34" x14ac:dyDescent="0.3">
      <c r="A205" s="107" t="s">
        <v>215</v>
      </c>
      <c r="B205" s="108" t="s">
        <v>230</v>
      </c>
      <c r="C205" s="108" t="s">
        <v>231</v>
      </c>
      <c r="D205" s="109">
        <v>45191</v>
      </c>
      <c r="E205" s="110">
        <v>167000</v>
      </c>
      <c r="F205" s="108" t="s">
        <v>32</v>
      </c>
      <c r="G205" s="108" t="s">
        <v>33</v>
      </c>
      <c r="H205" s="110">
        <v>167000</v>
      </c>
      <c r="I205" s="110">
        <v>54400</v>
      </c>
      <c r="J205" s="111">
        <f t="shared" si="21"/>
        <v>32.574850299401199</v>
      </c>
      <c r="K205" s="110">
        <v>137250</v>
      </c>
      <c r="L205" s="110">
        <f>H205-128831</f>
        <v>38169</v>
      </c>
      <c r="M205" s="110">
        <v>8419</v>
      </c>
      <c r="N205" s="112">
        <f t="shared" si="22"/>
        <v>5.0413173652694612E-2</v>
      </c>
      <c r="O205" s="113">
        <v>39.15</v>
      </c>
      <c r="P205" s="114">
        <v>115</v>
      </c>
      <c r="Q205" s="115">
        <v>0.106</v>
      </c>
      <c r="R205" s="115">
        <v>0.106</v>
      </c>
      <c r="S205" s="110">
        <f t="shared" si="23"/>
        <v>974.94252873563221</v>
      </c>
      <c r="T205" s="110">
        <f t="shared" si="24"/>
        <v>360084.90566037735</v>
      </c>
      <c r="U205" s="116">
        <f t="shared" si="25"/>
        <v>8.2664119756744103</v>
      </c>
      <c r="V205" s="115">
        <v>40</v>
      </c>
      <c r="W205" s="115">
        <f t="shared" si="26"/>
        <v>33400</v>
      </c>
      <c r="X205" s="115">
        <f t="shared" si="27"/>
        <v>835</v>
      </c>
      <c r="Y205" s="117" t="s">
        <v>191</v>
      </c>
      <c r="Z205" s="108" t="s">
        <v>35</v>
      </c>
      <c r="AA205" s="108" t="s">
        <v>35</v>
      </c>
      <c r="AB205" s="108" t="s">
        <v>215</v>
      </c>
      <c r="AC205" s="108">
        <v>0</v>
      </c>
      <c r="AD205" s="108">
        <v>1</v>
      </c>
      <c r="AE205" s="108" t="s">
        <v>37</v>
      </c>
      <c r="AF205" s="108" t="s">
        <v>43</v>
      </c>
      <c r="AG205" s="108" t="s">
        <v>38</v>
      </c>
      <c r="AH205" s="108" t="s">
        <v>217</v>
      </c>
    </row>
    <row r="206" spans="1:34" x14ac:dyDescent="0.3">
      <c r="A206" s="118" t="s">
        <v>215</v>
      </c>
      <c r="B206" s="119" t="s">
        <v>218</v>
      </c>
      <c r="C206" s="119" t="s">
        <v>219</v>
      </c>
      <c r="D206" s="120">
        <v>45544</v>
      </c>
      <c r="E206" s="121">
        <v>176000</v>
      </c>
      <c r="F206" s="119" t="s">
        <v>32</v>
      </c>
      <c r="G206" s="119" t="s">
        <v>33</v>
      </c>
      <c r="H206" s="121">
        <v>176000</v>
      </c>
      <c r="I206" s="121">
        <v>66100</v>
      </c>
      <c r="J206" s="122">
        <f t="shared" si="21"/>
        <v>37.55681818181818</v>
      </c>
      <c r="K206" s="121">
        <v>147690</v>
      </c>
      <c r="L206" s="121">
        <f>H206-138660</f>
        <v>37340</v>
      </c>
      <c r="M206" s="121">
        <v>9030</v>
      </c>
      <c r="N206" s="123">
        <f t="shared" si="22"/>
        <v>5.1306818181818183E-2</v>
      </c>
      <c r="O206" s="124">
        <v>42</v>
      </c>
      <c r="P206" s="125">
        <v>120</v>
      </c>
      <c r="Q206" s="126">
        <v>0.11600000000000001</v>
      </c>
      <c r="R206" s="126">
        <v>0.11600000000000001</v>
      </c>
      <c r="S206" s="121">
        <f t="shared" si="23"/>
        <v>889.04761904761904</v>
      </c>
      <c r="T206" s="121">
        <f t="shared" si="24"/>
        <v>321896.55172413791</v>
      </c>
      <c r="U206" s="127">
        <f t="shared" si="25"/>
        <v>7.3897280010132667</v>
      </c>
      <c r="V206" s="126">
        <v>42</v>
      </c>
      <c r="W206" s="126">
        <f t="shared" si="26"/>
        <v>35200</v>
      </c>
      <c r="X206" s="126">
        <f t="shared" si="27"/>
        <v>838.09523809523807</v>
      </c>
      <c r="Y206" s="128" t="s">
        <v>191</v>
      </c>
      <c r="Z206" s="119" t="s">
        <v>35</v>
      </c>
      <c r="AA206" s="119" t="s">
        <v>35</v>
      </c>
      <c r="AB206" s="119" t="s">
        <v>215</v>
      </c>
      <c r="AC206" s="119">
        <v>0</v>
      </c>
      <c r="AD206" s="119">
        <v>1</v>
      </c>
      <c r="AE206" s="119" t="s">
        <v>37</v>
      </c>
      <c r="AF206" s="119" t="s">
        <v>43</v>
      </c>
      <c r="AG206" s="119" t="s">
        <v>38</v>
      </c>
      <c r="AH206" s="119" t="s">
        <v>217</v>
      </c>
    </row>
    <row r="207" spans="1:34" x14ac:dyDescent="0.3">
      <c r="A207" s="118" t="s">
        <v>215</v>
      </c>
      <c r="B207" s="119" t="s">
        <v>240</v>
      </c>
      <c r="C207" s="119" t="s">
        <v>241</v>
      </c>
      <c r="D207" s="120">
        <v>45294</v>
      </c>
      <c r="E207" s="121">
        <v>180000</v>
      </c>
      <c r="F207" s="119" t="s">
        <v>32</v>
      </c>
      <c r="G207" s="119" t="s">
        <v>33</v>
      </c>
      <c r="H207" s="121">
        <v>180000</v>
      </c>
      <c r="I207" s="121">
        <v>76000</v>
      </c>
      <c r="J207" s="122">
        <f t="shared" si="21"/>
        <v>42.222222222222221</v>
      </c>
      <c r="K207" s="121">
        <v>201722</v>
      </c>
      <c r="L207" s="121">
        <f>H207-193594</f>
        <v>-13594</v>
      </c>
      <c r="M207" s="121">
        <v>8128</v>
      </c>
      <c r="N207" s="123">
        <f t="shared" si="22"/>
        <v>4.5155555555555553E-2</v>
      </c>
      <c r="O207" s="124">
        <v>37.799999999999997</v>
      </c>
      <c r="P207" s="125">
        <v>107.19</v>
      </c>
      <c r="Q207" s="126">
        <v>9.8000000000000004E-2</v>
      </c>
      <c r="R207" s="126">
        <v>9.8000000000000004E-2</v>
      </c>
      <c r="S207" s="121">
        <f t="shared" si="23"/>
        <v>-359.62962962962968</v>
      </c>
      <c r="T207" s="121">
        <f t="shared" si="24"/>
        <v>-138714.28571428571</v>
      </c>
      <c r="U207" s="127">
        <f t="shared" si="25"/>
        <v>-3.184441820805457</v>
      </c>
      <c r="V207" s="126">
        <v>40</v>
      </c>
      <c r="W207" s="126">
        <f t="shared" si="26"/>
        <v>36000</v>
      </c>
      <c r="X207" s="126">
        <f t="shared" si="27"/>
        <v>900</v>
      </c>
      <c r="Y207" s="128" t="s">
        <v>191</v>
      </c>
      <c r="Z207" s="119" t="s">
        <v>35</v>
      </c>
      <c r="AA207" s="119" t="s">
        <v>35</v>
      </c>
      <c r="AB207" s="119" t="s">
        <v>215</v>
      </c>
      <c r="AC207" s="119">
        <v>0</v>
      </c>
      <c r="AD207" s="119">
        <v>1</v>
      </c>
      <c r="AE207" s="119" t="s">
        <v>37</v>
      </c>
      <c r="AF207" s="119" t="s">
        <v>43</v>
      </c>
      <c r="AG207" s="119" t="s">
        <v>38</v>
      </c>
      <c r="AH207" s="119" t="s">
        <v>217</v>
      </c>
    </row>
    <row r="208" spans="1:34" x14ac:dyDescent="0.3">
      <c r="A208" s="118" t="s">
        <v>215</v>
      </c>
      <c r="B208" s="119" t="s">
        <v>224</v>
      </c>
      <c r="C208" s="119" t="s">
        <v>225</v>
      </c>
      <c r="D208" s="120">
        <v>45672</v>
      </c>
      <c r="E208" s="121">
        <v>180000</v>
      </c>
      <c r="F208" s="119" t="s">
        <v>32</v>
      </c>
      <c r="G208" s="119" t="s">
        <v>33</v>
      </c>
      <c r="H208" s="121">
        <v>180000</v>
      </c>
      <c r="I208" s="121">
        <v>60300</v>
      </c>
      <c r="J208" s="122">
        <f t="shared" si="21"/>
        <v>33.5</v>
      </c>
      <c r="K208" s="121">
        <v>140302</v>
      </c>
      <c r="L208" s="121">
        <f>H208-131702</f>
        <v>48298</v>
      </c>
      <c r="M208" s="121">
        <v>8600</v>
      </c>
      <c r="N208" s="123">
        <f t="shared" si="22"/>
        <v>4.777777777777778E-2</v>
      </c>
      <c r="O208" s="124">
        <v>40</v>
      </c>
      <c r="P208" s="125">
        <v>120</v>
      </c>
      <c r="Q208" s="126">
        <v>0.11</v>
      </c>
      <c r="R208" s="126">
        <v>0.11</v>
      </c>
      <c r="S208" s="121">
        <f t="shared" si="23"/>
        <v>1207.45</v>
      </c>
      <c r="T208" s="121">
        <f t="shared" si="24"/>
        <v>439072.72727272729</v>
      </c>
      <c r="U208" s="127">
        <f t="shared" si="25"/>
        <v>10.079722848317891</v>
      </c>
      <c r="V208" s="126">
        <v>40</v>
      </c>
      <c r="W208" s="126">
        <f t="shared" si="26"/>
        <v>36000</v>
      </c>
      <c r="X208" s="126">
        <f t="shared" si="27"/>
        <v>900</v>
      </c>
      <c r="Y208" s="128" t="s">
        <v>191</v>
      </c>
      <c r="Z208" s="119" t="s">
        <v>35</v>
      </c>
      <c r="AA208" s="119" t="s">
        <v>35</v>
      </c>
      <c r="AB208" s="119" t="s">
        <v>215</v>
      </c>
      <c r="AC208" s="119">
        <v>0</v>
      </c>
      <c r="AD208" s="119">
        <v>1</v>
      </c>
      <c r="AE208" s="119" t="s">
        <v>37</v>
      </c>
      <c r="AF208" s="119" t="s">
        <v>35</v>
      </c>
      <c r="AG208" s="119" t="s">
        <v>38</v>
      </c>
      <c r="AH208" s="119" t="s">
        <v>217</v>
      </c>
    </row>
    <row r="209" spans="1:34" x14ac:dyDescent="0.3">
      <c r="A209" s="118" t="s">
        <v>215</v>
      </c>
      <c r="B209" s="119" t="s">
        <v>213</v>
      </c>
      <c r="C209" s="119" t="s">
        <v>214</v>
      </c>
      <c r="D209" s="120">
        <v>45191</v>
      </c>
      <c r="E209" s="121">
        <v>190000</v>
      </c>
      <c r="F209" s="119" t="s">
        <v>32</v>
      </c>
      <c r="G209" s="119" t="s">
        <v>33</v>
      </c>
      <c r="H209" s="121">
        <v>190000</v>
      </c>
      <c r="I209" s="121">
        <v>56800</v>
      </c>
      <c r="J209" s="122">
        <f t="shared" si="21"/>
        <v>29.894736842105264</v>
      </c>
      <c r="K209" s="121">
        <v>143434</v>
      </c>
      <c r="L209" s="121">
        <f>H209-134139</f>
        <v>55861</v>
      </c>
      <c r="M209" s="121">
        <v>9295</v>
      </c>
      <c r="N209" s="123">
        <f t="shared" si="22"/>
        <v>4.8921052631578948E-2</v>
      </c>
      <c r="O209" s="124">
        <v>43.23</v>
      </c>
      <c r="P209" s="125">
        <v>140.19</v>
      </c>
      <c r="Q209" s="126">
        <v>0.129</v>
      </c>
      <c r="R209" s="126">
        <v>0.129</v>
      </c>
      <c r="S209" s="121">
        <f t="shared" si="23"/>
        <v>1292.1813555401343</v>
      </c>
      <c r="T209" s="121">
        <f t="shared" si="24"/>
        <v>433031.00775193796</v>
      </c>
      <c r="U209" s="127">
        <f t="shared" si="25"/>
        <v>9.9410240530747931</v>
      </c>
      <c r="V209" s="126">
        <v>40</v>
      </c>
      <c r="W209" s="126">
        <f t="shared" si="26"/>
        <v>38000</v>
      </c>
      <c r="X209" s="126">
        <f t="shared" si="27"/>
        <v>950</v>
      </c>
      <c r="Y209" s="128" t="s">
        <v>191</v>
      </c>
      <c r="Z209" s="119" t="s">
        <v>35</v>
      </c>
      <c r="AA209" s="119" t="s">
        <v>35</v>
      </c>
      <c r="AB209" s="119" t="s">
        <v>215</v>
      </c>
      <c r="AC209" s="119">
        <v>0</v>
      </c>
      <c r="AD209" s="119">
        <v>1</v>
      </c>
      <c r="AE209" s="119" t="s">
        <v>216</v>
      </c>
      <c r="AF209" s="119" t="s">
        <v>43</v>
      </c>
      <c r="AG209" s="119" t="s">
        <v>38</v>
      </c>
      <c r="AH209" s="119" t="s">
        <v>217</v>
      </c>
    </row>
    <row r="210" spans="1:34" x14ac:dyDescent="0.3">
      <c r="A210" s="107" t="s">
        <v>358</v>
      </c>
      <c r="B210" s="108" t="s">
        <v>359</v>
      </c>
      <c r="C210" s="108" t="s">
        <v>360</v>
      </c>
      <c r="D210" s="109">
        <v>45574</v>
      </c>
      <c r="E210" s="110">
        <v>146000</v>
      </c>
      <c r="F210" s="108" t="s">
        <v>32</v>
      </c>
      <c r="G210" s="108" t="s">
        <v>33</v>
      </c>
      <c r="H210" s="110">
        <v>146000</v>
      </c>
      <c r="I210" s="110">
        <v>79500</v>
      </c>
      <c r="J210" s="111">
        <f t="shared" si="21"/>
        <v>54.452054794520542</v>
      </c>
      <c r="K210" s="110">
        <v>182478</v>
      </c>
      <c r="L210" s="110">
        <f>H210-168502</f>
        <v>-22502</v>
      </c>
      <c r="M210" s="110">
        <v>13976</v>
      </c>
      <c r="N210" s="112">
        <f t="shared" si="22"/>
        <v>9.5726027397260272E-2</v>
      </c>
      <c r="O210" s="113">
        <v>82.2</v>
      </c>
      <c r="P210" s="114">
        <v>132</v>
      </c>
      <c r="Q210" s="115">
        <v>0.24199999999999999</v>
      </c>
      <c r="R210" s="115">
        <v>0.24199999999999999</v>
      </c>
      <c r="S210" s="110">
        <f t="shared" si="23"/>
        <v>-273.74695863746956</v>
      </c>
      <c r="T210" s="110">
        <f t="shared" si="24"/>
        <v>-92983.47107438017</v>
      </c>
      <c r="U210" s="116">
        <f t="shared" si="25"/>
        <v>-2.1346067739756696</v>
      </c>
      <c r="V210" s="115">
        <v>80</v>
      </c>
      <c r="W210" s="115">
        <f t="shared" si="26"/>
        <v>29200</v>
      </c>
      <c r="X210" s="115">
        <f t="shared" si="27"/>
        <v>365</v>
      </c>
      <c r="Y210" s="117" t="s">
        <v>357</v>
      </c>
      <c r="Z210" s="108" t="s">
        <v>35</v>
      </c>
      <c r="AA210" s="108" t="s">
        <v>35</v>
      </c>
      <c r="AB210" s="108" t="s">
        <v>358</v>
      </c>
      <c r="AC210" s="108">
        <v>0</v>
      </c>
      <c r="AD210" s="108">
        <v>1</v>
      </c>
      <c r="AE210" s="108" t="s">
        <v>42</v>
      </c>
      <c r="AF210" s="108" t="s">
        <v>43</v>
      </c>
      <c r="AG210" s="108" t="s">
        <v>38</v>
      </c>
      <c r="AH210" s="108" t="s">
        <v>92</v>
      </c>
    </row>
    <row r="211" spans="1:34" x14ac:dyDescent="0.3">
      <c r="A211" s="107" t="s">
        <v>358</v>
      </c>
      <c r="B211" s="108" t="s">
        <v>410</v>
      </c>
      <c r="C211" s="108" t="s">
        <v>411</v>
      </c>
      <c r="D211" s="109">
        <v>45135</v>
      </c>
      <c r="E211" s="110">
        <v>168000</v>
      </c>
      <c r="F211" s="108" t="s">
        <v>32</v>
      </c>
      <c r="G211" s="108" t="s">
        <v>33</v>
      </c>
      <c r="H211" s="110">
        <v>168000</v>
      </c>
      <c r="I211" s="110">
        <v>65700</v>
      </c>
      <c r="J211" s="111">
        <f t="shared" si="21"/>
        <v>39.107142857142854</v>
      </c>
      <c r="K211" s="110">
        <v>178254</v>
      </c>
      <c r="L211" s="110">
        <f>H211-162591</f>
        <v>5409</v>
      </c>
      <c r="M211" s="110">
        <v>15663</v>
      </c>
      <c r="N211" s="112">
        <f t="shared" si="22"/>
        <v>9.3232142857142861E-2</v>
      </c>
      <c r="O211" s="113">
        <v>92.13</v>
      </c>
      <c r="P211" s="114">
        <v>131.01</v>
      </c>
      <c r="Q211" s="115">
        <v>0.27100000000000002</v>
      </c>
      <c r="R211" s="115">
        <v>0.27100000000000002</v>
      </c>
      <c r="S211" s="110">
        <f t="shared" si="23"/>
        <v>58.710517746662326</v>
      </c>
      <c r="T211" s="110">
        <f t="shared" si="24"/>
        <v>19959.409594095938</v>
      </c>
      <c r="U211" s="116">
        <f t="shared" si="25"/>
        <v>0.45820499527309316</v>
      </c>
      <c r="V211" s="115">
        <v>90</v>
      </c>
      <c r="W211" s="115">
        <f t="shared" si="26"/>
        <v>33600</v>
      </c>
      <c r="X211" s="115">
        <f t="shared" si="27"/>
        <v>373.33333333333331</v>
      </c>
      <c r="Y211" s="117" t="s">
        <v>409</v>
      </c>
      <c r="Z211" s="108" t="s">
        <v>35</v>
      </c>
      <c r="AA211" s="108" t="s">
        <v>35</v>
      </c>
      <c r="AB211" s="108" t="s">
        <v>358</v>
      </c>
      <c r="AC211" s="108">
        <v>0</v>
      </c>
      <c r="AD211" s="108">
        <v>1</v>
      </c>
      <c r="AE211" s="108" t="s">
        <v>412</v>
      </c>
      <c r="AF211" s="108" t="s">
        <v>43</v>
      </c>
      <c r="AG211" s="108" t="s">
        <v>38</v>
      </c>
      <c r="AH211" s="108" t="s">
        <v>92</v>
      </c>
    </row>
    <row r="212" spans="1:34" x14ac:dyDescent="0.3">
      <c r="A212" s="118" t="s">
        <v>358</v>
      </c>
      <c r="B212" s="119" t="s">
        <v>413</v>
      </c>
      <c r="C212" s="119" t="s">
        <v>414</v>
      </c>
      <c r="D212" s="120">
        <v>45294</v>
      </c>
      <c r="E212" s="121">
        <v>195000</v>
      </c>
      <c r="F212" s="119" t="s">
        <v>32</v>
      </c>
      <c r="G212" s="119" t="s">
        <v>33</v>
      </c>
      <c r="H212" s="121">
        <v>195000</v>
      </c>
      <c r="I212" s="121">
        <v>69300</v>
      </c>
      <c r="J212" s="122">
        <f t="shared" si="21"/>
        <v>35.53846153846154</v>
      </c>
      <c r="K212" s="121">
        <v>188584</v>
      </c>
      <c r="L212" s="121">
        <f>H212-176358</f>
        <v>18642</v>
      </c>
      <c r="M212" s="121">
        <v>12226</v>
      </c>
      <c r="N212" s="123">
        <f t="shared" si="22"/>
        <v>6.2697435897435899E-2</v>
      </c>
      <c r="O212" s="124">
        <v>71.91</v>
      </c>
      <c r="P212" s="125">
        <v>135</v>
      </c>
      <c r="Q212" s="126">
        <v>0.19700000000000001</v>
      </c>
      <c r="R212" s="126">
        <v>0.19700000000000001</v>
      </c>
      <c r="S212" s="121">
        <f t="shared" si="23"/>
        <v>259.24071756362122</v>
      </c>
      <c r="T212" s="121">
        <f t="shared" si="24"/>
        <v>94629.441624365485</v>
      </c>
      <c r="U212" s="127">
        <f t="shared" si="25"/>
        <v>2.1723930584105942</v>
      </c>
      <c r="V212" s="126">
        <v>80.459999999999994</v>
      </c>
      <c r="W212" s="126">
        <f t="shared" si="26"/>
        <v>39000</v>
      </c>
      <c r="X212" s="126">
        <f t="shared" si="27"/>
        <v>484.71290082028338</v>
      </c>
      <c r="Y212" s="128" t="s">
        <v>409</v>
      </c>
      <c r="Z212" s="119" t="s">
        <v>35</v>
      </c>
      <c r="AA212" s="119" t="s">
        <v>35</v>
      </c>
      <c r="AB212" s="119" t="s">
        <v>358</v>
      </c>
      <c r="AC212" s="119">
        <v>0</v>
      </c>
      <c r="AD212" s="119">
        <v>1</v>
      </c>
      <c r="AE212" s="119" t="s">
        <v>42</v>
      </c>
      <c r="AF212" s="119" t="s">
        <v>43</v>
      </c>
      <c r="AG212" s="119" t="s">
        <v>38</v>
      </c>
      <c r="AH212" s="119" t="s">
        <v>92</v>
      </c>
    </row>
    <row r="213" spans="1:34" x14ac:dyDescent="0.3">
      <c r="A213" s="118" t="s">
        <v>358</v>
      </c>
      <c r="B213" s="119" t="s">
        <v>415</v>
      </c>
      <c r="C213" s="119" t="s">
        <v>416</v>
      </c>
      <c r="D213" s="120">
        <v>45538</v>
      </c>
      <c r="E213" s="121">
        <v>110000</v>
      </c>
      <c r="F213" s="119" t="s">
        <v>32</v>
      </c>
      <c r="G213" s="119" t="s">
        <v>33</v>
      </c>
      <c r="H213" s="121">
        <v>110000</v>
      </c>
      <c r="I213" s="121">
        <v>48900</v>
      </c>
      <c r="J213" s="122">
        <f t="shared" si="21"/>
        <v>44.454545454545453</v>
      </c>
      <c r="K213" s="121">
        <v>117315</v>
      </c>
      <c r="L213" s="121">
        <f>H213-109424</f>
        <v>576</v>
      </c>
      <c r="M213" s="121">
        <v>7891</v>
      </c>
      <c r="N213" s="123">
        <f t="shared" si="22"/>
        <v>7.173636363636364E-2</v>
      </c>
      <c r="O213" s="124">
        <v>46.41</v>
      </c>
      <c r="P213" s="125">
        <v>133.01</v>
      </c>
      <c r="Q213" s="126">
        <v>0.13700000000000001</v>
      </c>
      <c r="R213" s="126">
        <v>0.13700000000000001</v>
      </c>
      <c r="S213" s="121">
        <f t="shared" si="23"/>
        <v>12.411118293471235</v>
      </c>
      <c r="T213" s="121">
        <f t="shared" si="24"/>
        <v>4204.379562043795</v>
      </c>
      <c r="U213" s="127">
        <f t="shared" si="25"/>
        <v>9.6519273692465449E-2</v>
      </c>
      <c r="V213" s="126">
        <v>45</v>
      </c>
      <c r="W213" s="126">
        <f t="shared" si="26"/>
        <v>22000</v>
      </c>
      <c r="X213" s="126">
        <f t="shared" si="27"/>
        <v>488.88888888888891</v>
      </c>
      <c r="Y213" s="128" t="s">
        <v>409</v>
      </c>
      <c r="Z213" s="119" t="s">
        <v>35</v>
      </c>
      <c r="AA213" s="119" t="s">
        <v>35</v>
      </c>
      <c r="AB213" s="119" t="s">
        <v>358</v>
      </c>
      <c r="AC213" s="119">
        <v>0</v>
      </c>
      <c r="AD213" s="119">
        <v>1</v>
      </c>
      <c r="AE213" s="119" t="s">
        <v>37</v>
      </c>
      <c r="AF213" s="119" t="s">
        <v>43</v>
      </c>
      <c r="AG213" s="119" t="s">
        <v>38</v>
      </c>
      <c r="AH213" s="119" t="s">
        <v>92</v>
      </c>
    </row>
    <row r="214" spans="1:34" x14ac:dyDescent="0.3">
      <c r="A214" s="107" t="s">
        <v>358</v>
      </c>
      <c r="B214" s="108" t="s">
        <v>425</v>
      </c>
      <c r="C214" s="108" t="s">
        <v>426</v>
      </c>
      <c r="D214" s="109">
        <v>45114</v>
      </c>
      <c r="E214" s="110">
        <v>165000</v>
      </c>
      <c r="F214" s="108" t="s">
        <v>32</v>
      </c>
      <c r="G214" s="108" t="s">
        <v>33</v>
      </c>
      <c r="H214" s="110">
        <v>165000</v>
      </c>
      <c r="I214" s="110">
        <v>56100</v>
      </c>
      <c r="J214" s="111">
        <f t="shared" si="21"/>
        <v>34</v>
      </c>
      <c r="K214" s="110">
        <v>150166</v>
      </c>
      <c r="L214" s="110">
        <f>H214-142100</f>
        <v>22900</v>
      </c>
      <c r="M214" s="110">
        <v>8066</v>
      </c>
      <c r="N214" s="112">
        <f t="shared" si="22"/>
        <v>4.8884848484848482E-2</v>
      </c>
      <c r="O214" s="113">
        <v>47.44</v>
      </c>
      <c r="P214" s="114">
        <v>93.07</v>
      </c>
      <c r="Q214" s="115">
        <v>0.11700000000000001</v>
      </c>
      <c r="R214" s="115">
        <v>0.11700000000000001</v>
      </c>
      <c r="S214" s="110">
        <f t="shared" si="23"/>
        <v>482.71500843170321</v>
      </c>
      <c r="T214" s="110">
        <f t="shared" si="24"/>
        <v>195726.49572649572</v>
      </c>
      <c r="U214" s="116">
        <f t="shared" si="25"/>
        <v>4.4932620690196448</v>
      </c>
      <c r="V214" s="115">
        <v>54.98</v>
      </c>
      <c r="W214" s="115">
        <f t="shared" si="26"/>
        <v>33000</v>
      </c>
      <c r="X214" s="115">
        <f t="shared" si="27"/>
        <v>600.21826118588581</v>
      </c>
      <c r="Y214" s="117" t="s">
        <v>409</v>
      </c>
      <c r="Z214" s="108" t="s">
        <v>35</v>
      </c>
      <c r="AA214" s="108" t="s">
        <v>35</v>
      </c>
      <c r="AB214" s="108" t="s">
        <v>358</v>
      </c>
      <c r="AC214" s="108">
        <v>0</v>
      </c>
      <c r="AD214" s="108">
        <v>1</v>
      </c>
      <c r="AE214" s="108" t="s">
        <v>37</v>
      </c>
      <c r="AF214" s="108" t="s">
        <v>43</v>
      </c>
      <c r="AG214" s="108" t="s">
        <v>38</v>
      </c>
      <c r="AH214" s="108" t="s">
        <v>92</v>
      </c>
    </row>
    <row r="215" spans="1:34" x14ac:dyDescent="0.3">
      <c r="A215" s="118" t="s">
        <v>358</v>
      </c>
      <c r="B215" s="119" t="s">
        <v>365</v>
      </c>
      <c r="C215" s="119" t="s">
        <v>366</v>
      </c>
      <c r="D215" s="120">
        <v>45434</v>
      </c>
      <c r="E215" s="121">
        <v>275000</v>
      </c>
      <c r="F215" s="119" t="s">
        <v>32</v>
      </c>
      <c r="G215" s="119" t="s">
        <v>33</v>
      </c>
      <c r="H215" s="121">
        <v>275000</v>
      </c>
      <c r="I215" s="121">
        <v>95500</v>
      </c>
      <c r="J215" s="122">
        <f t="shared" si="21"/>
        <v>34.727272727272727</v>
      </c>
      <c r="K215" s="121">
        <v>243220</v>
      </c>
      <c r="L215" s="121">
        <f>H215-223548</f>
        <v>51452</v>
      </c>
      <c r="M215" s="121">
        <v>19672</v>
      </c>
      <c r="N215" s="123">
        <f t="shared" si="22"/>
        <v>7.1534545454545448E-2</v>
      </c>
      <c r="O215" s="124">
        <v>115.71</v>
      </c>
      <c r="P215" s="125">
        <v>219.05</v>
      </c>
      <c r="Q215" s="126">
        <v>0.437</v>
      </c>
      <c r="R215" s="126">
        <v>0.437</v>
      </c>
      <c r="S215" s="121">
        <f t="shared" si="23"/>
        <v>444.6633825944171</v>
      </c>
      <c r="T215" s="121">
        <f t="shared" si="24"/>
        <v>117739.13043478261</v>
      </c>
      <c r="U215" s="127">
        <f t="shared" si="25"/>
        <v>2.7029185131951929</v>
      </c>
      <c r="V215" s="126">
        <v>88.35</v>
      </c>
      <c r="W215" s="126">
        <f t="shared" si="26"/>
        <v>55000</v>
      </c>
      <c r="X215" s="126">
        <f t="shared" si="27"/>
        <v>622.52405206564799</v>
      </c>
      <c r="Y215" s="128" t="s">
        <v>367</v>
      </c>
      <c r="Z215" s="119" t="s">
        <v>35</v>
      </c>
      <c r="AA215" s="119" t="s">
        <v>35</v>
      </c>
      <c r="AB215" s="119" t="s">
        <v>358</v>
      </c>
      <c r="AC215" s="119">
        <v>0</v>
      </c>
      <c r="AD215" s="119">
        <v>1</v>
      </c>
      <c r="AE215" s="119" t="s">
        <v>42</v>
      </c>
      <c r="AF215" s="119" t="s">
        <v>43</v>
      </c>
      <c r="AG215" s="119" t="s">
        <v>38</v>
      </c>
      <c r="AH215" s="119" t="s">
        <v>92</v>
      </c>
    </row>
    <row r="216" spans="1:34" x14ac:dyDescent="0.3">
      <c r="A216" s="118" t="s">
        <v>358</v>
      </c>
      <c r="B216" s="119" t="s">
        <v>423</v>
      </c>
      <c r="C216" s="119" t="s">
        <v>424</v>
      </c>
      <c r="D216" s="120">
        <v>45268</v>
      </c>
      <c r="E216" s="121">
        <v>158000</v>
      </c>
      <c r="F216" s="119" t="s">
        <v>32</v>
      </c>
      <c r="G216" s="119" t="s">
        <v>33</v>
      </c>
      <c r="H216" s="121">
        <v>158000</v>
      </c>
      <c r="I216" s="121">
        <v>51200</v>
      </c>
      <c r="J216" s="122">
        <f t="shared" si="21"/>
        <v>32.405063291139243</v>
      </c>
      <c r="K216" s="121">
        <v>137216</v>
      </c>
      <c r="L216" s="121">
        <f>H216-129561</f>
        <v>28439</v>
      </c>
      <c r="M216" s="121">
        <v>7655</v>
      </c>
      <c r="N216" s="123">
        <f t="shared" si="22"/>
        <v>4.8449367088607594E-2</v>
      </c>
      <c r="O216" s="124">
        <v>45.02</v>
      </c>
      <c r="P216" s="125">
        <v>110</v>
      </c>
      <c r="Q216" s="126">
        <v>0.121</v>
      </c>
      <c r="R216" s="126">
        <v>0.121</v>
      </c>
      <c r="S216" s="121">
        <f t="shared" si="23"/>
        <v>631.69702354509104</v>
      </c>
      <c r="T216" s="121">
        <f t="shared" si="24"/>
        <v>235033.05785123969</v>
      </c>
      <c r="U216" s="127">
        <f t="shared" si="25"/>
        <v>5.3956165714242355</v>
      </c>
      <c r="V216" s="126">
        <v>48</v>
      </c>
      <c r="W216" s="126">
        <f t="shared" si="26"/>
        <v>31600</v>
      </c>
      <c r="X216" s="126">
        <f t="shared" si="27"/>
        <v>658.33333333333337</v>
      </c>
      <c r="Y216" s="128" t="s">
        <v>409</v>
      </c>
      <c r="Z216" s="119" t="s">
        <v>35</v>
      </c>
      <c r="AA216" s="119" t="s">
        <v>35</v>
      </c>
      <c r="AB216" s="119" t="s">
        <v>358</v>
      </c>
      <c r="AC216" s="119">
        <v>0</v>
      </c>
      <c r="AD216" s="119">
        <v>1</v>
      </c>
      <c r="AE216" s="119" t="s">
        <v>37</v>
      </c>
      <c r="AF216" s="119" t="s">
        <v>43</v>
      </c>
      <c r="AG216" s="119" t="s">
        <v>38</v>
      </c>
      <c r="AH216" s="119" t="s">
        <v>92</v>
      </c>
    </row>
    <row r="217" spans="1:34" x14ac:dyDescent="0.3">
      <c r="A217" s="118" t="s">
        <v>358</v>
      </c>
      <c r="B217" s="119" t="s">
        <v>355</v>
      </c>
      <c r="C217" s="119" t="s">
        <v>356</v>
      </c>
      <c r="D217" s="120">
        <v>45436</v>
      </c>
      <c r="E217" s="121">
        <v>134500</v>
      </c>
      <c r="F217" s="119" t="s">
        <v>32</v>
      </c>
      <c r="G217" s="119" t="s">
        <v>33</v>
      </c>
      <c r="H217" s="121">
        <v>134500</v>
      </c>
      <c r="I217" s="121">
        <v>42600</v>
      </c>
      <c r="J217" s="122">
        <f t="shared" si="21"/>
        <v>31.672862453531597</v>
      </c>
      <c r="K217" s="121">
        <v>94380</v>
      </c>
      <c r="L217" s="121">
        <f>H217-87587</f>
        <v>46913</v>
      </c>
      <c r="M217" s="121">
        <v>6793</v>
      </c>
      <c r="N217" s="123">
        <f t="shared" si="22"/>
        <v>5.0505576208178436E-2</v>
      </c>
      <c r="O217" s="124">
        <v>39.950000000000003</v>
      </c>
      <c r="P217" s="125">
        <v>124.75</v>
      </c>
      <c r="Q217" s="126">
        <v>0.115</v>
      </c>
      <c r="R217" s="126">
        <v>0.115</v>
      </c>
      <c r="S217" s="121">
        <f t="shared" si="23"/>
        <v>1174.2928660826033</v>
      </c>
      <c r="T217" s="121">
        <f t="shared" si="24"/>
        <v>407939.13043478259</v>
      </c>
      <c r="U217" s="127">
        <f t="shared" si="25"/>
        <v>9.3649938116341271</v>
      </c>
      <c r="V217" s="126">
        <v>40</v>
      </c>
      <c r="W217" s="126">
        <f t="shared" si="26"/>
        <v>26900</v>
      </c>
      <c r="X217" s="126">
        <f t="shared" si="27"/>
        <v>672.5</v>
      </c>
      <c r="Y217" s="128" t="s">
        <v>357</v>
      </c>
      <c r="Z217" s="119" t="s">
        <v>35</v>
      </c>
      <c r="AA217" s="119" t="s">
        <v>35</v>
      </c>
      <c r="AB217" s="119" t="s">
        <v>358</v>
      </c>
      <c r="AC217" s="119">
        <v>0</v>
      </c>
      <c r="AD217" s="119">
        <v>1</v>
      </c>
      <c r="AE217" s="119" t="s">
        <v>37</v>
      </c>
      <c r="AF217" s="119" t="s">
        <v>43</v>
      </c>
      <c r="AG217" s="119" t="s">
        <v>38</v>
      </c>
      <c r="AH217" s="119" t="s">
        <v>92</v>
      </c>
    </row>
    <row r="218" spans="1:34" x14ac:dyDescent="0.3">
      <c r="A218" s="118" t="s">
        <v>358</v>
      </c>
      <c r="B218" s="119" t="s">
        <v>363</v>
      </c>
      <c r="C218" s="119" t="s">
        <v>364</v>
      </c>
      <c r="D218" s="120">
        <v>45196</v>
      </c>
      <c r="E218" s="121">
        <v>155000</v>
      </c>
      <c r="F218" s="119" t="s">
        <v>32</v>
      </c>
      <c r="G218" s="119" t="s">
        <v>33</v>
      </c>
      <c r="H218" s="121">
        <v>155000</v>
      </c>
      <c r="I218" s="121">
        <v>49400</v>
      </c>
      <c r="J218" s="122">
        <f t="shared" si="21"/>
        <v>31.870967741935484</v>
      </c>
      <c r="K218" s="121">
        <v>142323</v>
      </c>
      <c r="L218" s="121">
        <f>H218-135482</f>
        <v>19518</v>
      </c>
      <c r="M218" s="121">
        <v>6841</v>
      </c>
      <c r="N218" s="123">
        <f t="shared" si="22"/>
        <v>4.4135483870967739E-2</v>
      </c>
      <c r="O218" s="124">
        <v>40.24</v>
      </c>
      <c r="P218" s="125">
        <v>126.52</v>
      </c>
      <c r="Q218" s="126">
        <v>0.11600000000000001</v>
      </c>
      <c r="R218" s="126">
        <v>0.11600000000000001</v>
      </c>
      <c r="S218" s="121">
        <f t="shared" si="23"/>
        <v>485.03976143141153</v>
      </c>
      <c r="T218" s="121">
        <f t="shared" si="24"/>
        <v>168258.62068965516</v>
      </c>
      <c r="U218" s="127">
        <f t="shared" si="25"/>
        <v>3.8626864253823499</v>
      </c>
      <c r="V218" s="126">
        <v>40</v>
      </c>
      <c r="W218" s="126">
        <f t="shared" si="26"/>
        <v>31000</v>
      </c>
      <c r="X218" s="126">
        <f t="shared" si="27"/>
        <v>775</v>
      </c>
      <c r="Y218" s="128" t="s">
        <v>357</v>
      </c>
      <c r="Z218" s="119" t="s">
        <v>35</v>
      </c>
      <c r="AA218" s="119" t="s">
        <v>35</v>
      </c>
      <c r="AB218" s="119" t="s">
        <v>358</v>
      </c>
      <c r="AC218" s="119">
        <v>0</v>
      </c>
      <c r="AD218" s="119">
        <v>1</v>
      </c>
      <c r="AE218" s="119" t="s">
        <v>37</v>
      </c>
      <c r="AF218" s="119" t="s">
        <v>43</v>
      </c>
      <c r="AG218" s="119" t="s">
        <v>38</v>
      </c>
      <c r="AH218" s="119" t="s">
        <v>92</v>
      </c>
    </row>
    <row r="219" spans="1:34" x14ac:dyDescent="0.3">
      <c r="A219" s="107" t="s">
        <v>358</v>
      </c>
      <c r="B219" s="108" t="s">
        <v>417</v>
      </c>
      <c r="C219" s="108" t="s">
        <v>418</v>
      </c>
      <c r="D219" s="109">
        <v>45177</v>
      </c>
      <c r="E219" s="110">
        <v>175000</v>
      </c>
      <c r="F219" s="108" t="s">
        <v>32</v>
      </c>
      <c r="G219" s="108" t="s">
        <v>33</v>
      </c>
      <c r="H219" s="110">
        <v>175000</v>
      </c>
      <c r="I219" s="110">
        <v>52600</v>
      </c>
      <c r="J219" s="111">
        <f t="shared" si="21"/>
        <v>30.057142857142853</v>
      </c>
      <c r="K219" s="110">
        <v>140652</v>
      </c>
      <c r="L219" s="110">
        <f>H219-132761</f>
        <v>42239</v>
      </c>
      <c r="M219" s="110">
        <v>7891</v>
      </c>
      <c r="N219" s="112">
        <f t="shared" si="22"/>
        <v>4.5091428571428574E-2</v>
      </c>
      <c r="O219" s="113">
        <v>46.41</v>
      </c>
      <c r="P219" s="114">
        <v>133.01</v>
      </c>
      <c r="Q219" s="115">
        <v>0.13700000000000001</v>
      </c>
      <c r="R219" s="115">
        <v>0.13700000000000001</v>
      </c>
      <c r="S219" s="110">
        <f t="shared" si="23"/>
        <v>910.12712777418665</v>
      </c>
      <c r="T219" s="110">
        <f t="shared" si="24"/>
        <v>308313.86861313868</v>
      </c>
      <c r="U219" s="116">
        <f t="shared" si="25"/>
        <v>7.0779125025973064</v>
      </c>
      <c r="V219" s="115">
        <v>45</v>
      </c>
      <c r="W219" s="115">
        <f t="shared" si="26"/>
        <v>35000</v>
      </c>
      <c r="X219" s="115">
        <f t="shared" si="27"/>
        <v>777.77777777777783</v>
      </c>
      <c r="Y219" s="117" t="s">
        <v>409</v>
      </c>
      <c r="Z219" s="108" t="s">
        <v>35</v>
      </c>
      <c r="AA219" s="108" t="s">
        <v>35</v>
      </c>
      <c r="AB219" s="108" t="s">
        <v>358</v>
      </c>
      <c r="AC219" s="108">
        <v>0</v>
      </c>
      <c r="AD219" s="108">
        <v>1</v>
      </c>
      <c r="AE219" s="108" t="s">
        <v>37</v>
      </c>
      <c r="AF219" s="108" t="s">
        <v>43</v>
      </c>
      <c r="AG219" s="108" t="s">
        <v>38</v>
      </c>
      <c r="AH219" s="108" t="s">
        <v>92</v>
      </c>
    </row>
    <row r="220" spans="1:34" x14ac:dyDescent="0.3">
      <c r="A220" s="118" t="s">
        <v>358</v>
      </c>
      <c r="B220" s="119" t="s">
        <v>421</v>
      </c>
      <c r="C220" s="119" t="s">
        <v>422</v>
      </c>
      <c r="D220" s="120">
        <v>45527</v>
      </c>
      <c r="E220" s="121">
        <v>160000</v>
      </c>
      <c r="F220" s="119" t="s">
        <v>32</v>
      </c>
      <c r="G220" s="119" t="s">
        <v>33</v>
      </c>
      <c r="H220" s="121">
        <v>160000</v>
      </c>
      <c r="I220" s="121">
        <v>59000</v>
      </c>
      <c r="J220" s="122">
        <f t="shared" si="21"/>
        <v>36.875</v>
      </c>
      <c r="K220" s="121">
        <v>148530</v>
      </c>
      <c r="L220" s="121">
        <f>H220-141788</f>
        <v>18212</v>
      </c>
      <c r="M220" s="121">
        <v>6742</v>
      </c>
      <c r="N220" s="123">
        <f t="shared" si="22"/>
        <v>4.2137500000000001E-2</v>
      </c>
      <c r="O220" s="124">
        <v>39.65</v>
      </c>
      <c r="P220" s="125">
        <v>121.2</v>
      </c>
      <c r="Q220" s="126">
        <v>0.112</v>
      </c>
      <c r="R220" s="126">
        <v>0.112</v>
      </c>
      <c r="S220" s="121">
        <f t="shared" si="23"/>
        <v>459.31904161412359</v>
      </c>
      <c r="T220" s="121">
        <f t="shared" si="24"/>
        <v>162607.14285714284</v>
      </c>
      <c r="U220" s="127">
        <f t="shared" si="25"/>
        <v>3.7329463465827097</v>
      </c>
      <c r="V220" s="126">
        <v>40.39</v>
      </c>
      <c r="W220" s="126">
        <f t="shared" si="26"/>
        <v>32000</v>
      </c>
      <c r="X220" s="126">
        <f t="shared" si="27"/>
        <v>792.27531567219603</v>
      </c>
      <c r="Y220" s="128" t="s">
        <v>409</v>
      </c>
      <c r="Z220" s="119" t="s">
        <v>35</v>
      </c>
      <c r="AA220" s="119" t="s">
        <v>35</v>
      </c>
      <c r="AB220" s="119" t="s">
        <v>358</v>
      </c>
      <c r="AC220" s="119">
        <v>0</v>
      </c>
      <c r="AD220" s="119">
        <v>1</v>
      </c>
      <c r="AE220" s="119" t="s">
        <v>37</v>
      </c>
      <c r="AF220" s="119" t="s">
        <v>43</v>
      </c>
      <c r="AG220" s="119" t="s">
        <v>38</v>
      </c>
      <c r="AH220" s="119" t="s">
        <v>92</v>
      </c>
    </row>
    <row r="221" spans="1:34" x14ac:dyDescent="0.3">
      <c r="A221" s="107" t="s">
        <v>358</v>
      </c>
      <c r="B221" s="108" t="s">
        <v>361</v>
      </c>
      <c r="C221" s="108" t="s">
        <v>362</v>
      </c>
      <c r="D221" s="109">
        <v>45471</v>
      </c>
      <c r="E221" s="110">
        <v>165000</v>
      </c>
      <c r="F221" s="108" t="s">
        <v>32</v>
      </c>
      <c r="G221" s="108" t="s">
        <v>33</v>
      </c>
      <c r="H221" s="110">
        <v>165000</v>
      </c>
      <c r="I221" s="110">
        <v>57300</v>
      </c>
      <c r="J221" s="111">
        <f t="shared" si="21"/>
        <v>34.727272727272727</v>
      </c>
      <c r="K221" s="110">
        <v>130608</v>
      </c>
      <c r="L221" s="110">
        <f>H221-123620</f>
        <v>41380</v>
      </c>
      <c r="M221" s="110">
        <v>6988</v>
      </c>
      <c r="N221" s="112">
        <f t="shared" si="22"/>
        <v>4.2351515151515154E-2</v>
      </c>
      <c r="O221" s="113">
        <v>41.1</v>
      </c>
      <c r="P221" s="114">
        <v>132</v>
      </c>
      <c r="Q221" s="115">
        <v>0.121</v>
      </c>
      <c r="R221" s="115">
        <v>0.121</v>
      </c>
      <c r="S221" s="110">
        <f t="shared" si="23"/>
        <v>1006.8126520681265</v>
      </c>
      <c r="T221" s="110">
        <f t="shared" si="24"/>
        <v>341983.47107438016</v>
      </c>
      <c r="U221" s="116">
        <f t="shared" si="25"/>
        <v>7.8508602175018405</v>
      </c>
      <c r="V221" s="115">
        <v>40</v>
      </c>
      <c r="W221" s="115">
        <f t="shared" si="26"/>
        <v>33000</v>
      </c>
      <c r="X221" s="115">
        <f t="shared" si="27"/>
        <v>825</v>
      </c>
      <c r="Y221" s="117" t="s">
        <v>357</v>
      </c>
      <c r="Z221" s="108" t="s">
        <v>35</v>
      </c>
      <c r="AA221" s="108" t="s">
        <v>35</v>
      </c>
      <c r="AB221" s="108" t="s">
        <v>358</v>
      </c>
      <c r="AC221" s="108">
        <v>0</v>
      </c>
      <c r="AD221" s="108">
        <v>1</v>
      </c>
      <c r="AE221" s="108" t="s">
        <v>42</v>
      </c>
      <c r="AF221" s="108" t="s">
        <v>43</v>
      </c>
      <c r="AG221" s="108" t="s">
        <v>38</v>
      </c>
      <c r="AH221" s="108" t="s">
        <v>92</v>
      </c>
    </row>
    <row r="222" spans="1:34" x14ac:dyDescent="0.3">
      <c r="A222" s="107" t="s">
        <v>358</v>
      </c>
      <c r="B222" s="108" t="s">
        <v>407</v>
      </c>
      <c r="C222" s="108" t="s">
        <v>408</v>
      </c>
      <c r="D222" s="109">
        <v>45083</v>
      </c>
      <c r="E222" s="110">
        <v>190000</v>
      </c>
      <c r="F222" s="108" t="s">
        <v>32</v>
      </c>
      <c r="G222" s="108" t="s">
        <v>33</v>
      </c>
      <c r="H222" s="110">
        <v>190000</v>
      </c>
      <c r="I222" s="110">
        <v>52900</v>
      </c>
      <c r="J222" s="111">
        <f t="shared" si="21"/>
        <v>27.842105263157897</v>
      </c>
      <c r="K222" s="110">
        <v>141467</v>
      </c>
      <c r="L222" s="110">
        <f>H222-133635</f>
        <v>56365</v>
      </c>
      <c r="M222" s="110">
        <v>7832</v>
      </c>
      <c r="N222" s="112">
        <f t="shared" si="22"/>
        <v>4.122105263157895E-2</v>
      </c>
      <c r="O222" s="113">
        <v>46.06</v>
      </c>
      <c r="P222" s="114">
        <v>131.01</v>
      </c>
      <c r="Q222" s="115">
        <v>0.13500000000000001</v>
      </c>
      <c r="R222" s="115">
        <v>0.13500000000000001</v>
      </c>
      <c r="S222" s="110">
        <f t="shared" si="23"/>
        <v>1223.7299174989143</v>
      </c>
      <c r="T222" s="110">
        <f t="shared" si="24"/>
        <v>417518.51851851848</v>
      </c>
      <c r="U222" s="116">
        <f t="shared" si="25"/>
        <v>9.5849063020780179</v>
      </c>
      <c r="V222" s="115">
        <v>45</v>
      </c>
      <c r="W222" s="115">
        <f t="shared" si="26"/>
        <v>38000</v>
      </c>
      <c r="X222" s="115">
        <f t="shared" si="27"/>
        <v>844.44444444444446</v>
      </c>
      <c r="Y222" s="117" t="s">
        <v>409</v>
      </c>
      <c r="Z222" s="108" t="s">
        <v>35</v>
      </c>
      <c r="AA222" s="108" t="s">
        <v>35</v>
      </c>
      <c r="AB222" s="108" t="s">
        <v>358</v>
      </c>
      <c r="AC222" s="108">
        <v>0</v>
      </c>
      <c r="AD222" s="108">
        <v>1</v>
      </c>
      <c r="AE222" s="108" t="s">
        <v>37</v>
      </c>
      <c r="AF222" s="108" t="s">
        <v>43</v>
      </c>
      <c r="AG222" s="108" t="s">
        <v>38</v>
      </c>
      <c r="AH222" s="108" t="s">
        <v>92</v>
      </c>
    </row>
    <row r="223" spans="1:34" x14ac:dyDescent="0.3">
      <c r="A223" s="107" t="s">
        <v>358</v>
      </c>
      <c r="B223" s="108" t="s">
        <v>419</v>
      </c>
      <c r="C223" s="108" t="s">
        <v>420</v>
      </c>
      <c r="D223" s="109">
        <v>45601</v>
      </c>
      <c r="E223" s="110">
        <v>170000</v>
      </c>
      <c r="F223" s="108" t="s">
        <v>32</v>
      </c>
      <c r="G223" s="108" t="s">
        <v>33</v>
      </c>
      <c r="H223" s="110">
        <v>170000</v>
      </c>
      <c r="I223" s="110">
        <v>58400</v>
      </c>
      <c r="J223" s="111">
        <f t="shared" si="21"/>
        <v>34.352941176470587</v>
      </c>
      <c r="K223" s="110">
        <v>141259</v>
      </c>
      <c r="L223" s="110">
        <f>H223-134324</f>
        <v>35676</v>
      </c>
      <c r="M223" s="110">
        <v>6935</v>
      </c>
      <c r="N223" s="112">
        <f t="shared" si="22"/>
        <v>4.0794117647058821E-2</v>
      </c>
      <c r="O223" s="113">
        <v>40.79</v>
      </c>
      <c r="P223" s="114">
        <v>130.01</v>
      </c>
      <c r="Q223" s="115">
        <v>0.11899999999999999</v>
      </c>
      <c r="R223" s="115">
        <v>0.11899999999999999</v>
      </c>
      <c r="S223" s="110">
        <f t="shared" si="23"/>
        <v>874.62613385633733</v>
      </c>
      <c r="T223" s="110">
        <f t="shared" si="24"/>
        <v>299798.31932773109</v>
      </c>
      <c r="U223" s="116">
        <f t="shared" si="25"/>
        <v>6.8824223904437805</v>
      </c>
      <c r="V223" s="115">
        <v>40</v>
      </c>
      <c r="W223" s="115">
        <f t="shared" si="26"/>
        <v>34000</v>
      </c>
      <c r="X223" s="115">
        <f t="shared" si="27"/>
        <v>850</v>
      </c>
      <c r="Y223" s="117" t="s">
        <v>409</v>
      </c>
      <c r="Z223" s="108" t="s">
        <v>35</v>
      </c>
      <c r="AA223" s="108" t="s">
        <v>35</v>
      </c>
      <c r="AB223" s="108" t="s">
        <v>358</v>
      </c>
      <c r="AC223" s="108">
        <v>0</v>
      </c>
      <c r="AD223" s="108">
        <v>1</v>
      </c>
      <c r="AE223" s="108" t="s">
        <v>37</v>
      </c>
      <c r="AF223" s="108" t="s">
        <v>35</v>
      </c>
      <c r="AG223" s="108" t="s">
        <v>38</v>
      </c>
      <c r="AH223" s="108" t="s">
        <v>92</v>
      </c>
    </row>
    <row r="224" spans="1:34" x14ac:dyDescent="0.3">
      <c r="A224" s="118" t="s">
        <v>1096</v>
      </c>
      <c r="B224" s="119" t="s">
        <v>1093</v>
      </c>
      <c r="C224" s="119" t="s">
        <v>1094</v>
      </c>
      <c r="D224" s="120">
        <v>45639</v>
      </c>
      <c r="E224" s="121">
        <v>85000</v>
      </c>
      <c r="F224" s="119" t="s">
        <v>81</v>
      </c>
      <c r="G224" s="119" t="s">
        <v>33</v>
      </c>
      <c r="H224" s="121">
        <v>85000</v>
      </c>
      <c r="I224" s="121">
        <v>85100</v>
      </c>
      <c r="J224" s="122">
        <f t="shared" si="21"/>
        <v>100.11764705882354</v>
      </c>
      <c r="K224" s="121">
        <v>184148</v>
      </c>
      <c r="L224" s="121">
        <f>H224-166694</f>
        <v>-81694</v>
      </c>
      <c r="M224" s="121">
        <v>17454</v>
      </c>
      <c r="N224" s="123">
        <f t="shared" si="22"/>
        <v>0.20534117647058822</v>
      </c>
      <c r="O224" s="124">
        <v>73.02</v>
      </c>
      <c r="P224" s="125">
        <v>100</v>
      </c>
      <c r="Q224" s="126">
        <v>0.184</v>
      </c>
      <c r="R224" s="126">
        <v>0.184</v>
      </c>
      <c r="S224" s="121">
        <f t="shared" si="23"/>
        <v>-1118.7893727745823</v>
      </c>
      <c r="T224" s="121">
        <f t="shared" si="24"/>
        <v>-443989.13043478259</v>
      </c>
      <c r="U224" s="127">
        <f t="shared" si="25"/>
        <v>-10.192587934682797</v>
      </c>
      <c r="V224" s="126">
        <v>80</v>
      </c>
      <c r="W224" s="126">
        <f t="shared" si="26"/>
        <v>17000</v>
      </c>
      <c r="X224" s="126">
        <f t="shared" si="27"/>
        <v>212.5</v>
      </c>
      <c r="Y224" s="128" t="s">
        <v>1095</v>
      </c>
      <c r="Z224" s="119" t="s">
        <v>35</v>
      </c>
      <c r="AA224" s="119" t="s">
        <v>35</v>
      </c>
      <c r="AB224" s="119" t="s">
        <v>1096</v>
      </c>
      <c r="AC224" s="119">
        <v>0</v>
      </c>
      <c r="AD224" s="119">
        <v>1</v>
      </c>
      <c r="AE224" s="119" t="s">
        <v>42</v>
      </c>
      <c r="AF224" s="119" t="s">
        <v>35</v>
      </c>
      <c r="AG224" s="119" t="s">
        <v>38</v>
      </c>
      <c r="AH224" s="119" t="s">
        <v>92</v>
      </c>
    </row>
    <row r="225" spans="1:34" x14ac:dyDescent="0.3">
      <c r="A225" s="118" t="s">
        <v>1096</v>
      </c>
      <c r="B225" s="119" t="s">
        <v>1103</v>
      </c>
      <c r="C225" s="119" t="s">
        <v>1104</v>
      </c>
      <c r="D225" s="120">
        <v>45167</v>
      </c>
      <c r="E225" s="121">
        <v>145000</v>
      </c>
      <c r="F225" s="119" t="s">
        <v>32</v>
      </c>
      <c r="G225" s="119" t="s">
        <v>33</v>
      </c>
      <c r="H225" s="121">
        <v>145000</v>
      </c>
      <c r="I225" s="121">
        <v>53800</v>
      </c>
      <c r="J225" s="122">
        <f t="shared" si="21"/>
        <v>37.103448275862064</v>
      </c>
      <c r="K225" s="121">
        <v>132530</v>
      </c>
      <c r="L225" s="121">
        <f>H225-112629</f>
        <v>32371</v>
      </c>
      <c r="M225" s="121">
        <v>19901</v>
      </c>
      <c r="N225" s="123">
        <f t="shared" si="22"/>
        <v>0.13724827586206897</v>
      </c>
      <c r="O225" s="124">
        <v>83.26</v>
      </c>
      <c r="P225" s="125">
        <v>130</v>
      </c>
      <c r="Q225" s="126">
        <v>0.23899999999999999</v>
      </c>
      <c r="R225" s="126">
        <v>0.23899999999999999</v>
      </c>
      <c r="S225" s="121">
        <f t="shared" si="23"/>
        <v>388.7941388421811</v>
      </c>
      <c r="T225" s="121">
        <f t="shared" si="24"/>
        <v>135443.51464435147</v>
      </c>
      <c r="U225" s="127">
        <f t="shared" si="25"/>
        <v>3.109355248952054</v>
      </c>
      <c r="V225" s="126">
        <v>80</v>
      </c>
      <c r="W225" s="126">
        <f t="shared" si="26"/>
        <v>29000</v>
      </c>
      <c r="X225" s="126">
        <f t="shared" si="27"/>
        <v>362.5</v>
      </c>
      <c r="Y225" s="128" t="s">
        <v>1095</v>
      </c>
      <c r="Z225" s="119" t="s">
        <v>35</v>
      </c>
      <c r="AA225" s="119" t="s">
        <v>35</v>
      </c>
      <c r="AB225" s="119" t="s">
        <v>1096</v>
      </c>
      <c r="AC225" s="119">
        <v>0</v>
      </c>
      <c r="AD225" s="119">
        <v>1</v>
      </c>
      <c r="AE225" s="119" t="s">
        <v>42</v>
      </c>
      <c r="AF225" s="119" t="s">
        <v>43</v>
      </c>
      <c r="AG225" s="119" t="s">
        <v>38</v>
      </c>
      <c r="AH225" s="119" t="s">
        <v>92</v>
      </c>
    </row>
    <row r="226" spans="1:34" x14ac:dyDescent="0.3">
      <c r="A226" s="107" t="s">
        <v>1096</v>
      </c>
      <c r="B226" s="108" t="s">
        <v>1100</v>
      </c>
      <c r="C226" s="108" t="s">
        <v>1101</v>
      </c>
      <c r="D226" s="109">
        <v>45540</v>
      </c>
      <c r="E226" s="110">
        <v>200000</v>
      </c>
      <c r="F226" s="108" t="s">
        <v>32</v>
      </c>
      <c r="G226" s="108" t="s">
        <v>66</v>
      </c>
      <c r="H226" s="110">
        <v>200000</v>
      </c>
      <c r="I226" s="110">
        <v>72100</v>
      </c>
      <c r="J226" s="111">
        <f t="shared" si="21"/>
        <v>36.049999999999997</v>
      </c>
      <c r="K226" s="110">
        <v>152580</v>
      </c>
      <c r="L226" s="110">
        <f>H226-132680</f>
        <v>67320</v>
      </c>
      <c r="M226" s="110">
        <v>19900</v>
      </c>
      <c r="N226" s="112">
        <f t="shared" si="22"/>
        <v>9.9500000000000005E-2</v>
      </c>
      <c r="O226" s="113">
        <v>83.26</v>
      </c>
      <c r="P226" s="114">
        <v>260</v>
      </c>
      <c r="Q226" s="115">
        <v>0.23799999999999999</v>
      </c>
      <c r="R226" s="115">
        <v>0.11899999999999999</v>
      </c>
      <c r="S226" s="110">
        <f t="shared" si="23"/>
        <v>808.55152534230115</v>
      </c>
      <c r="T226" s="110">
        <f t="shared" si="24"/>
        <v>282857.1428571429</v>
      </c>
      <c r="U226" s="116">
        <f t="shared" si="25"/>
        <v>6.4935064935064943</v>
      </c>
      <c r="V226" s="115">
        <v>80</v>
      </c>
      <c r="W226" s="115">
        <f t="shared" si="26"/>
        <v>40000</v>
      </c>
      <c r="X226" s="115">
        <f t="shared" si="27"/>
        <v>500</v>
      </c>
      <c r="Y226" s="117" t="s">
        <v>1095</v>
      </c>
      <c r="Z226" s="108" t="s">
        <v>35</v>
      </c>
      <c r="AA226" s="108" t="s">
        <v>1102</v>
      </c>
      <c r="AB226" s="108" t="s">
        <v>1096</v>
      </c>
      <c r="AC226" s="108">
        <v>0</v>
      </c>
      <c r="AD226" s="108">
        <v>1</v>
      </c>
      <c r="AE226" s="108" t="s">
        <v>205</v>
      </c>
      <c r="AF226" s="108" t="s">
        <v>43</v>
      </c>
      <c r="AG226" s="108" t="s">
        <v>38</v>
      </c>
      <c r="AH226" s="108" t="s">
        <v>92</v>
      </c>
    </row>
    <row r="227" spans="1:34" x14ac:dyDescent="0.3">
      <c r="A227" s="107" t="s">
        <v>1096</v>
      </c>
      <c r="B227" s="108" t="s">
        <v>1141</v>
      </c>
      <c r="C227" s="108" t="s">
        <v>1142</v>
      </c>
      <c r="D227" s="109">
        <v>45216</v>
      </c>
      <c r="E227" s="110">
        <v>110000</v>
      </c>
      <c r="F227" s="108" t="s">
        <v>32</v>
      </c>
      <c r="G227" s="108" t="s">
        <v>33</v>
      </c>
      <c r="H227" s="110">
        <v>110000</v>
      </c>
      <c r="I227" s="110">
        <v>46800</v>
      </c>
      <c r="J227" s="111">
        <f t="shared" si="21"/>
        <v>42.545454545454547</v>
      </c>
      <c r="K227" s="110">
        <v>115020</v>
      </c>
      <c r="L227" s="110">
        <f>H227-105089</f>
        <v>4911</v>
      </c>
      <c r="M227" s="110">
        <v>9931</v>
      </c>
      <c r="N227" s="112">
        <f t="shared" si="22"/>
        <v>9.0281818181818185E-2</v>
      </c>
      <c r="O227" s="113">
        <v>41.55</v>
      </c>
      <c r="P227" s="114">
        <v>129.5</v>
      </c>
      <c r="Q227" s="115">
        <v>0.11899999999999999</v>
      </c>
      <c r="R227" s="115">
        <v>0.11899999999999999</v>
      </c>
      <c r="S227" s="110">
        <f t="shared" si="23"/>
        <v>118.19494584837545</v>
      </c>
      <c r="T227" s="110">
        <f t="shared" si="24"/>
        <v>41268.907563025212</v>
      </c>
      <c r="U227" s="116">
        <f t="shared" si="25"/>
        <v>0.94740375489038597</v>
      </c>
      <c r="V227" s="115">
        <v>40</v>
      </c>
      <c r="W227" s="115">
        <f t="shared" si="26"/>
        <v>22000</v>
      </c>
      <c r="X227" s="115">
        <f t="shared" si="27"/>
        <v>550</v>
      </c>
      <c r="Y227" s="117" t="s">
        <v>1095</v>
      </c>
      <c r="Z227" s="108" t="s">
        <v>35</v>
      </c>
      <c r="AA227" s="108" t="s">
        <v>35</v>
      </c>
      <c r="AB227" s="108" t="s">
        <v>1096</v>
      </c>
      <c r="AC227" s="108">
        <v>0</v>
      </c>
      <c r="AD227" s="108">
        <v>1</v>
      </c>
      <c r="AE227" s="108" t="s">
        <v>37</v>
      </c>
      <c r="AF227" s="108" t="s">
        <v>43</v>
      </c>
      <c r="AG227" s="108" t="s">
        <v>38</v>
      </c>
      <c r="AH227" s="108" t="s">
        <v>92</v>
      </c>
    </row>
    <row r="228" spans="1:34" x14ac:dyDescent="0.3">
      <c r="A228" s="118" t="s">
        <v>1096</v>
      </c>
      <c r="B228" s="119" t="s">
        <v>1151</v>
      </c>
      <c r="C228" s="119" t="s">
        <v>1152</v>
      </c>
      <c r="D228" s="120">
        <v>45386</v>
      </c>
      <c r="E228" s="121">
        <v>112500</v>
      </c>
      <c r="F228" s="119" t="s">
        <v>32</v>
      </c>
      <c r="G228" s="119" t="s">
        <v>33</v>
      </c>
      <c r="H228" s="121">
        <v>112500</v>
      </c>
      <c r="I228" s="121">
        <v>67100</v>
      </c>
      <c r="J228" s="122">
        <f t="shared" si="21"/>
        <v>59.644444444444446</v>
      </c>
      <c r="K228" s="121">
        <v>143248</v>
      </c>
      <c r="L228" s="121">
        <f>H228-133317</f>
        <v>-20817</v>
      </c>
      <c r="M228" s="121">
        <v>9931</v>
      </c>
      <c r="N228" s="123">
        <f t="shared" si="22"/>
        <v>8.8275555555555552E-2</v>
      </c>
      <c r="O228" s="124">
        <v>41.55</v>
      </c>
      <c r="P228" s="125">
        <v>129.5</v>
      </c>
      <c r="Q228" s="126">
        <v>0.11899999999999999</v>
      </c>
      <c r="R228" s="126">
        <v>0.11899999999999999</v>
      </c>
      <c r="S228" s="121">
        <f t="shared" si="23"/>
        <v>-501.01083032490976</v>
      </c>
      <c r="T228" s="121">
        <f t="shared" si="24"/>
        <v>-174932.77310924372</v>
      </c>
      <c r="U228" s="127">
        <f t="shared" si="25"/>
        <v>-4.0159038822140429</v>
      </c>
      <c r="V228" s="126">
        <v>40</v>
      </c>
      <c r="W228" s="126">
        <f t="shared" si="26"/>
        <v>22500</v>
      </c>
      <c r="X228" s="126">
        <f t="shared" si="27"/>
        <v>562.5</v>
      </c>
      <c r="Y228" s="128" t="s">
        <v>1095</v>
      </c>
      <c r="Z228" s="119" t="s">
        <v>35</v>
      </c>
      <c r="AA228" s="119" t="s">
        <v>35</v>
      </c>
      <c r="AB228" s="119" t="s">
        <v>1096</v>
      </c>
      <c r="AC228" s="119">
        <v>0</v>
      </c>
      <c r="AD228" s="119">
        <v>1</v>
      </c>
      <c r="AE228" s="119" t="s">
        <v>42</v>
      </c>
      <c r="AF228" s="119" t="s">
        <v>43</v>
      </c>
      <c r="AG228" s="119" t="s">
        <v>38</v>
      </c>
      <c r="AH228" s="119" t="s">
        <v>92</v>
      </c>
    </row>
    <row r="229" spans="1:34" x14ac:dyDescent="0.3">
      <c r="A229" s="107" t="s">
        <v>1096</v>
      </c>
      <c r="B229" s="108" t="s">
        <v>1097</v>
      </c>
      <c r="C229" s="108" t="s">
        <v>1098</v>
      </c>
      <c r="D229" s="109">
        <v>45441</v>
      </c>
      <c r="E229" s="110">
        <v>135000</v>
      </c>
      <c r="F229" s="108" t="s">
        <v>32</v>
      </c>
      <c r="G229" s="108" t="s">
        <v>33</v>
      </c>
      <c r="H229" s="110">
        <v>135000</v>
      </c>
      <c r="I229" s="110">
        <v>57600</v>
      </c>
      <c r="J229" s="111">
        <f t="shared" si="21"/>
        <v>42.666666666666671</v>
      </c>
      <c r="K229" s="110">
        <v>128765</v>
      </c>
      <c r="L229" s="110">
        <f>H229-118947</f>
        <v>16053</v>
      </c>
      <c r="M229" s="110">
        <v>9818</v>
      </c>
      <c r="N229" s="112">
        <f t="shared" si="22"/>
        <v>7.272592592592593E-2</v>
      </c>
      <c r="O229" s="113">
        <v>41.07</v>
      </c>
      <c r="P229" s="114">
        <v>100</v>
      </c>
      <c r="Q229" s="115">
        <v>0.10299999999999999</v>
      </c>
      <c r="R229" s="115">
        <v>0.10299999999999999</v>
      </c>
      <c r="S229" s="110">
        <f t="shared" si="23"/>
        <v>390.86924762600438</v>
      </c>
      <c r="T229" s="110">
        <f t="shared" si="24"/>
        <v>155854.36893203884</v>
      </c>
      <c r="U229" s="116">
        <f t="shared" si="25"/>
        <v>3.5779239883388163</v>
      </c>
      <c r="V229" s="115">
        <v>45</v>
      </c>
      <c r="W229" s="115">
        <f t="shared" si="26"/>
        <v>27000</v>
      </c>
      <c r="X229" s="115">
        <f t="shared" si="27"/>
        <v>600</v>
      </c>
      <c r="Y229" s="117" t="s">
        <v>1095</v>
      </c>
      <c r="Z229" s="108" t="s">
        <v>35</v>
      </c>
      <c r="AA229" s="108" t="s">
        <v>35</v>
      </c>
      <c r="AB229" s="108" t="s">
        <v>1096</v>
      </c>
      <c r="AC229" s="108">
        <v>0</v>
      </c>
      <c r="AD229" s="108">
        <v>1</v>
      </c>
      <c r="AE229" s="108" t="s">
        <v>1099</v>
      </c>
      <c r="AF229" s="108" t="s">
        <v>43</v>
      </c>
      <c r="AG229" s="108" t="s">
        <v>38</v>
      </c>
      <c r="AH229" s="108" t="s">
        <v>92</v>
      </c>
    </row>
    <row r="230" spans="1:34" x14ac:dyDescent="0.3">
      <c r="A230" s="118" t="s">
        <v>1096</v>
      </c>
      <c r="B230" s="119" t="s">
        <v>1127</v>
      </c>
      <c r="C230" s="119" t="s">
        <v>1128</v>
      </c>
      <c r="D230" s="120">
        <v>45316</v>
      </c>
      <c r="E230" s="121">
        <v>120000</v>
      </c>
      <c r="F230" s="119" t="s">
        <v>32</v>
      </c>
      <c r="G230" s="119" t="s">
        <v>33</v>
      </c>
      <c r="H230" s="121">
        <v>120000</v>
      </c>
      <c r="I230" s="121">
        <v>59100</v>
      </c>
      <c r="J230" s="122">
        <f t="shared" si="21"/>
        <v>49.25</v>
      </c>
      <c r="K230" s="121">
        <v>148033</v>
      </c>
      <c r="L230" s="121">
        <f>H230-138121</f>
        <v>-18121</v>
      </c>
      <c r="M230" s="121">
        <v>9912</v>
      </c>
      <c r="N230" s="123">
        <f t="shared" si="22"/>
        <v>8.2600000000000007E-2</v>
      </c>
      <c r="O230" s="124">
        <v>41.47</v>
      </c>
      <c r="P230" s="125">
        <v>129</v>
      </c>
      <c r="Q230" s="126">
        <v>0.11799999999999999</v>
      </c>
      <c r="R230" s="126">
        <v>0.11799999999999999</v>
      </c>
      <c r="S230" s="121">
        <f t="shared" si="23"/>
        <v>-436.96648179406799</v>
      </c>
      <c r="T230" s="121">
        <f t="shared" si="24"/>
        <v>-153567.79661016949</v>
      </c>
      <c r="U230" s="127">
        <f t="shared" si="25"/>
        <v>-3.5254315107936063</v>
      </c>
      <c r="V230" s="126">
        <v>40</v>
      </c>
      <c r="W230" s="126">
        <f t="shared" si="26"/>
        <v>24000</v>
      </c>
      <c r="X230" s="126">
        <f t="shared" si="27"/>
        <v>600</v>
      </c>
      <c r="Y230" s="128" t="s">
        <v>1095</v>
      </c>
      <c r="Z230" s="119" t="s">
        <v>35</v>
      </c>
      <c r="AA230" s="119" t="s">
        <v>35</v>
      </c>
      <c r="AB230" s="119" t="s">
        <v>1096</v>
      </c>
      <c r="AC230" s="119">
        <v>0</v>
      </c>
      <c r="AD230" s="119">
        <v>1</v>
      </c>
      <c r="AE230" s="119" t="s">
        <v>37</v>
      </c>
      <c r="AF230" s="119" t="s">
        <v>43</v>
      </c>
      <c r="AG230" s="119" t="s">
        <v>38</v>
      </c>
      <c r="AH230" s="119" t="s">
        <v>92</v>
      </c>
    </row>
    <row r="231" spans="1:34" x14ac:dyDescent="0.3">
      <c r="A231" s="118" t="s">
        <v>1096</v>
      </c>
      <c r="B231" s="119" t="s">
        <v>1119</v>
      </c>
      <c r="C231" s="119" t="s">
        <v>1120</v>
      </c>
      <c r="D231" s="120">
        <v>45026</v>
      </c>
      <c r="E231" s="121">
        <v>122500</v>
      </c>
      <c r="F231" s="119" t="s">
        <v>32</v>
      </c>
      <c r="G231" s="119" t="s">
        <v>33</v>
      </c>
      <c r="H231" s="121">
        <v>122500</v>
      </c>
      <c r="I231" s="121">
        <v>53900</v>
      </c>
      <c r="J231" s="122">
        <f t="shared" si="21"/>
        <v>44</v>
      </c>
      <c r="K231" s="121">
        <v>132971</v>
      </c>
      <c r="L231" s="121">
        <f>H231-122566</f>
        <v>-66</v>
      </c>
      <c r="M231" s="121">
        <v>10405</v>
      </c>
      <c r="N231" s="123">
        <f t="shared" si="22"/>
        <v>8.4938775510204081E-2</v>
      </c>
      <c r="O231" s="124">
        <v>43.53</v>
      </c>
      <c r="P231" s="125">
        <v>142.15</v>
      </c>
      <c r="Q231" s="126">
        <v>0.13100000000000001</v>
      </c>
      <c r="R231" s="126">
        <v>0.13100000000000001</v>
      </c>
      <c r="S231" s="121">
        <f t="shared" si="23"/>
        <v>-1.516195727084769</v>
      </c>
      <c r="T231" s="121">
        <f t="shared" si="24"/>
        <v>-503.81679389312973</v>
      </c>
      <c r="U231" s="127">
        <f t="shared" si="25"/>
        <v>-1.1566042100393244E-2</v>
      </c>
      <c r="V231" s="126">
        <v>40</v>
      </c>
      <c r="W231" s="126">
        <f t="shared" si="26"/>
        <v>24500</v>
      </c>
      <c r="X231" s="126">
        <f t="shared" si="27"/>
        <v>612.5</v>
      </c>
      <c r="Y231" s="128" t="s">
        <v>1095</v>
      </c>
      <c r="Z231" s="119" t="s">
        <v>35</v>
      </c>
      <c r="AA231" s="119" t="s">
        <v>35</v>
      </c>
      <c r="AB231" s="119" t="s">
        <v>1096</v>
      </c>
      <c r="AC231" s="119">
        <v>0</v>
      </c>
      <c r="AD231" s="119">
        <v>1</v>
      </c>
      <c r="AE231" s="119" t="s">
        <v>37</v>
      </c>
      <c r="AF231" s="119" t="s">
        <v>43</v>
      </c>
      <c r="AG231" s="119" t="s">
        <v>38</v>
      </c>
      <c r="AH231" s="119" t="s">
        <v>92</v>
      </c>
    </row>
    <row r="232" spans="1:34" x14ac:dyDescent="0.3">
      <c r="A232" s="118" t="s">
        <v>1096</v>
      </c>
      <c r="B232" s="119" t="s">
        <v>1121</v>
      </c>
      <c r="C232" s="119" t="s">
        <v>1122</v>
      </c>
      <c r="D232" s="120">
        <v>45685</v>
      </c>
      <c r="E232" s="121">
        <v>130000</v>
      </c>
      <c r="F232" s="119" t="s">
        <v>32</v>
      </c>
      <c r="G232" s="119" t="s">
        <v>33</v>
      </c>
      <c r="H232" s="121">
        <v>130000</v>
      </c>
      <c r="I232" s="121">
        <v>53200</v>
      </c>
      <c r="J232" s="122">
        <f t="shared" si="21"/>
        <v>40.92307692307692</v>
      </c>
      <c r="K232" s="121">
        <v>117123</v>
      </c>
      <c r="L232" s="121">
        <f>H232-107927</f>
        <v>22073</v>
      </c>
      <c r="M232" s="121">
        <v>9196</v>
      </c>
      <c r="N232" s="123">
        <f t="shared" si="22"/>
        <v>7.0738461538461542E-2</v>
      </c>
      <c r="O232" s="124">
        <v>38.47</v>
      </c>
      <c r="P232" s="125">
        <v>100</v>
      </c>
      <c r="Q232" s="126">
        <v>9.7000000000000003E-2</v>
      </c>
      <c r="R232" s="126">
        <v>9.7000000000000003E-2</v>
      </c>
      <c r="S232" s="121">
        <f t="shared" si="23"/>
        <v>573.77177021055365</v>
      </c>
      <c r="T232" s="121">
        <f t="shared" si="24"/>
        <v>227556.70103092783</v>
      </c>
      <c r="U232" s="127">
        <f t="shared" si="25"/>
        <v>5.2239830356044035</v>
      </c>
      <c r="V232" s="126">
        <v>42.15</v>
      </c>
      <c r="W232" s="126">
        <f t="shared" si="26"/>
        <v>26000</v>
      </c>
      <c r="X232" s="126">
        <f t="shared" si="27"/>
        <v>616.84460260972719</v>
      </c>
      <c r="Y232" s="128" t="s">
        <v>1095</v>
      </c>
      <c r="Z232" s="119" t="s">
        <v>35</v>
      </c>
      <c r="AA232" s="119" t="s">
        <v>35</v>
      </c>
      <c r="AB232" s="119" t="s">
        <v>1096</v>
      </c>
      <c r="AC232" s="119">
        <v>0</v>
      </c>
      <c r="AD232" s="119">
        <v>1</v>
      </c>
      <c r="AE232" s="119" t="s">
        <v>37</v>
      </c>
      <c r="AF232" s="119" t="s">
        <v>35</v>
      </c>
      <c r="AG232" s="119" t="s">
        <v>38</v>
      </c>
      <c r="AH232" s="119" t="s">
        <v>92</v>
      </c>
    </row>
    <row r="233" spans="1:34" x14ac:dyDescent="0.3">
      <c r="A233" s="118" t="s">
        <v>1096</v>
      </c>
      <c r="B233" s="119" t="s">
        <v>1135</v>
      </c>
      <c r="C233" s="119" t="s">
        <v>1136</v>
      </c>
      <c r="D233" s="120">
        <v>45167</v>
      </c>
      <c r="E233" s="121">
        <v>125900</v>
      </c>
      <c r="F233" s="119" t="s">
        <v>32</v>
      </c>
      <c r="G233" s="119" t="s">
        <v>33</v>
      </c>
      <c r="H233" s="121">
        <v>125900</v>
      </c>
      <c r="I233" s="121">
        <v>61700</v>
      </c>
      <c r="J233" s="122">
        <f t="shared" si="21"/>
        <v>49.007148530579826</v>
      </c>
      <c r="K233" s="121">
        <v>154288</v>
      </c>
      <c r="L233" s="121">
        <f>H233-144148</f>
        <v>-18248</v>
      </c>
      <c r="M233" s="121">
        <v>10140</v>
      </c>
      <c r="N233" s="123">
        <f t="shared" si="22"/>
        <v>8.0540111199364578E-2</v>
      </c>
      <c r="O233" s="124">
        <v>42.42</v>
      </c>
      <c r="P233" s="125">
        <v>135</v>
      </c>
      <c r="Q233" s="126">
        <v>0.124</v>
      </c>
      <c r="R233" s="126">
        <v>0.124</v>
      </c>
      <c r="S233" s="121">
        <f t="shared" si="23"/>
        <v>-430.17444601603017</v>
      </c>
      <c r="T233" s="121">
        <f t="shared" si="24"/>
        <v>-147161.29032258064</v>
      </c>
      <c r="U233" s="127">
        <f t="shared" si="25"/>
        <v>-3.3783583636956069</v>
      </c>
      <c r="V233" s="126">
        <v>40</v>
      </c>
      <c r="W233" s="126">
        <f t="shared" si="26"/>
        <v>25180</v>
      </c>
      <c r="X233" s="126">
        <f t="shared" si="27"/>
        <v>629.5</v>
      </c>
      <c r="Y233" s="128" t="s">
        <v>1095</v>
      </c>
      <c r="Z233" s="119" t="s">
        <v>35</v>
      </c>
      <c r="AA233" s="119" t="s">
        <v>35</v>
      </c>
      <c r="AB233" s="119" t="s">
        <v>1096</v>
      </c>
      <c r="AC233" s="119">
        <v>0</v>
      </c>
      <c r="AD233" s="119">
        <v>1</v>
      </c>
      <c r="AE233" s="119" t="s">
        <v>42</v>
      </c>
      <c r="AF233" s="119" t="s">
        <v>43</v>
      </c>
      <c r="AG233" s="119" t="s">
        <v>38</v>
      </c>
      <c r="AH233" s="119" t="s">
        <v>92</v>
      </c>
    </row>
    <row r="234" spans="1:34" x14ac:dyDescent="0.3">
      <c r="A234" s="107" t="s">
        <v>1096</v>
      </c>
      <c r="B234" s="108" t="s">
        <v>1107</v>
      </c>
      <c r="C234" s="108" t="s">
        <v>1108</v>
      </c>
      <c r="D234" s="109">
        <v>45288</v>
      </c>
      <c r="E234" s="110">
        <v>140000</v>
      </c>
      <c r="F234" s="108" t="s">
        <v>32</v>
      </c>
      <c r="G234" s="108" t="s">
        <v>33</v>
      </c>
      <c r="H234" s="110">
        <v>140000</v>
      </c>
      <c r="I234" s="110">
        <v>47900</v>
      </c>
      <c r="J234" s="111">
        <f t="shared" si="21"/>
        <v>34.214285714285715</v>
      </c>
      <c r="K234" s="110">
        <v>117875</v>
      </c>
      <c r="L234" s="110">
        <f>H234-108238</f>
        <v>31762</v>
      </c>
      <c r="M234" s="110">
        <v>9637</v>
      </c>
      <c r="N234" s="112">
        <f t="shared" si="22"/>
        <v>6.8835714285714292E-2</v>
      </c>
      <c r="O234" s="113">
        <v>40.32</v>
      </c>
      <c r="P234" s="114">
        <v>121.95</v>
      </c>
      <c r="Q234" s="115">
        <v>0.112</v>
      </c>
      <c r="R234" s="115">
        <v>0.112</v>
      </c>
      <c r="S234" s="110">
        <f t="shared" si="23"/>
        <v>787.7480158730159</v>
      </c>
      <c r="T234" s="110">
        <f t="shared" si="24"/>
        <v>283589.28571428568</v>
      </c>
      <c r="U234" s="116">
        <f t="shared" si="25"/>
        <v>6.5103141807687255</v>
      </c>
      <c r="V234" s="115">
        <v>40</v>
      </c>
      <c r="W234" s="115">
        <f t="shared" si="26"/>
        <v>28000</v>
      </c>
      <c r="X234" s="115">
        <f t="shared" si="27"/>
        <v>700</v>
      </c>
      <c r="Y234" s="117" t="s">
        <v>1095</v>
      </c>
      <c r="Z234" s="108" t="s">
        <v>35</v>
      </c>
      <c r="AA234" s="108" t="s">
        <v>35</v>
      </c>
      <c r="AB234" s="108" t="s">
        <v>1096</v>
      </c>
      <c r="AC234" s="108">
        <v>0</v>
      </c>
      <c r="AD234" s="108">
        <v>1</v>
      </c>
      <c r="AE234" s="108" t="s">
        <v>412</v>
      </c>
      <c r="AF234" s="108" t="s">
        <v>43</v>
      </c>
      <c r="AG234" s="108" t="s">
        <v>38</v>
      </c>
      <c r="AH234" s="108" t="s">
        <v>92</v>
      </c>
    </row>
    <row r="235" spans="1:34" x14ac:dyDescent="0.3">
      <c r="A235" s="107" t="s">
        <v>1096</v>
      </c>
      <c r="B235" s="108" t="s">
        <v>1153</v>
      </c>
      <c r="C235" s="108" t="s">
        <v>1154</v>
      </c>
      <c r="D235" s="109">
        <v>45188</v>
      </c>
      <c r="E235" s="110">
        <v>140000</v>
      </c>
      <c r="F235" s="108" t="s">
        <v>32</v>
      </c>
      <c r="G235" s="108" t="s">
        <v>33</v>
      </c>
      <c r="H235" s="110">
        <v>140000</v>
      </c>
      <c r="I235" s="110">
        <v>71500</v>
      </c>
      <c r="J235" s="111">
        <f t="shared" si="21"/>
        <v>51.071428571428569</v>
      </c>
      <c r="K235" s="110">
        <v>179365</v>
      </c>
      <c r="L235" s="110">
        <f>H235-169434</f>
        <v>-29434</v>
      </c>
      <c r="M235" s="110">
        <v>9931</v>
      </c>
      <c r="N235" s="112">
        <f t="shared" si="22"/>
        <v>7.0935714285714283E-2</v>
      </c>
      <c r="O235" s="113">
        <v>41.55</v>
      </c>
      <c r="P235" s="114">
        <v>129.5</v>
      </c>
      <c r="Q235" s="115">
        <v>0.11899999999999999</v>
      </c>
      <c r="R235" s="115">
        <v>0.11899999999999999</v>
      </c>
      <c r="S235" s="110">
        <f t="shared" si="23"/>
        <v>-708.39951865222633</v>
      </c>
      <c r="T235" s="110">
        <f t="shared" si="24"/>
        <v>-247344.53781512607</v>
      </c>
      <c r="U235" s="116">
        <f t="shared" si="25"/>
        <v>-5.6782492611369619</v>
      </c>
      <c r="V235" s="115">
        <v>40</v>
      </c>
      <c r="W235" s="115">
        <f t="shared" si="26"/>
        <v>28000</v>
      </c>
      <c r="X235" s="115">
        <f t="shared" si="27"/>
        <v>700</v>
      </c>
      <c r="Y235" s="117" t="s">
        <v>1095</v>
      </c>
      <c r="Z235" s="108" t="s">
        <v>35</v>
      </c>
      <c r="AA235" s="108" t="s">
        <v>35</v>
      </c>
      <c r="AB235" s="108" t="s">
        <v>1096</v>
      </c>
      <c r="AC235" s="108">
        <v>0</v>
      </c>
      <c r="AD235" s="108">
        <v>1</v>
      </c>
      <c r="AE235" s="108" t="s">
        <v>37</v>
      </c>
      <c r="AF235" s="108" t="s">
        <v>43</v>
      </c>
      <c r="AG235" s="108" t="s">
        <v>38</v>
      </c>
      <c r="AH235" s="108" t="s">
        <v>92</v>
      </c>
    </row>
    <row r="236" spans="1:34" x14ac:dyDescent="0.3">
      <c r="A236" s="118" t="s">
        <v>1096</v>
      </c>
      <c r="B236" s="119" t="s">
        <v>1129</v>
      </c>
      <c r="C236" s="119" t="s">
        <v>1130</v>
      </c>
      <c r="D236" s="120">
        <v>45744</v>
      </c>
      <c r="E236" s="121">
        <v>144000</v>
      </c>
      <c r="F236" s="119" t="s">
        <v>32</v>
      </c>
      <c r="G236" s="119" t="s">
        <v>33</v>
      </c>
      <c r="H236" s="121">
        <v>144000</v>
      </c>
      <c r="I236" s="121">
        <v>59400</v>
      </c>
      <c r="J236" s="122">
        <f t="shared" si="21"/>
        <v>41.25</v>
      </c>
      <c r="K236" s="121">
        <v>125715</v>
      </c>
      <c r="L236" s="121">
        <f>H236-115940</f>
        <v>28060</v>
      </c>
      <c r="M236" s="121">
        <v>9775</v>
      </c>
      <c r="N236" s="123">
        <f t="shared" si="22"/>
        <v>6.7881944444444439E-2</v>
      </c>
      <c r="O236" s="124">
        <v>40.89</v>
      </c>
      <c r="P236" s="125">
        <v>125.45</v>
      </c>
      <c r="Q236" s="126">
        <v>0.115</v>
      </c>
      <c r="R236" s="126">
        <v>0.115</v>
      </c>
      <c r="S236" s="121">
        <f t="shared" si="23"/>
        <v>686.2313524089019</v>
      </c>
      <c r="T236" s="121">
        <f t="shared" si="24"/>
        <v>244000</v>
      </c>
      <c r="U236" s="127">
        <f t="shared" si="25"/>
        <v>5.6014692378328741</v>
      </c>
      <c r="V236" s="126">
        <v>40</v>
      </c>
      <c r="W236" s="126">
        <f t="shared" si="26"/>
        <v>28800</v>
      </c>
      <c r="X236" s="126">
        <f t="shared" si="27"/>
        <v>720</v>
      </c>
      <c r="Y236" s="128" t="s">
        <v>1095</v>
      </c>
      <c r="Z236" s="119" t="s">
        <v>35</v>
      </c>
      <c r="AA236" s="119" t="s">
        <v>35</v>
      </c>
      <c r="AB236" s="119" t="s">
        <v>1096</v>
      </c>
      <c r="AC236" s="119">
        <v>0</v>
      </c>
      <c r="AD236" s="119">
        <v>1</v>
      </c>
      <c r="AE236" s="119" t="s">
        <v>37</v>
      </c>
      <c r="AF236" s="119" t="s">
        <v>35</v>
      </c>
      <c r="AG236" s="119" t="s">
        <v>38</v>
      </c>
      <c r="AH236" s="119" t="s">
        <v>92</v>
      </c>
    </row>
    <row r="237" spans="1:34" x14ac:dyDescent="0.3">
      <c r="A237" s="118" t="s">
        <v>1096</v>
      </c>
      <c r="B237" s="119" t="s">
        <v>1105</v>
      </c>
      <c r="C237" s="119" t="s">
        <v>1106</v>
      </c>
      <c r="D237" s="120">
        <v>45583</v>
      </c>
      <c r="E237" s="121">
        <v>147000</v>
      </c>
      <c r="F237" s="119" t="s">
        <v>32</v>
      </c>
      <c r="G237" s="119" t="s">
        <v>33</v>
      </c>
      <c r="H237" s="121">
        <v>147000</v>
      </c>
      <c r="I237" s="121">
        <v>67400</v>
      </c>
      <c r="J237" s="122">
        <f t="shared" si="21"/>
        <v>45.850340136054427</v>
      </c>
      <c r="K237" s="121">
        <v>144075</v>
      </c>
      <c r="L237" s="121">
        <f>H237-134279</f>
        <v>12721</v>
      </c>
      <c r="M237" s="121">
        <v>9796</v>
      </c>
      <c r="N237" s="123">
        <f t="shared" si="22"/>
        <v>6.6639455782312923E-2</v>
      </c>
      <c r="O237" s="124">
        <v>40.98</v>
      </c>
      <c r="P237" s="125">
        <v>126</v>
      </c>
      <c r="Q237" s="126">
        <v>0.11600000000000001</v>
      </c>
      <c r="R237" s="126">
        <v>0.11600000000000001</v>
      </c>
      <c r="S237" s="121">
        <f t="shared" si="23"/>
        <v>310.41971693509032</v>
      </c>
      <c r="T237" s="121">
        <f t="shared" si="24"/>
        <v>109663.79310344828</v>
      </c>
      <c r="U237" s="127">
        <f t="shared" si="25"/>
        <v>2.5175342769386657</v>
      </c>
      <c r="V237" s="126">
        <v>40</v>
      </c>
      <c r="W237" s="126">
        <f t="shared" si="26"/>
        <v>29400</v>
      </c>
      <c r="X237" s="126">
        <f t="shared" si="27"/>
        <v>735</v>
      </c>
      <c r="Y237" s="128" t="s">
        <v>1095</v>
      </c>
      <c r="Z237" s="119" t="s">
        <v>35</v>
      </c>
      <c r="AA237" s="119" t="s">
        <v>35</v>
      </c>
      <c r="AB237" s="119" t="s">
        <v>1096</v>
      </c>
      <c r="AC237" s="119">
        <v>0</v>
      </c>
      <c r="AD237" s="119">
        <v>1</v>
      </c>
      <c r="AE237" s="119" t="s">
        <v>42</v>
      </c>
      <c r="AF237" s="119" t="s">
        <v>35</v>
      </c>
      <c r="AG237" s="119" t="s">
        <v>38</v>
      </c>
      <c r="AH237" s="119" t="s">
        <v>92</v>
      </c>
    </row>
    <row r="238" spans="1:34" x14ac:dyDescent="0.3">
      <c r="A238" s="107" t="s">
        <v>1096</v>
      </c>
      <c r="B238" s="108" t="s">
        <v>1125</v>
      </c>
      <c r="C238" s="108" t="s">
        <v>1126</v>
      </c>
      <c r="D238" s="109">
        <v>45273</v>
      </c>
      <c r="E238" s="110">
        <v>148500</v>
      </c>
      <c r="F238" s="108" t="s">
        <v>32</v>
      </c>
      <c r="G238" s="108" t="s">
        <v>33</v>
      </c>
      <c r="H238" s="110">
        <v>148500</v>
      </c>
      <c r="I238" s="110">
        <v>54000</v>
      </c>
      <c r="J238" s="111">
        <f t="shared" si="21"/>
        <v>36.363636363636367</v>
      </c>
      <c r="K238" s="110">
        <v>133272</v>
      </c>
      <c r="L238" s="110">
        <f>H238-123360</f>
        <v>25140</v>
      </c>
      <c r="M238" s="110">
        <v>9912</v>
      </c>
      <c r="N238" s="112">
        <f t="shared" si="22"/>
        <v>6.674747474747475E-2</v>
      </c>
      <c r="O238" s="113">
        <v>41.47</v>
      </c>
      <c r="P238" s="114">
        <v>129</v>
      </c>
      <c r="Q238" s="115">
        <v>0.11799999999999999</v>
      </c>
      <c r="R238" s="115">
        <v>0.11799999999999999</v>
      </c>
      <c r="S238" s="110">
        <f t="shared" si="23"/>
        <v>606.22136484205453</v>
      </c>
      <c r="T238" s="110">
        <f t="shared" si="24"/>
        <v>213050.84745762713</v>
      </c>
      <c r="U238" s="116">
        <f t="shared" si="25"/>
        <v>4.8909744595414857</v>
      </c>
      <c r="V238" s="115">
        <v>40</v>
      </c>
      <c r="W238" s="115">
        <f t="shared" si="26"/>
        <v>29700</v>
      </c>
      <c r="X238" s="115">
        <f t="shared" si="27"/>
        <v>742.5</v>
      </c>
      <c r="Y238" s="117" t="s">
        <v>1095</v>
      </c>
      <c r="Z238" s="108" t="s">
        <v>35</v>
      </c>
      <c r="AA238" s="108" t="s">
        <v>35</v>
      </c>
      <c r="AB238" s="108" t="s">
        <v>1096</v>
      </c>
      <c r="AC238" s="108">
        <v>0</v>
      </c>
      <c r="AD238" s="108">
        <v>1</v>
      </c>
      <c r="AE238" s="108" t="s">
        <v>37</v>
      </c>
      <c r="AF238" s="108" t="s">
        <v>43</v>
      </c>
      <c r="AG238" s="108" t="s">
        <v>38</v>
      </c>
      <c r="AH238" s="108" t="s">
        <v>92</v>
      </c>
    </row>
    <row r="239" spans="1:34" x14ac:dyDescent="0.3">
      <c r="A239" s="107" t="s">
        <v>1096</v>
      </c>
      <c r="B239" s="108" t="s">
        <v>1117</v>
      </c>
      <c r="C239" s="108" t="s">
        <v>1118</v>
      </c>
      <c r="D239" s="109">
        <v>45210</v>
      </c>
      <c r="E239" s="110">
        <v>149900</v>
      </c>
      <c r="F239" s="108" t="s">
        <v>32</v>
      </c>
      <c r="G239" s="108" t="s">
        <v>33</v>
      </c>
      <c r="H239" s="110">
        <v>149900</v>
      </c>
      <c r="I239" s="110">
        <v>53800</v>
      </c>
      <c r="J239" s="111">
        <f t="shared" si="21"/>
        <v>35.890593729152769</v>
      </c>
      <c r="K239" s="110">
        <v>127728</v>
      </c>
      <c r="L239" s="110">
        <f>H239-117323</f>
        <v>32577</v>
      </c>
      <c r="M239" s="110">
        <v>10405</v>
      </c>
      <c r="N239" s="112">
        <f t="shared" si="22"/>
        <v>6.9412941961307539E-2</v>
      </c>
      <c r="O239" s="113">
        <v>43.53</v>
      </c>
      <c r="P239" s="114">
        <v>142.15</v>
      </c>
      <c r="Q239" s="115">
        <v>0.13100000000000001</v>
      </c>
      <c r="R239" s="115">
        <v>0.13100000000000001</v>
      </c>
      <c r="S239" s="110">
        <f t="shared" si="23"/>
        <v>748.38042729152312</v>
      </c>
      <c r="T239" s="110">
        <f t="shared" si="24"/>
        <v>248679.38931297709</v>
      </c>
      <c r="U239" s="116">
        <f t="shared" si="25"/>
        <v>5.7088932349168298</v>
      </c>
      <c r="V239" s="115">
        <v>40</v>
      </c>
      <c r="W239" s="115">
        <f t="shared" si="26"/>
        <v>29980</v>
      </c>
      <c r="X239" s="115">
        <f t="shared" si="27"/>
        <v>749.5</v>
      </c>
      <c r="Y239" s="117" t="s">
        <v>1095</v>
      </c>
      <c r="Z239" s="108" t="s">
        <v>35</v>
      </c>
      <c r="AA239" s="108" t="s">
        <v>35</v>
      </c>
      <c r="AB239" s="108" t="s">
        <v>1096</v>
      </c>
      <c r="AC239" s="108">
        <v>0</v>
      </c>
      <c r="AD239" s="108">
        <v>1</v>
      </c>
      <c r="AE239" s="108" t="s">
        <v>42</v>
      </c>
      <c r="AF239" s="108" t="s">
        <v>43</v>
      </c>
      <c r="AG239" s="108" t="s">
        <v>38</v>
      </c>
      <c r="AH239" s="108" t="s">
        <v>92</v>
      </c>
    </row>
    <row r="240" spans="1:34" x14ac:dyDescent="0.3">
      <c r="A240" s="107" t="s">
        <v>1096</v>
      </c>
      <c r="B240" s="108" t="s">
        <v>1131</v>
      </c>
      <c r="C240" s="108" t="s">
        <v>1132</v>
      </c>
      <c r="D240" s="109">
        <v>45491</v>
      </c>
      <c r="E240" s="110">
        <v>156000</v>
      </c>
      <c r="F240" s="108" t="s">
        <v>32</v>
      </c>
      <c r="G240" s="108" t="s">
        <v>33</v>
      </c>
      <c r="H240" s="110">
        <v>156000</v>
      </c>
      <c r="I240" s="110">
        <v>55800</v>
      </c>
      <c r="J240" s="111">
        <f t="shared" si="21"/>
        <v>35.769230769230766</v>
      </c>
      <c r="K240" s="110">
        <v>118004</v>
      </c>
      <c r="L240" s="110">
        <f>H240-108114</f>
        <v>47886</v>
      </c>
      <c r="M240" s="110">
        <v>9890</v>
      </c>
      <c r="N240" s="112">
        <f t="shared" si="22"/>
        <v>6.3397435897435891E-2</v>
      </c>
      <c r="O240" s="113">
        <v>41.38</v>
      </c>
      <c r="P240" s="114">
        <v>128.44</v>
      </c>
      <c r="Q240" s="115">
        <v>0.11799999999999999</v>
      </c>
      <c r="R240" s="115">
        <v>0.11799999999999999</v>
      </c>
      <c r="S240" s="110">
        <f t="shared" si="23"/>
        <v>1157.2257129047848</v>
      </c>
      <c r="T240" s="110">
        <f t="shared" si="24"/>
        <v>405813.55932203389</v>
      </c>
      <c r="U240" s="116">
        <f t="shared" si="25"/>
        <v>9.3161974132698315</v>
      </c>
      <c r="V240" s="115">
        <v>40</v>
      </c>
      <c r="W240" s="115">
        <f t="shared" si="26"/>
        <v>31200</v>
      </c>
      <c r="X240" s="115">
        <f t="shared" si="27"/>
        <v>780</v>
      </c>
      <c r="Y240" s="117" t="s">
        <v>1095</v>
      </c>
      <c r="Z240" s="108" t="s">
        <v>35</v>
      </c>
      <c r="AA240" s="108" t="s">
        <v>35</v>
      </c>
      <c r="AB240" s="108" t="s">
        <v>1096</v>
      </c>
      <c r="AC240" s="108">
        <v>0</v>
      </c>
      <c r="AD240" s="108">
        <v>1</v>
      </c>
      <c r="AE240" s="108" t="s">
        <v>42</v>
      </c>
      <c r="AF240" s="108" t="s">
        <v>43</v>
      </c>
      <c r="AG240" s="108" t="s">
        <v>38</v>
      </c>
      <c r="AH240" s="108" t="s">
        <v>92</v>
      </c>
    </row>
    <row r="241" spans="1:34" x14ac:dyDescent="0.3">
      <c r="A241" s="118" t="s">
        <v>1096</v>
      </c>
      <c r="B241" s="119" t="s">
        <v>1111</v>
      </c>
      <c r="C241" s="119" t="s">
        <v>1112</v>
      </c>
      <c r="D241" s="120">
        <v>45534</v>
      </c>
      <c r="E241" s="121">
        <v>160000</v>
      </c>
      <c r="F241" s="119" t="s">
        <v>32</v>
      </c>
      <c r="G241" s="119" t="s">
        <v>33</v>
      </c>
      <c r="H241" s="121">
        <v>160000</v>
      </c>
      <c r="I241" s="121">
        <v>62500</v>
      </c>
      <c r="J241" s="122">
        <f t="shared" si="21"/>
        <v>39.0625</v>
      </c>
      <c r="K241" s="121">
        <v>132945</v>
      </c>
      <c r="L241" s="121">
        <f>H241-123208</f>
        <v>36792</v>
      </c>
      <c r="M241" s="121">
        <v>9737</v>
      </c>
      <c r="N241" s="123">
        <f t="shared" si="22"/>
        <v>6.0856250000000001E-2</v>
      </c>
      <c r="O241" s="124">
        <v>40.74</v>
      </c>
      <c r="P241" s="125">
        <v>124.49</v>
      </c>
      <c r="Q241" s="126">
        <v>0.114</v>
      </c>
      <c r="R241" s="126">
        <v>0.114</v>
      </c>
      <c r="S241" s="121">
        <f t="shared" si="23"/>
        <v>903.09278350515456</v>
      </c>
      <c r="T241" s="121">
        <f t="shared" si="24"/>
        <v>322736.84210526315</v>
      </c>
      <c r="U241" s="127">
        <f t="shared" si="25"/>
        <v>7.4090184138031026</v>
      </c>
      <c r="V241" s="126">
        <v>40</v>
      </c>
      <c r="W241" s="126">
        <f t="shared" si="26"/>
        <v>32000</v>
      </c>
      <c r="X241" s="126">
        <f t="shared" si="27"/>
        <v>800</v>
      </c>
      <c r="Y241" s="128" t="s">
        <v>1095</v>
      </c>
      <c r="Z241" s="119" t="s">
        <v>35</v>
      </c>
      <c r="AA241" s="119" t="s">
        <v>35</v>
      </c>
      <c r="AB241" s="119" t="s">
        <v>1096</v>
      </c>
      <c r="AC241" s="119">
        <v>0</v>
      </c>
      <c r="AD241" s="119">
        <v>1</v>
      </c>
      <c r="AE241" s="119" t="s">
        <v>42</v>
      </c>
      <c r="AF241" s="119" t="s">
        <v>43</v>
      </c>
      <c r="AG241" s="119" t="s">
        <v>38</v>
      </c>
      <c r="AH241" s="119" t="s">
        <v>92</v>
      </c>
    </row>
    <row r="242" spans="1:34" x14ac:dyDescent="0.3">
      <c r="A242" s="107" t="s">
        <v>1096</v>
      </c>
      <c r="B242" s="108" t="s">
        <v>1149</v>
      </c>
      <c r="C242" s="108" t="s">
        <v>1150</v>
      </c>
      <c r="D242" s="109">
        <v>45044</v>
      </c>
      <c r="E242" s="110">
        <v>163000</v>
      </c>
      <c r="F242" s="108" t="s">
        <v>32</v>
      </c>
      <c r="G242" s="108" t="s">
        <v>33</v>
      </c>
      <c r="H242" s="110">
        <v>163000</v>
      </c>
      <c r="I242" s="110">
        <v>65500</v>
      </c>
      <c r="J242" s="111">
        <f t="shared" si="21"/>
        <v>40.184049079754601</v>
      </c>
      <c r="K242" s="110">
        <v>164517</v>
      </c>
      <c r="L242" s="110">
        <f>H242-154586</f>
        <v>8414</v>
      </c>
      <c r="M242" s="110">
        <v>9931</v>
      </c>
      <c r="N242" s="112">
        <f t="shared" si="22"/>
        <v>6.0926380368098158E-2</v>
      </c>
      <c r="O242" s="113">
        <v>41.55</v>
      </c>
      <c r="P242" s="114">
        <v>129.5</v>
      </c>
      <c r="Q242" s="115">
        <v>0.11899999999999999</v>
      </c>
      <c r="R242" s="115">
        <v>0.11899999999999999</v>
      </c>
      <c r="S242" s="110">
        <f t="shared" si="23"/>
        <v>202.50300842358607</v>
      </c>
      <c r="T242" s="110">
        <f t="shared" si="24"/>
        <v>70705.882352941175</v>
      </c>
      <c r="U242" s="116">
        <f t="shared" si="25"/>
        <v>1.6231837087452061</v>
      </c>
      <c r="V242" s="115">
        <v>40</v>
      </c>
      <c r="W242" s="115">
        <f t="shared" si="26"/>
        <v>32600</v>
      </c>
      <c r="X242" s="115">
        <f t="shared" si="27"/>
        <v>815</v>
      </c>
      <c r="Y242" s="117" t="s">
        <v>1095</v>
      </c>
      <c r="Z242" s="108" t="s">
        <v>35</v>
      </c>
      <c r="AA242" s="108" t="s">
        <v>35</v>
      </c>
      <c r="AB242" s="108" t="s">
        <v>1096</v>
      </c>
      <c r="AC242" s="108">
        <v>0</v>
      </c>
      <c r="AD242" s="108">
        <v>1</v>
      </c>
      <c r="AE242" s="108" t="s">
        <v>37</v>
      </c>
      <c r="AF242" s="108" t="s">
        <v>43</v>
      </c>
      <c r="AG242" s="108" t="s">
        <v>38</v>
      </c>
      <c r="AH242" s="108" t="s">
        <v>92</v>
      </c>
    </row>
    <row r="243" spans="1:34" x14ac:dyDescent="0.3">
      <c r="A243" s="118" t="s">
        <v>1096</v>
      </c>
      <c r="B243" s="119" t="s">
        <v>1143</v>
      </c>
      <c r="C243" s="119" t="s">
        <v>1144</v>
      </c>
      <c r="D243" s="120">
        <v>45301</v>
      </c>
      <c r="E243" s="121">
        <v>168000</v>
      </c>
      <c r="F243" s="119" t="s">
        <v>32</v>
      </c>
      <c r="G243" s="119" t="s">
        <v>33</v>
      </c>
      <c r="H243" s="121">
        <v>168000</v>
      </c>
      <c r="I243" s="121">
        <v>59000</v>
      </c>
      <c r="J243" s="122">
        <f t="shared" si="21"/>
        <v>35.119047619047613</v>
      </c>
      <c r="K243" s="121">
        <v>145722</v>
      </c>
      <c r="L243" s="121">
        <f>H243-136569</f>
        <v>31431</v>
      </c>
      <c r="M243" s="121">
        <v>9153</v>
      </c>
      <c r="N243" s="123">
        <f t="shared" si="22"/>
        <v>5.4482142857142854E-2</v>
      </c>
      <c r="O243" s="124">
        <v>38.29</v>
      </c>
      <c r="P243" s="125">
        <v>110</v>
      </c>
      <c r="Q243" s="126">
        <v>0.10100000000000001</v>
      </c>
      <c r="R243" s="126">
        <v>0.10100000000000001</v>
      </c>
      <c r="S243" s="121">
        <f t="shared" si="23"/>
        <v>820.86706711935233</v>
      </c>
      <c r="T243" s="121">
        <f t="shared" si="24"/>
        <v>311198.01980198018</v>
      </c>
      <c r="U243" s="127">
        <f t="shared" si="25"/>
        <v>7.1441235032594159</v>
      </c>
      <c r="V243" s="126">
        <v>40</v>
      </c>
      <c r="W243" s="126">
        <f t="shared" si="26"/>
        <v>33600</v>
      </c>
      <c r="X243" s="126">
        <f t="shared" si="27"/>
        <v>840</v>
      </c>
      <c r="Y243" s="128" t="s">
        <v>1095</v>
      </c>
      <c r="Z243" s="119" t="s">
        <v>35</v>
      </c>
      <c r="AA243" s="119" t="s">
        <v>35</v>
      </c>
      <c r="AB243" s="119" t="s">
        <v>1096</v>
      </c>
      <c r="AC243" s="119">
        <v>0</v>
      </c>
      <c r="AD243" s="119">
        <v>1</v>
      </c>
      <c r="AE243" s="119" t="s">
        <v>37</v>
      </c>
      <c r="AF243" s="119" t="s">
        <v>43</v>
      </c>
      <c r="AG243" s="119" t="s">
        <v>38</v>
      </c>
      <c r="AH243" s="119" t="s">
        <v>92</v>
      </c>
    </row>
    <row r="244" spans="1:34" x14ac:dyDescent="0.3">
      <c r="A244" s="107" t="s">
        <v>1096</v>
      </c>
      <c r="B244" s="108" t="s">
        <v>1133</v>
      </c>
      <c r="C244" s="108" t="s">
        <v>1134</v>
      </c>
      <c r="D244" s="109">
        <v>45359</v>
      </c>
      <c r="E244" s="110">
        <v>168000</v>
      </c>
      <c r="F244" s="108" t="s">
        <v>32</v>
      </c>
      <c r="G244" s="108" t="s">
        <v>33</v>
      </c>
      <c r="H244" s="110">
        <v>168000</v>
      </c>
      <c r="I244" s="110">
        <v>61800</v>
      </c>
      <c r="J244" s="111">
        <f t="shared" si="21"/>
        <v>36.785714285714292</v>
      </c>
      <c r="K244" s="110">
        <v>153861</v>
      </c>
      <c r="L244" s="110">
        <f>H244-143645</f>
        <v>24355</v>
      </c>
      <c r="M244" s="110">
        <v>10216</v>
      </c>
      <c r="N244" s="112">
        <f t="shared" si="22"/>
        <v>6.0809523809523806E-2</v>
      </c>
      <c r="O244" s="113">
        <v>42.74</v>
      </c>
      <c r="P244" s="114">
        <v>137.03</v>
      </c>
      <c r="Q244" s="115">
        <v>0.126</v>
      </c>
      <c r="R244" s="115">
        <v>0.126</v>
      </c>
      <c r="S244" s="110">
        <f t="shared" si="23"/>
        <v>569.8408984557791</v>
      </c>
      <c r="T244" s="110">
        <f t="shared" si="24"/>
        <v>193293.6507936508</v>
      </c>
      <c r="U244" s="116">
        <f t="shared" si="25"/>
        <v>4.4374116343813315</v>
      </c>
      <c r="V244" s="115">
        <v>40</v>
      </c>
      <c r="W244" s="115">
        <f t="shared" si="26"/>
        <v>33600</v>
      </c>
      <c r="X244" s="115">
        <f t="shared" si="27"/>
        <v>840</v>
      </c>
      <c r="Y244" s="117" t="s">
        <v>1095</v>
      </c>
      <c r="Z244" s="108" t="s">
        <v>35</v>
      </c>
      <c r="AA244" s="108" t="s">
        <v>35</v>
      </c>
      <c r="AB244" s="108" t="s">
        <v>1096</v>
      </c>
      <c r="AC244" s="108">
        <v>0</v>
      </c>
      <c r="AD244" s="108">
        <v>1</v>
      </c>
      <c r="AE244" s="108" t="s">
        <v>37</v>
      </c>
      <c r="AF244" s="108" t="s">
        <v>43</v>
      </c>
      <c r="AG244" s="108" t="s">
        <v>38</v>
      </c>
      <c r="AH244" s="108" t="s">
        <v>92</v>
      </c>
    </row>
    <row r="245" spans="1:34" x14ac:dyDescent="0.3">
      <c r="A245" s="107" t="s">
        <v>1096</v>
      </c>
      <c r="B245" s="108" t="s">
        <v>1139</v>
      </c>
      <c r="C245" s="108" t="s">
        <v>1140</v>
      </c>
      <c r="D245" s="109">
        <v>45238</v>
      </c>
      <c r="E245" s="110">
        <v>170000</v>
      </c>
      <c r="F245" s="108" t="s">
        <v>32</v>
      </c>
      <c r="G245" s="108" t="s">
        <v>33</v>
      </c>
      <c r="H245" s="110">
        <v>170000</v>
      </c>
      <c r="I245" s="110">
        <v>67300</v>
      </c>
      <c r="J245" s="111">
        <f t="shared" si="21"/>
        <v>39.588235294117645</v>
      </c>
      <c r="K245" s="110">
        <v>169686</v>
      </c>
      <c r="L245" s="110">
        <f>H245-159755</f>
        <v>10245</v>
      </c>
      <c r="M245" s="110">
        <v>9931</v>
      </c>
      <c r="N245" s="112">
        <f t="shared" si="22"/>
        <v>5.8417647058823532E-2</v>
      </c>
      <c r="O245" s="113">
        <v>41.55</v>
      </c>
      <c r="P245" s="114">
        <v>129.5</v>
      </c>
      <c r="Q245" s="115">
        <v>0.11899999999999999</v>
      </c>
      <c r="R245" s="115">
        <v>0.11899999999999999</v>
      </c>
      <c r="S245" s="110">
        <f t="shared" si="23"/>
        <v>246.57039711191337</v>
      </c>
      <c r="T245" s="110">
        <f t="shared" si="24"/>
        <v>86092.436974789918</v>
      </c>
      <c r="U245" s="116">
        <f t="shared" si="25"/>
        <v>1.9764103988702919</v>
      </c>
      <c r="V245" s="115">
        <v>40</v>
      </c>
      <c r="W245" s="115">
        <f t="shared" si="26"/>
        <v>34000</v>
      </c>
      <c r="X245" s="115">
        <f t="shared" si="27"/>
        <v>850</v>
      </c>
      <c r="Y245" s="117" t="s">
        <v>1095</v>
      </c>
      <c r="Z245" s="108" t="s">
        <v>35</v>
      </c>
      <c r="AA245" s="108" t="s">
        <v>35</v>
      </c>
      <c r="AB245" s="108" t="s">
        <v>1096</v>
      </c>
      <c r="AC245" s="108">
        <v>0</v>
      </c>
      <c r="AD245" s="108">
        <v>1</v>
      </c>
      <c r="AE245" s="108" t="s">
        <v>412</v>
      </c>
      <c r="AF245" s="108" t="s">
        <v>43</v>
      </c>
      <c r="AG245" s="108" t="s">
        <v>38</v>
      </c>
      <c r="AH245" s="108" t="s">
        <v>92</v>
      </c>
    </row>
    <row r="246" spans="1:34" x14ac:dyDescent="0.3">
      <c r="A246" s="107" t="s">
        <v>1096</v>
      </c>
      <c r="B246" s="108" t="s">
        <v>1147</v>
      </c>
      <c r="C246" s="108" t="s">
        <v>1148</v>
      </c>
      <c r="D246" s="109">
        <v>45518</v>
      </c>
      <c r="E246" s="110">
        <v>170000</v>
      </c>
      <c r="F246" s="108" t="s">
        <v>32</v>
      </c>
      <c r="G246" s="108" t="s">
        <v>33</v>
      </c>
      <c r="H246" s="110">
        <v>170000</v>
      </c>
      <c r="I246" s="110">
        <v>73900</v>
      </c>
      <c r="J246" s="111">
        <f t="shared" si="21"/>
        <v>43.470588235294116</v>
      </c>
      <c r="K246" s="110">
        <v>156656</v>
      </c>
      <c r="L246" s="110">
        <f>H246-146725</f>
        <v>23275</v>
      </c>
      <c r="M246" s="110">
        <v>9931</v>
      </c>
      <c r="N246" s="112">
        <f t="shared" si="22"/>
        <v>5.8417647058823532E-2</v>
      </c>
      <c r="O246" s="113">
        <v>41.55</v>
      </c>
      <c r="P246" s="114">
        <v>129.5</v>
      </c>
      <c r="Q246" s="115">
        <v>0.11899999999999999</v>
      </c>
      <c r="R246" s="115">
        <v>0.11899999999999999</v>
      </c>
      <c r="S246" s="110">
        <f t="shared" si="23"/>
        <v>560.16847172081827</v>
      </c>
      <c r="T246" s="110">
        <f t="shared" si="24"/>
        <v>195588.23529411765</v>
      </c>
      <c r="U246" s="116">
        <f t="shared" si="25"/>
        <v>4.490088046237779</v>
      </c>
      <c r="V246" s="115">
        <v>40</v>
      </c>
      <c r="W246" s="115">
        <f t="shared" si="26"/>
        <v>34000</v>
      </c>
      <c r="X246" s="115">
        <f t="shared" si="27"/>
        <v>850</v>
      </c>
      <c r="Y246" s="117" t="s">
        <v>1095</v>
      </c>
      <c r="Z246" s="108" t="s">
        <v>35</v>
      </c>
      <c r="AA246" s="108" t="s">
        <v>35</v>
      </c>
      <c r="AB246" s="108" t="s">
        <v>1096</v>
      </c>
      <c r="AC246" s="108">
        <v>0</v>
      </c>
      <c r="AD246" s="108">
        <v>1</v>
      </c>
      <c r="AE246" s="108" t="s">
        <v>37</v>
      </c>
      <c r="AF246" s="108" t="s">
        <v>43</v>
      </c>
      <c r="AG246" s="108" t="s">
        <v>38</v>
      </c>
      <c r="AH246" s="108" t="s">
        <v>92</v>
      </c>
    </row>
    <row r="247" spans="1:34" x14ac:dyDescent="0.3">
      <c r="A247" s="118" t="s">
        <v>1096</v>
      </c>
      <c r="B247" s="119" t="s">
        <v>1113</v>
      </c>
      <c r="C247" s="119" t="s">
        <v>1114</v>
      </c>
      <c r="D247" s="120">
        <v>45380</v>
      </c>
      <c r="E247" s="121">
        <v>174900</v>
      </c>
      <c r="F247" s="119" t="s">
        <v>32</v>
      </c>
      <c r="G247" s="119" t="s">
        <v>33</v>
      </c>
      <c r="H247" s="121">
        <v>174900</v>
      </c>
      <c r="I247" s="121">
        <v>74500</v>
      </c>
      <c r="J247" s="122">
        <f t="shared" si="21"/>
        <v>42.59576901086335</v>
      </c>
      <c r="K247" s="121">
        <v>185723</v>
      </c>
      <c r="L247" s="121">
        <f>H247-175522</f>
        <v>-622</v>
      </c>
      <c r="M247" s="121">
        <v>10201</v>
      </c>
      <c r="N247" s="123">
        <f t="shared" si="22"/>
        <v>5.8324757004002289E-2</v>
      </c>
      <c r="O247" s="124">
        <v>42.68</v>
      </c>
      <c r="P247" s="125">
        <v>136.63999999999999</v>
      </c>
      <c r="Q247" s="126">
        <v>0.125</v>
      </c>
      <c r="R247" s="126">
        <v>0.125</v>
      </c>
      <c r="S247" s="121">
        <f t="shared" si="23"/>
        <v>-14.57357075913777</v>
      </c>
      <c r="T247" s="121">
        <f t="shared" si="24"/>
        <v>-4976</v>
      </c>
      <c r="U247" s="127">
        <f t="shared" si="25"/>
        <v>-0.11423324150596878</v>
      </c>
      <c r="V247" s="126">
        <v>40</v>
      </c>
      <c r="W247" s="126">
        <f t="shared" si="26"/>
        <v>34980</v>
      </c>
      <c r="X247" s="126">
        <f t="shared" si="27"/>
        <v>874.5</v>
      </c>
      <c r="Y247" s="128" t="s">
        <v>1095</v>
      </c>
      <c r="Z247" s="119" t="s">
        <v>35</v>
      </c>
      <c r="AA247" s="119" t="s">
        <v>35</v>
      </c>
      <c r="AB247" s="119" t="s">
        <v>1096</v>
      </c>
      <c r="AC247" s="119">
        <v>0</v>
      </c>
      <c r="AD247" s="119">
        <v>1</v>
      </c>
      <c r="AE247" s="119" t="s">
        <v>37</v>
      </c>
      <c r="AF247" s="119" t="s">
        <v>43</v>
      </c>
      <c r="AG247" s="119" t="s">
        <v>38</v>
      </c>
      <c r="AH247" s="119" t="s">
        <v>92</v>
      </c>
    </row>
    <row r="248" spans="1:34" x14ac:dyDescent="0.3">
      <c r="A248" s="118" t="s">
        <v>1096</v>
      </c>
      <c r="B248" s="119" t="s">
        <v>1145</v>
      </c>
      <c r="C248" s="119" t="s">
        <v>1146</v>
      </c>
      <c r="D248" s="120">
        <v>45188</v>
      </c>
      <c r="E248" s="121">
        <v>175000</v>
      </c>
      <c r="F248" s="119" t="s">
        <v>32</v>
      </c>
      <c r="G248" s="119" t="s">
        <v>33</v>
      </c>
      <c r="H248" s="121">
        <v>175000</v>
      </c>
      <c r="I248" s="121">
        <v>68700</v>
      </c>
      <c r="J248" s="122">
        <f t="shared" si="21"/>
        <v>39.25714285714286</v>
      </c>
      <c r="K248" s="121">
        <v>163405</v>
      </c>
      <c r="L248" s="121">
        <f>H248-153474</f>
        <v>21526</v>
      </c>
      <c r="M248" s="121">
        <v>9931</v>
      </c>
      <c r="N248" s="123">
        <f t="shared" si="22"/>
        <v>5.6748571428571426E-2</v>
      </c>
      <c r="O248" s="124">
        <v>41.55</v>
      </c>
      <c r="P248" s="125">
        <v>129.5</v>
      </c>
      <c r="Q248" s="126">
        <v>0.11899999999999999</v>
      </c>
      <c r="R248" s="126">
        <v>0.11899999999999999</v>
      </c>
      <c r="S248" s="121">
        <f t="shared" si="23"/>
        <v>518.07460890493383</v>
      </c>
      <c r="T248" s="121">
        <f t="shared" si="24"/>
        <v>180890.75630252101</v>
      </c>
      <c r="U248" s="127">
        <f t="shared" si="25"/>
        <v>4.1526803558889123</v>
      </c>
      <c r="V248" s="126">
        <v>40</v>
      </c>
      <c r="W248" s="126">
        <f t="shared" si="26"/>
        <v>35000</v>
      </c>
      <c r="X248" s="126">
        <f t="shared" si="27"/>
        <v>875</v>
      </c>
      <c r="Y248" s="128" t="s">
        <v>1095</v>
      </c>
      <c r="Z248" s="119" t="s">
        <v>35</v>
      </c>
      <c r="AA248" s="119" t="s">
        <v>35</v>
      </c>
      <c r="AB248" s="119" t="s">
        <v>1096</v>
      </c>
      <c r="AC248" s="119">
        <v>0</v>
      </c>
      <c r="AD248" s="119">
        <v>1</v>
      </c>
      <c r="AE248" s="119" t="s">
        <v>37</v>
      </c>
      <c r="AF248" s="119" t="s">
        <v>43</v>
      </c>
      <c r="AG248" s="119" t="s">
        <v>38</v>
      </c>
      <c r="AH248" s="119" t="s">
        <v>92</v>
      </c>
    </row>
    <row r="249" spans="1:34" x14ac:dyDescent="0.3">
      <c r="A249" s="107" t="s">
        <v>1096</v>
      </c>
      <c r="B249" s="108" t="s">
        <v>1155</v>
      </c>
      <c r="C249" s="108" t="s">
        <v>1156</v>
      </c>
      <c r="D249" s="109">
        <v>45616</v>
      </c>
      <c r="E249" s="110">
        <v>180000</v>
      </c>
      <c r="F249" s="108" t="s">
        <v>32</v>
      </c>
      <c r="G249" s="108" t="s">
        <v>33</v>
      </c>
      <c r="H249" s="110">
        <v>180000</v>
      </c>
      <c r="I249" s="110">
        <v>70500</v>
      </c>
      <c r="J249" s="111">
        <f t="shared" si="21"/>
        <v>39.166666666666664</v>
      </c>
      <c r="K249" s="110">
        <v>150690</v>
      </c>
      <c r="L249" s="110">
        <f>H249-140759</f>
        <v>39241</v>
      </c>
      <c r="M249" s="110">
        <v>9931</v>
      </c>
      <c r="N249" s="112">
        <f t="shared" si="22"/>
        <v>5.517222222222222E-2</v>
      </c>
      <c r="O249" s="113">
        <v>41.55</v>
      </c>
      <c r="P249" s="114">
        <v>129.5</v>
      </c>
      <c r="Q249" s="115">
        <v>0.11899999999999999</v>
      </c>
      <c r="R249" s="115">
        <v>0.11899999999999999</v>
      </c>
      <c r="S249" s="110">
        <f t="shared" si="23"/>
        <v>944.42839951865233</v>
      </c>
      <c r="T249" s="110">
        <f t="shared" si="24"/>
        <v>329756.30252100842</v>
      </c>
      <c r="U249" s="116">
        <f t="shared" si="25"/>
        <v>7.5701630514464746</v>
      </c>
      <c r="V249" s="115">
        <v>40</v>
      </c>
      <c r="W249" s="115">
        <f t="shared" si="26"/>
        <v>36000</v>
      </c>
      <c r="X249" s="115">
        <f t="shared" si="27"/>
        <v>900</v>
      </c>
      <c r="Y249" s="117" t="s">
        <v>1095</v>
      </c>
      <c r="Z249" s="108" t="s">
        <v>35</v>
      </c>
      <c r="AA249" s="108" t="s">
        <v>35</v>
      </c>
      <c r="AB249" s="108" t="s">
        <v>1096</v>
      </c>
      <c r="AC249" s="108">
        <v>0</v>
      </c>
      <c r="AD249" s="108">
        <v>1</v>
      </c>
      <c r="AE249" s="108" t="s">
        <v>37</v>
      </c>
      <c r="AF249" s="108" t="s">
        <v>35</v>
      </c>
      <c r="AG249" s="108" t="s">
        <v>38</v>
      </c>
      <c r="AH249" s="108" t="s">
        <v>92</v>
      </c>
    </row>
    <row r="250" spans="1:34" x14ac:dyDescent="0.3">
      <c r="A250" s="118" t="s">
        <v>1096</v>
      </c>
      <c r="B250" s="119" t="s">
        <v>1151</v>
      </c>
      <c r="C250" s="119" t="s">
        <v>1152</v>
      </c>
      <c r="D250" s="120">
        <v>45702</v>
      </c>
      <c r="E250" s="121">
        <v>189000</v>
      </c>
      <c r="F250" s="119" t="s">
        <v>32</v>
      </c>
      <c r="G250" s="119" t="s">
        <v>33</v>
      </c>
      <c r="H250" s="121">
        <v>189000</v>
      </c>
      <c r="I250" s="121">
        <v>67100</v>
      </c>
      <c r="J250" s="122">
        <f t="shared" si="21"/>
        <v>35.5026455026455</v>
      </c>
      <c r="K250" s="121">
        <v>143248</v>
      </c>
      <c r="L250" s="121">
        <f>H250-133317</f>
        <v>55683</v>
      </c>
      <c r="M250" s="121">
        <v>9931</v>
      </c>
      <c r="N250" s="123">
        <f t="shared" si="22"/>
        <v>5.2544973544973547E-2</v>
      </c>
      <c r="O250" s="124">
        <v>41.55</v>
      </c>
      <c r="P250" s="125">
        <v>129.5</v>
      </c>
      <c r="Q250" s="126">
        <v>0.11899999999999999</v>
      </c>
      <c r="R250" s="126">
        <v>0.11899999999999999</v>
      </c>
      <c r="S250" s="121">
        <f t="shared" si="23"/>
        <v>1340.1444043321301</v>
      </c>
      <c r="T250" s="121">
        <f t="shared" si="24"/>
        <v>467924.36974789918</v>
      </c>
      <c r="U250" s="127">
        <f t="shared" si="25"/>
        <v>10.742065421209807</v>
      </c>
      <c r="V250" s="126">
        <v>40</v>
      </c>
      <c r="W250" s="126">
        <f t="shared" si="26"/>
        <v>37800</v>
      </c>
      <c r="X250" s="126">
        <f t="shared" si="27"/>
        <v>945</v>
      </c>
      <c r="Y250" s="128" t="s">
        <v>1095</v>
      </c>
      <c r="Z250" s="119" t="s">
        <v>35</v>
      </c>
      <c r="AA250" s="119" t="s">
        <v>35</v>
      </c>
      <c r="AB250" s="119" t="s">
        <v>1096</v>
      </c>
      <c r="AC250" s="119">
        <v>0</v>
      </c>
      <c r="AD250" s="119">
        <v>1</v>
      </c>
      <c r="AE250" s="119" t="s">
        <v>42</v>
      </c>
      <c r="AF250" s="119" t="s">
        <v>35</v>
      </c>
      <c r="AG250" s="119" t="s">
        <v>38</v>
      </c>
      <c r="AH250" s="119" t="s">
        <v>92</v>
      </c>
    </row>
    <row r="251" spans="1:34" x14ac:dyDescent="0.3">
      <c r="A251" s="107" t="s">
        <v>1096</v>
      </c>
      <c r="B251" s="108" t="s">
        <v>1123</v>
      </c>
      <c r="C251" s="108" t="s">
        <v>1124</v>
      </c>
      <c r="D251" s="109">
        <v>45398</v>
      </c>
      <c r="E251" s="110">
        <v>200000</v>
      </c>
      <c r="F251" s="108" t="s">
        <v>32</v>
      </c>
      <c r="G251" s="108" t="s">
        <v>33</v>
      </c>
      <c r="H251" s="110">
        <v>200000</v>
      </c>
      <c r="I251" s="110">
        <v>74200</v>
      </c>
      <c r="J251" s="111">
        <f t="shared" si="21"/>
        <v>37.1</v>
      </c>
      <c r="K251" s="110">
        <v>157216</v>
      </c>
      <c r="L251" s="110">
        <f>H251-147304</f>
        <v>52696</v>
      </c>
      <c r="M251" s="110">
        <v>9912</v>
      </c>
      <c r="N251" s="112">
        <f t="shared" si="22"/>
        <v>4.956E-2</v>
      </c>
      <c r="O251" s="113">
        <v>41.47</v>
      </c>
      <c r="P251" s="114">
        <v>129</v>
      </c>
      <c r="Q251" s="115">
        <v>0.11799999999999999</v>
      </c>
      <c r="R251" s="115">
        <v>0.11799999999999999</v>
      </c>
      <c r="S251" s="110">
        <f t="shared" si="23"/>
        <v>1270.7017120810224</v>
      </c>
      <c r="T251" s="110">
        <f t="shared" si="24"/>
        <v>446576.27118644072</v>
      </c>
      <c r="U251" s="116">
        <f t="shared" si="25"/>
        <v>10.251980513921962</v>
      </c>
      <c r="V251" s="115">
        <v>40</v>
      </c>
      <c r="W251" s="115">
        <f t="shared" si="26"/>
        <v>40000</v>
      </c>
      <c r="X251" s="115">
        <f t="shared" si="27"/>
        <v>1000</v>
      </c>
      <c r="Y251" s="117" t="s">
        <v>1095</v>
      </c>
      <c r="Z251" s="108" t="s">
        <v>35</v>
      </c>
      <c r="AA251" s="108" t="s">
        <v>35</v>
      </c>
      <c r="AB251" s="108" t="s">
        <v>1096</v>
      </c>
      <c r="AC251" s="108">
        <v>0</v>
      </c>
      <c r="AD251" s="108">
        <v>1</v>
      </c>
      <c r="AE251" s="108" t="s">
        <v>37</v>
      </c>
      <c r="AF251" s="108" t="s">
        <v>43</v>
      </c>
      <c r="AG251" s="108" t="s">
        <v>38</v>
      </c>
      <c r="AH251" s="108" t="s">
        <v>92</v>
      </c>
    </row>
    <row r="252" spans="1:34" x14ac:dyDescent="0.3">
      <c r="A252" s="107" t="s">
        <v>1096</v>
      </c>
      <c r="B252" s="108" t="s">
        <v>1109</v>
      </c>
      <c r="C252" s="108" t="s">
        <v>1110</v>
      </c>
      <c r="D252" s="109">
        <v>45331</v>
      </c>
      <c r="E252" s="110">
        <v>205000</v>
      </c>
      <c r="F252" s="108" t="s">
        <v>32</v>
      </c>
      <c r="G252" s="108" t="s">
        <v>33</v>
      </c>
      <c r="H252" s="110">
        <v>205000</v>
      </c>
      <c r="I252" s="110">
        <v>52500</v>
      </c>
      <c r="J252" s="111">
        <f t="shared" si="21"/>
        <v>25.609756097560975</v>
      </c>
      <c r="K252" s="110">
        <v>130011</v>
      </c>
      <c r="L252" s="110">
        <f>H252-120326</f>
        <v>84674</v>
      </c>
      <c r="M252" s="110">
        <v>9685</v>
      </c>
      <c r="N252" s="112">
        <f t="shared" si="22"/>
        <v>4.7243902439024391E-2</v>
      </c>
      <c r="O252" s="113">
        <v>40.520000000000003</v>
      </c>
      <c r="P252" s="114">
        <v>123.15</v>
      </c>
      <c r="Q252" s="115">
        <v>0.113</v>
      </c>
      <c r="R252" s="115">
        <v>0.113</v>
      </c>
      <c r="S252" s="110">
        <f t="shared" si="23"/>
        <v>2089.6841066140178</v>
      </c>
      <c r="T252" s="110">
        <f t="shared" si="24"/>
        <v>749327.4336283186</v>
      </c>
      <c r="U252" s="116">
        <f t="shared" si="25"/>
        <v>17.202190854644595</v>
      </c>
      <c r="V252" s="115">
        <v>40</v>
      </c>
      <c r="W252" s="115">
        <f t="shared" si="26"/>
        <v>41000</v>
      </c>
      <c r="X252" s="115">
        <f t="shared" si="27"/>
        <v>1025</v>
      </c>
      <c r="Y252" s="117" t="s">
        <v>1095</v>
      </c>
      <c r="Z252" s="108" t="s">
        <v>35</v>
      </c>
      <c r="AA252" s="108" t="s">
        <v>35</v>
      </c>
      <c r="AB252" s="108" t="s">
        <v>1096</v>
      </c>
      <c r="AC252" s="108">
        <v>0</v>
      </c>
      <c r="AD252" s="108">
        <v>1</v>
      </c>
      <c r="AE252" s="108" t="s">
        <v>42</v>
      </c>
      <c r="AF252" s="108" t="s">
        <v>43</v>
      </c>
      <c r="AG252" s="108" t="s">
        <v>38</v>
      </c>
      <c r="AH252" s="108" t="s">
        <v>92</v>
      </c>
    </row>
    <row r="253" spans="1:34" x14ac:dyDescent="0.3">
      <c r="A253" s="118" t="s">
        <v>1096</v>
      </c>
      <c r="B253" s="119" t="s">
        <v>1137</v>
      </c>
      <c r="C253" s="119" t="s">
        <v>1138</v>
      </c>
      <c r="D253" s="120">
        <v>45457</v>
      </c>
      <c r="E253" s="121">
        <v>223000</v>
      </c>
      <c r="F253" s="119" t="s">
        <v>32</v>
      </c>
      <c r="G253" s="119" t="s">
        <v>33</v>
      </c>
      <c r="H253" s="121">
        <v>223000</v>
      </c>
      <c r="I253" s="121">
        <v>95400</v>
      </c>
      <c r="J253" s="122">
        <f t="shared" si="21"/>
        <v>42.780269058295964</v>
      </c>
      <c r="K253" s="121">
        <v>207957</v>
      </c>
      <c r="L253" s="121">
        <f>H253-197817</f>
        <v>25183</v>
      </c>
      <c r="M253" s="121">
        <v>10140</v>
      </c>
      <c r="N253" s="123">
        <f t="shared" si="22"/>
        <v>4.547085201793722E-2</v>
      </c>
      <c r="O253" s="124">
        <v>42.42</v>
      </c>
      <c r="P253" s="125">
        <v>135</v>
      </c>
      <c r="Q253" s="126">
        <v>0.124</v>
      </c>
      <c r="R253" s="126">
        <v>0.124</v>
      </c>
      <c r="S253" s="121">
        <f t="shared" si="23"/>
        <v>593.65865157944359</v>
      </c>
      <c r="T253" s="121">
        <f t="shared" si="24"/>
        <v>203088.70967741936</v>
      </c>
      <c r="U253" s="127">
        <f t="shared" si="25"/>
        <v>4.6622752451198197</v>
      </c>
      <c r="V253" s="126">
        <v>40</v>
      </c>
      <c r="W253" s="126">
        <f t="shared" si="26"/>
        <v>44600</v>
      </c>
      <c r="X253" s="126">
        <f t="shared" si="27"/>
        <v>1115</v>
      </c>
      <c r="Y253" s="128" t="s">
        <v>1095</v>
      </c>
      <c r="Z253" s="119" t="s">
        <v>35</v>
      </c>
      <c r="AA253" s="119" t="s">
        <v>35</v>
      </c>
      <c r="AB253" s="119" t="s">
        <v>1096</v>
      </c>
      <c r="AC253" s="119">
        <v>0</v>
      </c>
      <c r="AD253" s="119">
        <v>1</v>
      </c>
      <c r="AE253" s="119" t="s">
        <v>37</v>
      </c>
      <c r="AF253" s="119" t="s">
        <v>43</v>
      </c>
      <c r="AG253" s="119" t="s">
        <v>38</v>
      </c>
      <c r="AH253" s="119" t="s">
        <v>92</v>
      </c>
    </row>
    <row r="254" spans="1:34" x14ac:dyDescent="0.3">
      <c r="A254" s="107" t="s">
        <v>1096</v>
      </c>
      <c r="B254" s="108" t="s">
        <v>1115</v>
      </c>
      <c r="C254" s="108" t="s">
        <v>1116</v>
      </c>
      <c r="D254" s="109">
        <v>45568</v>
      </c>
      <c r="E254" s="110">
        <v>233000</v>
      </c>
      <c r="F254" s="108" t="s">
        <v>32</v>
      </c>
      <c r="G254" s="108" t="s">
        <v>33</v>
      </c>
      <c r="H254" s="110">
        <v>233000</v>
      </c>
      <c r="I254" s="110">
        <v>86000</v>
      </c>
      <c r="J254" s="111">
        <f t="shared" si="21"/>
        <v>36.909871244635198</v>
      </c>
      <c r="K254" s="110">
        <v>181707</v>
      </c>
      <c r="L254" s="110">
        <f>H254-171567</f>
        <v>61433</v>
      </c>
      <c r="M254" s="110">
        <v>10140</v>
      </c>
      <c r="N254" s="112">
        <f t="shared" si="22"/>
        <v>4.351931330472103E-2</v>
      </c>
      <c r="O254" s="113">
        <v>42.42</v>
      </c>
      <c r="P254" s="114">
        <v>135</v>
      </c>
      <c r="Q254" s="115">
        <v>0.124</v>
      </c>
      <c r="R254" s="115">
        <v>0.124</v>
      </c>
      <c r="S254" s="110">
        <f t="shared" si="23"/>
        <v>1448.2083922677982</v>
      </c>
      <c r="T254" s="110">
        <f t="shared" si="24"/>
        <v>495427.41935483873</v>
      </c>
      <c r="U254" s="116">
        <f t="shared" si="25"/>
        <v>11.373448561864985</v>
      </c>
      <c r="V254" s="115">
        <v>40</v>
      </c>
      <c r="W254" s="115">
        <f t="shared" si="26"/>
        <v>46600</v>
      </c>
      <c r="X254" s="115">
        <f t="shared" si="27"/>
        <v>1165</v>
      </c>
      <c r="Y254" s="117" t="s">
        <v>1095</v>
      </c>
      <c r="Z254" s="108" t="s">
        <v>35</v>
      </c>
      <c r="AA254" s="108" t="s">
        <v>35</v>
      </c>
      <c r="AB254" s="108" t="s">
        <v>1096</v>
      </c>
      <c r="AC254" s="108">
        <v>0</v>
      </c>
      <c r="AD254" s="108">
        <v>1</v>
      </c>
      <c r="AE254" s="108" t="s">
        <v>412</v>
      </c>
      <c r="AF254" s="108" t="s">
        <v>43</v>
      </c>
      <c r="AG254" s="108" t="s">
        <v>38</v>
      </c>
      <c r="AH254" s="108" t="s">
        <v>92</v>
      </c>
    </row>
    <row r="255" spans="1:34" x14ac:dyDescent="0.3">
      <c r="A255" s="118" t="s">
        <v>1368</v>
      </c>
      <c r="B255" s="119" t="s">
        <v>1365</v>
      </c>
      <c r="C255" s="119" t="s">
        <v>1366</v>
      </c>
      <c r="D255" s="120">
        <v>45393</v>
      </c>
      <c r="E255" s="121">
        <v>300000</v>
      </c>
      <c r="F255" s="119" t="s">
        <v>32</v>
      </c>
      <c r="G255" s="119" t="s">
        <v>33</v>
      </c>
      <c r="H255" s="121">
        <v>300000</v>
      </c>
      <c r="I255" s="121">
        <v>86100</v>
      </c>
      <c r="J255" s="122">
        <f t="shared" si="21"/>
        <v>28.7</v>
      </c>
      <c r="K255" s="121">
        <v>194569</v>
      </c>
      <c r="L255" s="121">
        <f>H255-179590</f>
        <v>120410</v>
      </c>
      <c r="M255" s="121">
        <v>14979</v>
      </c>
      <c r="N255" s="123">
        <f t="shared" si="22"/>
        <v>4.9930000000000002E-2</v>
      </c>
      <c r="O255" s="124">
        <v>74.89</v>
      </c>
      <c r="P255" s="125">
        <v>123.35</v>
      </c>
      <c r="Q255" s="126">
        <v>0.27</v>
      </c>
      <c r="R255" s="126">
        <v>0.27</v>
      </c>
      <c r="S255" s="121">
        <f t="shared" si="23"/>
        <v>1607.8248097209241</v>
      </c>
      <c r="T255" s="121">
        <f t="shared" si="24"/>
        <v>445962.96296296292</v>
      </c>
      <c r="U255" s="127">
        <f t="shared" si="25"/>
        <v>10.23790089446655</v>
      </c>
      <c r="V255" s="126">
        <v>95.37</v>
      </c>
      <c r="W255" s="126">
        <f t="shared" si="26"/>
        <v>60000</v>
      </c>
      <c r="X255" s="126">
        <f t="shared" si="27"/>
        <v>629.12865681031769</v>
      </c>
      <c r="Y255" s="128" t="s">
        <v>1367</v>
      </c>
      <c r="Z255" s="119" t="s">
        <v>35</v>
      </c>
      <c r="AA255" s="119" t="s">
        <v>35</v>
      </c>
      <c r="AB255" s="119" t="s">
        <v>1368</v>
      </c>
      <c r="AC255" s="119">
        <v>0</v>
      </c>
      <c r="AD255" s="119">
        <v>1</v>
      </c>
      <c r="AE255" s="119" t="s">
        <v>37</v>
      </c>
      <c r="AF255" s="119" t="s">
        <v>43</v>
      </c>
      <c r="AG255" s="119" t="s">
        <v>38</v>
      </c>
      <c r="AH255" s="119" t="s">
        <v>1369</v>
      </c>
    </row>
    <row r="256" spans="1:34" x14ac:dyDescent="0.3">
      <c r="A256" s="107" t="s">
        <v>1368</v>
      </c>
      <c r="B256" s="108" t="s">
        <v>1370</v>
      </c>
      <c r="C256" s="108" t="s">
        <v>1371</v>
      </c>
      <c r="D256" s="109">
        <v>45282</v>
      </c>
      <c r="E256" s="110">
        <v>335000</v>
      </c>
      <c r="F256" s="108" t="s">
        <v>32</v>
      </c>
      <c r="G256" s="108" t="s">
        <v>33</v>
      </c>
      <c r="H256" s="110">
        <v>335000</v>
      </c>
      <c r="I256" s="110">
        <v>144400</v>
      </c>
      <c r="J256" s="111">
        <f t="shared" si="21"/>
        <v>43.104477611940304</v>
      </c>
      <c r="K256" s="110">
        <v>340281</v>
      </c>
      <c r="L256" s="110">
        <f>H256-323919</f>
        <v>11081</v>
      </c>
      <c r="M256" s="110">
        <v>16362</v>
      </c>
      <c r="N256" s="112">
        <f t="shared" si="22"/>
        <v>4.8841791044776123E-2</v>
      </c>
      <c r="O256" s="113">
        <v>81.8</v>
      </c>
      <c r="P256" s="114">
        <v>123.35</v>
      </c>
      <c r="Q256" s="115">
        <v>0.29499999999999998</v>
      </c>
      <c r="R256" s="115">
        <v>0.29499999999999998</v>
      </c>
      <c r="S256" s="110">
        <f t="shared" si="23"/>
        <v>135.46454767726161</v>
      </c>
      <c r="T256" s="110">
        <f t="shared" si="24"/>
        <v>37562.711864406781</v>
      </c>
      <c r="U256" s="116">
        <f t="shared" si="25"/>
        <v>0.86232120900842013</v>
      </c>
      <c r="V256" s="115">
        <v>104.17</v>
      </c>
      <c r="W256" s="115">
        <f t="shared" si="26"/>
        <v>67000</v>
      </c>
      <c r="X256" s="115">
        <f t="shared" si="27"/>
        <v>643.17941825861567</v>
      </c>
      <c r="Y256" s="117" t="s">
        <v>1367</v>
      </c>
      <c r="Z256" s="108" t="s">
        <v>35</v>
      </c>
      <c r="AA256" s="108" t="s">
        <v>35</v>
      </c>
      <c r="AB256" s="108" t="s">
        <v>1368</v>
      </c>
      <c r="AC256" s="108">
        <v>0</v>
      </c>
      <c r="AD256" s="108">
        <v>1</v>
      </c>
      <c r="AE256" s="108" t="s">
        <v>37</v>
      </c>
      <c r="AF256" s="108" t="s">
        <v>43</v>
      </c>
      <c r="AG256" s="108" t="s">
        <v>38</v>
      </c>
      <c r="AH256" s="108" t="s">
        <v>1369</v>
      </c>
    </row>
    <row r="257" spans="1:34" x14ac:dyDescent="0.3">
      <c r="A257" s="107" t="s">
        <v>1294</v>
      </c>
      <c r="B257" s="108" t="s">
        <v>1295</v>
      </c>
      <c r="C257" s="108" t="s">
        <v>1296</v>
      </c>
      <c r="D257" s="109">
        <v>45693</v>
      </c>
      <c r="E257" s="110">
        <v>140000</v>
      </c>
      <c r="F257" s="108" t="s">
        <v>32</v>
      </c>
      <c r="G257" s="108" t="s">
        <v>33</v>
      </c>
      <c r="H257" s="110">
        <v>140000</v>
      </c>
      <c r="I257" s="110">
        <v>73500</v>
      </c>
      <c r="J257" s="111">
        <f t="shared" si="21"/>
        <v>52.5</v>
      </c>
      <c r="K257" s="110">
        <v>160514</v>
      </c>
      <c r="L257" s="110">
        <f>H257-151371</f>
        <v>-11371</v>
      </c>
      <c r="M257" s="110">
        <v>9143</v>
      </c>
      <c r="N257" s="112">
        <f t="shared" si="22"/>
        <v>6.5307142857142855E-2</v>
      </c>
      <c r="O257" s="113">
        <v>59.37</v>
      </c>
      <c r="P257" s="114">
        <v>105</v>
      </c>
      <c r="Q257" s="115">
        <v>0.14599999999999999</v>
      </c>
      <c r="R257" s="115">
        <v>0.14599999999999999</v>
      </c>
      <c r="S257" s="110">
        <f t="shared" si="23"/>
        <v>-191.5277075964292</v>
      </c>
      <c r="T257" s="110">
        <f t="shared" si="24"/>
        <v>-77883.561643835623</v>
      </c>
      <c r="U257" s="116">
        <f t="shared" si="25"/>
        <v>-1.7879605519705148</v>
      </c>
      <c r="V257" s="115">
        <v>60.77</v>
      </c>
      <c r="W257" s="115">
        <f t="shared" si="26"/>
        <v>28000</v>
      </c>
      <c r="X257" s="115">
        <f t="shared" si="27"/>
        <v>460.75366134605889</v>
      </c>
      <c r="Y257" s="117" t="s">
        <v>1293</v>
      </c>
      <c r="Z257" s="108" t="s">
        <v>35</v>
      </c>
      <c r="AA257" s="108" t="s">
        <v>35</v>
      </c>
      <c r="AB257" s="108" t="s">
        <v>1294</v>
      </c>
      <c r="AC257" s="108">
        <v>0</v>
      </c>
      <c r="AD257" s="108">
        <v>1</v>
      </c>
      <c r="AE257" s="108" t="s">
        <v>42</v>
      </c>
      <c r="AF257" s="108" t="s">
        <v>35</v>
      </c>
      <c r="AG257" s="108" t="s">
        <v>38</v>
      </c>
      <c r="AH257" s="108" t="s">
        <v>92</v>
      </c>
    </row>
    <row r="258" spans="1:34" x14ac:dyDescent="0.3">
      <c r="A258" s="118" t="s">
        <v>1294</v>
      </c>
      <c r="B258" s="119" t="s">
        <v>1309</v>
      </c>
      <c r="C258" s="119" t="s">
        <v>1310</v>
      </c>
      <c r="D258" s="120">
        <v>45443</v>
      </c>
      <c r="E258" s="121">
        <v>125000</v>
      </c>
      <c r="F258" s="119" t="s">
        <v>32</v>
      </c>
      <c r="G258" s="119" t="s">
        <v>33</v>
      </c>
      <c r="H258" s="121">
        <v>125000</v>
      </c>
      <c r="I258" s="121">
        <v>80100</v>
      </c>
      <c r="J258" s="122">
        <f t="shared" ref="J258:J321" si="28">I258/H258*100</f>
        <v>64.08</v>
      </c>
      <c r="K258" s="121">
        <v>180364</v>
      </c>
      <c r="L258" s="121">
        <f>H258-172664</f>
        <v>-47664</v>
      </c>
      <c r="M258" s="121">
        <v>7700</v>
      </c>
      <c r="N258" s="123">
        <f t="shared" ref="N258:N321" si="29">M258/E258</f>
        <v>6.1600000000000002E-2</v>
      </c>
      <c r="O258" s="124">
        <v>50</v>
      </c>
      <c r="P258" s="125">
        <v>110</v>
      </c>
      <c r="Q258" s="126">
        <v>0.126</v>
      </c>
      <c r="R258" s="126">
        <v>0.126</v>
      </c>
      <c r="S258" s="121">
        <f t="shared" ref="S258:S321" si="30">L258/O258</f>
        <v>-953.28</v>
      </c>
      <c r="T258" s="121">
        <f t="shared" ref="T258:T321" si="31">L258/Q258</f>
        <v>-378285.71428571426</v>
      </c>
      <c r="U258" s="127">
        <f t="shared" ref="U258:U321" si="32">L258/Q258/43560</f>
        <v>-8.6842450478814115</v>
      </c>
      <c r="V258" s="126">
        <v>50</v>
      </c>
      <c r="W258" s="126">
        <f t="shared" ref="W258:W321" si="33">0.2*E258</f>
        <v>25000</v>
      </c>
      <c r="X258" s="126">
        <f t="shared" ref="X258:X321" si="34">W258/V258</f>
        <v>500</v>
      </c>
      <c r="Y258" s="128" t="s">
        <v>1293</v>
      </c>
      <c r="Z258" s="119" t="s">
        <v>35</v>
      </c>
      <c r="AA258" s="119" t="s">
        <v>35</v>
      </c>
      <c r="AB258" s="119" t="s">
        <v>1294</v>
      </c>
      <c r="AC258" s="119">
        <v>0</v>
      </c>
      <c r="AD258" s="119">
        <v>1</v>
      </c>
      <c r="AE258" s="119" t="s">
        <v>37</v>
      </c>
      <c r="AF258" s="119" t="s">
        <v>43</v>
      </c>
      <c r="AG258" s="119" t="s">
        <v>38</v>
      </c>
      <c r="AH258" s="119" t="s">
        <v>92</v>
      </c>
    </row>
    <row r="259" spans="1:34" x14ac:dyDescent="0.3">
      <c r="A259" s="107" t="s">
        <v>1294</v>
      </c>
      <c r="B259" s="108" t="s">
        <v>1311</v>
      </c>
      <c r="C259" s="108" t="s">
        <v>1312</v>
      </c>
      <c r="D259" s="109">
        <v>45679</v>
      </c>
      <c r="E259" s="110">
        <v>131000</v>
      </c>
      <c r="F259" s="108" t="s">
        <v>32</v>
      </c>
      <c r="G259" s="108" t="s">
        <v>33</v>
      </c>
      <c r="H259" s="110">
        <v>131000</v>
      </c>
      <c r="I259" s="110">
        <v>71000</v>
      </c>
      <c r="J259" s="111">
        <f t="shared" si="28"/>
        <v>54.198473282442748</v>
      </c>
      <c r="K259" s="110">
        <v>154247</v>
      </c>
      <c r="L259" s="110">
        <f>H259-146547</f>
        <v>-15547</v>
      </c>
      <c r="M259" s="110">
        <v>7700</v>
      </c>
      <c r="N259" s="112">
        <f t="shared" si="29"/>
        <v>5.8778625954198471E-2</v>
      </c>
      <c r="O259" s="113">
        <v>50</v>
      </c>
      <c r="P259" s="114">
        <v>110</v>
      </c>
      <c r="Q259" s="115">
        <v>0.126</v>
      </c>
      <c r="R259" s="115">
        <v>0.126</v>
      </c>
      <c r="S259" s="110">
        <f t="shared" si="30"/>
        <v>-310.94</v>
      </c>
      <c r="T259" s="110">
        <f t="shared" si="31"/>
        <v>-123388.88888888889</v>
      </c>
      <c r="U259" s="116">
        <f t="shared" si="32"/>
        <v>-2.8326191204979083</v>
      </c>
      <c r="V259" s="115">
        <v>50</v>
      </c>
      <c r="W259" s="115">
        <f t="shared" si="33"/>
        <v>26200</v>
      </c>
      <c r="X259" s="115">
        <f t="shared" si="34"/>
        <v>524</v>
      </c>
      <c r="Y259" s="117" t="s">
        <v>1293</v>
      </c>
      <c r="Z259" s="108" t="s">
        <v>35</v>
      </c>
      <c r="AA259" s="108" t="s">
        <v>35</v>
      </c>
      <c r="AB259" s="108" t="s">
        <v>1294</v>
      </c>
      <c r="AC259" s="108">
        <v>0</v>
      </c>
      <c r="AD259" s="108">
        <v>1</v>
      </c>
      <c r="AE259" s="108" t="s">
        <v>37</v>
      </c>
      <c r="AF259" s="108" t="s">
        <v>35</v>
      </c>
      <c r="AG259" s="108" t="s">
        <v>38</v>
      </c>
      <c r="AH259" s="108" t="s">
        <v>92</v>
      </c>
    </row>
    <row r="260" spans="1:34" x14ac:dyDescent="0.3">
      <c r="A260" s="118" t="s">
        <v>1294</v>
      </c>
      <c r="B260" s="119" t="s">
        <v>1291</v>
      </c>
      <c r="C260" s="119" t="s">
        <v>1292</v>
      </c>
      <c r="D260" s="120">
        <v>45260</v>
      </c>
      <c r="E260" s="121">
        <v>147500</v>
      </c>
      <c r="F260" s="119" t="s">
        <v>32</v>
      </c>
      <c r="G260" s="119" t="s">
        <v>33</v>
      </c>
      <c r="H260" s="121">
        <v>147500</v>
      </c>
      <c r="I260" s="121">
        <v>57800</v>
      </c>
      <c r="J260" s="122">
        <f t="shared" si="28"/>
        <v>39.186440677966097</v>
      </c>
      <c r="K260" s="121">
        <v>143233</v>
      </c>
      <c r="L260" s="121">
        <f>H260-135387</f>
        <v>12113</v>
      </c>
      <c r="M260" s="121">
        <v>7846</v>
      </c>
      <c r="N260" s="123">
        <f t="shared" si="29"/>
        <v>5.3193220338983049E-2</v>
      </c>
      <c r="O260" s="124">
        <v>50.95</v>
      </c>
      <c r="P260" s="125">
        <v>114.22</v>
      </c>
      <c r="Q260" s="126">
        <v>0.13100000000000001</v>
      </c>
      <c r="R260" s="126">
        <v>0.13100000000000001</v>
      </c>
      <c r="S260" s="121">
        <f t="shared" si="30"/>
        <v>237.74288518155052</v>
      </c>
      <c r="T260" s="121">
        <f t="shared" si="31"/>
        <v>92465.648854961823</v>
      </c>
      <c r="U260" s="127">
        <f t="shared" si="32"/>
        <v>2.1227192115464146</v>
      </c>
      <c r="V260" s="126">
        <v>50</v>
      </c>
      <c r="W260" s="126">
        <f t="shared" si="33"/>
        <v>29500</v>
      </c>
      <c r="X260" s="126">
        <f t="shared" si="34"/>
        <v>590</v>
      </c>
      <c r="Y260" s="128" t="s">
        <v>1293</v>
      </c>
      <c r="Z260" s="119" t="s">
        <v>35</v>
      </c>
      <c r="AA260" s="119" t="s">
        <v>35</v>
      </c>
      <c r="AB260" s="119" t="s">
        <v>1294</v>
      </c>
      <c r="AC260" s="119">
        <v>0</v>
      </c>
      <c r="AD260" s="119">
        <v>1</v>
      </c>
      <c r="AE260" s="119" t="s">
        <v>37</v>
      </c>
      <c r="AF260" s="119" t="s">
        <v>43</v>
      </c>
      <c r="AG260" s="119" t="s">
        <v>38</v>
      </c>
      <c r="AH260" s="119" t="s">
        <v>92</v>
      </c>
    </row>
    <row r="261" spans="1:34" x14ac:dyDescent="0.3">
      <c r="A261" s="107" t="s">
        <v>1294</v>
      </c>
      <c r="B261" s="108" t="s">
        <v>1303</v>
      </c>
      <c r="C261" s="108" t="s">
        <v>1304</v>
      </c>
      <c r="D261" s="109">
        <v>45294</v>
      </c>
      <c r="E261" s="110">
        <v>164000</v>
      </c>
      <c r="F261" s="108" t="s">
        <v>32</v>
      </c>
      <c r="G261" s="108" t="s">
        <v>33</v>
      </c>
      <c r="H261" s="110">
        <v>164000</v>
      </c>
      <c r="I261" s="110">
        <v>74300</v>
      </c>
      <c r="J261" s="111">
        <f t="shared" si="28"/>
        <v>45.304878048780488</v>
      </c>
      <c r="K261" s="110">
        <v>184722</v>
      </c>
      <c r="L261" s="110">
        <f>H261-174762</f>
        <v>-10762</v>
      </c>
      <c r="M261" s="110">
        <v>9960</v>
      </c>
      <c r="N261" s="112">
        <f t="shared" si="29"/>
        <v>6.0731707317073169E-2</v>
      </c>
      <c r="O261" s="113">
        <v>64.67</v>
      </c>
      <c r="P261" s="114">
        <v>106.07</v>
      </c>
      <c r="Q261" s="115">
        <v>0.17399999999999999</v>
      </c>
      <c r="R261" s="115">
        <v>0.17399999999999999</v>
      </c>
      <c r="S261" s="110">
        <f t="shared" si="30"/>
        <v>-166.41410236585742</v>
      </c>
      <c r="T261" s="110">
        <f t="shared" si="31"/>
        <v>-61850.574712643684</v>
      </c>
      <c r="U261" s="116">
        <f t="shared" si="32"/>
        <v>-1.4198938180129403</v>
      </c>
      <c r="V261" s="115">
        <v>55</v>
      </c>
      <c r="W261" s="115">
        <f t="shared" si="33"/>
        <v>32800</v>
      </c>
      <c r="X261" s="115">
        <f t="shared" si="34"/>
        <v>596.36363636363637</v>
      </c>
      <c r="Y261" s="117" t="s">
        <v>1293</v>
      </c>
      <c r="Z261" s="108" t="s">
        <v>35</v>
      </c>
      <c r="AA261" s="108" t="s">
        <v>35</v>
      </c>
      <c r="AB261" s="108" t="s">
        <v>1294</v>
      </c>
      <c r="AC261" s="108">
        <v>0</v>
      </c>
      <c r="AD261" s="108">
        <v>1</v>
      </c>
      <c r="AE261" s="108" t="s">
        <v>42</v>
      </c>
      <c r="AF261" s="108" t="s">
        <v>43</v>
      </c>
      <c r="AG261" s="108" t="s">
        <v>38</v>
      </c>
      <c r="AH261" s="108" t="s">
        <v>92</v>
      </c>
    </row>
    <row r="262" spans="1:34" x14ac:dyDescent="0.3">
      <c r="A262" s="118" t="s">
        <v>1294</v>
      </c>
      <c r="B262" s="119" t="s">
        <v>1313</v>
      </c>
      <c r="C262" s="119" t="s">
        <v>1314</v>
      </c>
      <c r="D262" s="120">
        <v>45041</v>
      </c>
      <c r="E262" s="121">
        <v>157500</v>
      </c>
      <c r="F262" s="119" t="s">
        <v>32</v>
      </c>
      <c r="G262" s="119" t="s">
        <v>33</v>
      </c>
      <c r="H262" s="121">
        <v>157500</v>
      </c>
      <c r="I262" s="121">
        <v>64800</v>
      </c>
      <c r="J262" s="122">
        <f t="shared" si="28"/>
        <v>41.142857142857139</v>
      </c>
      <c r="K262" s="121">
        <v>161795</v>
      </c>
      <c r="L262" s="121">
        <f>H262-154026</f>
        <v>3474</v>
      </c>
      <c r="M262" s="121">
        <v>7769</v>
      </c>
      <c r="N262" s="123">
        <f t="shared" si="29"/>
        <v>4.9326984126984129E-2</v>
      </c>
      <c r="O262" s="124">
        <v>50.45</v>
      </c>
      <c r="P262" s="125">
        <v>110</v>
      </c>
      <c r="Q262" s="126">
        <v>0.128</v>
      </c>
      <c r="R262" s="126">
        <v>0.128</v>
      </c>
      <c r="S262" s="121">
        <f t="shared" si="30"/>
        <v>68.860257680872152</v>
      </c>
      <c r="T262" s="121">
        <f t="shared" si="31"/>
        <v>27140.625</v>
      </c>
      <c r="U262" s="127">
        <f t="shared" si="32"/>
        <v>0.6230630165289256</v>
      </c>
      <c r="V262" s="126">
        <v>50</v>
      </c>
      <c r="W262" s="126">
        <f t="shared" si="33"/>
        <v>31500</v>
      </c>
      <c r="X262" s="126">
        <f t="shared" si="34"/>
        <v>630</v>
      </c>
      <c r="Y262" s="128" t="s">
        <v>1293</v>
      </c>
      <c r="Z262" s="119" t="s">
        <v>35</v>
      </c>
      <c r="AA262" s="119" t="s">
        <v>35</v>
      </c>
      <c r="AB262" s="119" t="s">
        <v>1294</v>
      </c>
      <c r="AC262" s="119">
        <v>0</v>
      </c>
      <c r="AD262" s="119">
        <v>1</v>
      </c>
      <c r="AE262" s="119" t="s">
        <v>37</v>
      </c>
      <c r="AF262" s="119" t="s">
        <v>43</v>
      </c>
      <c r="AG262" s="119" t="s">
        <v>38</v>
      </c>
      <c r="AH262" s="119" t="s">
        <v>92</v>
      </c>
    </row>
    <row r="263" spans="1:34" x14ac:dyDescent="0.3">
      <c r="A263" s="118" t="s">
        <v>1294</v>
      </c>
      <c r="B263" s="119" t="s">
        <v>1299</v>
      </c>
      <c r="C263" s="119" t="s">
        <v>1300</v>
      </c>
      <c r="D263" s="120">
        <v>45532</v>
      </c>
      <c r="E263" s="121">
        <v>178500</v>
      </c>
      <c r="F263" s="119" t="s">
        <v>32</v>
      </c>
      <c r="G263" s="119" t="s">
        <v>33</v>
      </c>
      <c r="H263" s="121">
        <v>178500</v>
      </c>
      <c r="I263" s="121">
        <v>85700</v>
      </c>
      <c r="J263" s="122">
        <f t="shared" si="28"/>
        <v>48.011204481792717</v>
      </c>
      <c r="K263" s="121">
        <v>186292</v>
      </c>
      <c r="L263" s="121">
        <f>H263-176792</f>
        <v>1708</v>
      </c>
      <c r="M263" s="121">
        <v>9500</v>
      </c>
      <c r="N263" s="123">
        <f t="shared" si="29"/>
        <v>5.3221288515406161E-2</v>
      </c>
      <c r="O263" s="124">
        <v>61.68</v>
      </c>
      <c r="P263" s="125">
        <v>104.64</v>
      </c>
      <c r="Q263" s="126">
        <v>0.16200000000000001</v>
      </c>
      <c r="R263" s="126">
        <v>0.16200000000000001</v>
      </c>
      <c r="S263" s="121">
        <f t="shared" si="30"/>
        <v>27.691309987029832</v>
      </c>
      <c r="T263" s="121">
        <f t="shared" si="31"/>
        <v>10543.209876543209</v>
      </c>
      <c r="U263" s="127">
        <f t="shared" si="32"/>
        <v>0.24203879422734639</v>
      </c>
      <c r="V263" s="126">
        <v>55</v>
      </c>
      <c r="W263" s="126">
        <f t="shared" si="33"/>
        <v>35700</v>
      </c>
      <c r="X263" s="126">
        <f t="shared" si="34"/>
        <v>649.09090909090912</v>
      </c>
      <c r="Y263" s="128" t="s">
        <v>1293</v>
      </c>
      <c r="Z263" s="119" t="s">
        <v>35</v>
      </c>
      <c r="AA263" s="119" t="s">
        <v>35</v>
      </c>
      <c r="AB263" s="119" t="s">
        <v>1294</v>
      </c>
      <c r="AC263" s="119">
        <v>0</v>
      </c>
      <c r="AD263" s="119">
        <v>1</v>
      </c>
      <c r="AE263" s="119" t="s">
        <v>412</v>
      </c>
      <c r="AF263" s="119" t="s">
        <v>43</v>
      </c>
      <c r="AG263" s="119" t="s">
        <v>38</v>
      </c>
      <c r="AH263" s="119" t="s">
        <v>92</v>
      </c>
    </row>
    <row r="264" spans="1:34" x14ac:dyDescent="0.3">
      <c r="A264" s="118" t="s">
        <v>1294</v>
      </c>
      <c r="B264" s="119" t="s">
        <v>1301</v>
      </c>
      <c r="C264" s="119" t="s">
        <v>1302</v>
      </c>
      <c r="D264" s="120">
        <v>45464</v>
      </c>
      <c r="E264" s="121">
        <v>165000</v>
      </c>
      <c r="F264" s="119" t="s">
        <v>32</v>
      </c>
      <c r="G264" s="119" t="s">
        <v>33</v>
      </c>
      <c r="H264" s="121">
        <v>165000</v>
      </c>
      <c r="I264" s="121">
        <v>60800</v>
      </c>
      <c r="J264" s="122">
        <f t="shared" si="28"/>
        <v>36.848484848484844</v>
      </c>
      <c r="K264" s="121">
        <v>133178</v>
      </c>
      <c r="L264" s="121">
        <f>H264-125478</f>
        <v>39522</v>
      </c>
      <c r="M264" s="121">
        <v>7700</v>
      </c>
      <c r="N264" s="123">
        <f t="shared" si="29"/>
        <v>4.6666666666666669E-2</v>
      </c>
      <c r="O264" s="124">
        <v>50</v>
      </c>
      <c r="P264" s="125">
        <v>110</v>
      </c>
      <c r="Q264" s="126">
        <v>0.126</v>
      </c>
      <c r="R264" s="126">
        <v>0.126</v>
      </c>
      <c r="S264" s="121">
        <f t="shared" si="30"/>
        <v>790.44</v>
      </c>
      <c r="T264" s="121">
        <f t="shared" si="31"/>
        <v>313666.66666666669</v>
      </c>
      <c r="U264" s="127">
        <f t="shared" si="32"/>
        <v>7.2007958371594736</v>
      </c>
      <c r="V264" s="126">
        <v>50</v>
      </c>
      <c r="W264" s="126">
        <f t="shared" si="33"/>
        <v>33000</v>
      </c>
      <c r="X264" s="126">
        <f t="shared" si="34"/>
        <v>660</v>
      </c>
      <c r="Y264" s="128" t="s">
        <v>1293</v>
      </c>
      <c r="Z264" s="119" t="s">
        <v>35</v>
      </c>
      <c r="AA264" s="119" t="s">
        <v>35</v>
      </c>
      <c r="AB264" s="119" t="s">
        <v>1294</v>
      </c>
      <c r="AC264" s="119">
        <v>0</v>
      </c>
      <c r="AD264" s="119">
        <v>1</v>
      </c>
      <c r="AE264" s="119" t="s">
        <v>37</v>
      </c>
      <c r="AF264" s="119" t="s">
        <v>43</v>
      </c>
      <c r="AG264" s="119" t="s">
        <v>38</v>
      </c>
      <c r="AH264" s="119" t="s">
        <v>92</v>
      </c>
    </row>
    <row r="265" spans="1:34" x14ac:dyDescent="0.3">
      <c r="A265" s="107" t="s">
        <v>1294</v>
      </c>
      <c r="B265" s="108" t="s">
        <v>1305</v>
      </c>
      <c r="C265" s="108" t="s">
        <v>1306</v>
      </c>
      <c r="D265" s="109">
        <v>45064</v>
      </c>
      <c r="E265" s="110">
        <v>165000</v>
      </c>
      <c r="F265" s="108" t="s">
        <v>32</v>
      </c>
      <c r="G265" s="108" t="s">
        <v>33</v>
      </c>
      <c r="H265" s="110">
        <v>165000</v>
      </c>
      <c r="I265" s="110">
        <v>72200</v>
      </c>
      <c r="J265" s="111">
        <f t="shared" si="28"/>
        <v>43.757575757575758</v>
      </c>
      <c r="K265" s="110">
        <v>176289</v>
      </c>
      <c r="L265" s="110">
        <f>H265-168589</f>
        <v>-3589</v>
      </c>
      <c r="M265" s="110">
        <v>7700</v>
      </c>
      <c r="N265" s="112">
        <f t="shared" si="29"/>
        <v>4.6666666666666669E-2</v>
      </c>
      <c r="O265" s="113">
        <v>50</v>
      </c>
      <c r="P265" s="114">
        <v>110</v>
      </c>
      <c r="Q265" s="115">
        <v>0.126</v>
      </c>
      <c r="R265" s="115">
        <v>0.126</v>
      </c>
      <c r="S265" s="110">
        <f t="shared" si="30"/>
        <v>-71.78</v>
      </c>
      <c r="T265" s="110">
        <f t="shared" si="31"/>
        <v>-28484.126984126982</v>
      </c>
      <c r="U265" s="116">
        <f t="shared" si="32"/>
        <v>-0.65390557814800232</v>
      </c>
      <c r="V265" s="115">
        <v>50</v>
      </c>
      <c r="W265" s="115">
        <f t="shared" si="33"/>
        <v>33000</v>
      </c>
      <c r="X265" s="115">
        <f t="shared" si="34"/>
        <v>660</v>
      </c>
      <c r="Y265" s="117" t="s">
        <v>1293</v>
      </c>
      <c r="Z265" s="108" t="s">
        <v>35</v>
      </c>
      <c r="AA265" s="108" t="s">
        <v>35</v>
      </c>
      <c r="AB265" s="108" t="s">
        <v>1294</v>
      </c>
      <c r="AC265" s="108">
        <v>0</v>
      </c>
      <c r="AD265" s="108">
        <v>1</v>
      </c>
      <c r="AE265" s="108" t="s">
        <v>42</v>
      </c>
      <c r="AF265" s="108" t="s">
        <v>43</v>
      </c>
      <c r="AG265" s="108" t="s">
        <v>38</v>
      </c>
      <c r="AH265" s="108" t="s">
        <v>92</v>
      </c>
    </row>
    <row r="266" spans="1:34" x14ac:dyDescent="0.3">
      <c r="A266" s="107" t="s">
        <v>1294</v>
      </c>
      <c r="B266" s="108" t="s">
        <v>1297</v>
      </c>
      <c r="C266" s="108" t="s">
        <v>1298</v>
      </c>
      <c r="D266" s="109">
        <v>45454</v>
      </c>
      <c r="E266" s="110">
        <v>166250</v>
      </c>
      <c r="F266" s="108" t="s">
        <v>32</v>
      </c>
      <c r="G266" s="108" t="s">
        <v>33</v>
      </c>
      <c r="H266" s="110">
        <v>166250</v>
      </c>
      <c r="I266" s="110">
        <v>60800</v>
      </c>
      <c r="J266" s="111">
        <f t="shared" si="28"/>
        <v>36.571428571428569</v>
      </c>
      <c r="K266" s="110">
        <v>136245</v>
      </c>
      <c r="L266" s="110">
        <f>H266-128545</f>
        <v>37705</v>
      </c>
      <c r="M266" s="110">
        <v>7700</v>
      </c>
      <c r="N266" s="112">
        <f t="shared" si="29"/>
        <v>4.6315789473684213E-2</v>
      </c>
      <c r="O266" s="113">
        <v>50</v>
      </c>
      <c r="P266" s="114">
        <v>110</v>
      </c>
      <c r="Q266" s="115">
        <v>0.126</v>
      </c>
      <c r="R266" s="115">
        <v>0.126</v>
      </c>
      <c r="S266" s="110">
        <f t="shared" si="30"/>
        <v>754.1</v>
      </c>
      <c r="T266" s="110">
        <f t="shared" si="31"/>
        <v>299246.03174603172</v>
      </c>
      <c r="U266" s="116">
        <f t="shared" si="32"/>
        <v>6.8697436121678539</v>
      </c>
      <c r="V266" s="115">
        <v>50</v>
      </c>
      <c r="W266" s="115">
        <f t="shared" si="33"/>
        <v>33250</v>
      </c>
      <c r="X266" s="115">
        <f t="shared" si="34"/>
        <v>665</v>
      </c>
      <c r="Y266" s="117" t="s">
        <v>1293</v>
      </c>
      <c r="Z266" s="108" t="s">
        <v>35</v>
      </c>
      <c r="AA266" s="108" t="s">
        <v>35</v>
      </c>
      <c r="AB266" s="108" t="s">
        <v>1294</v>
      </c>
      <c r="AC266" s="108">
        <v>0</v>
      </c>
      <c r="AD266" s="108">
        <v>1</v>
      </c>
      <c r="AE266" s="108" t="s">
        <v>37</v>
      </c>
      <c r="AF266" s="108" t="s">
        <v>43</v>
      </c>
      <c r="AG266" s="108" t="s">
        <v>38</v>
      </c>
      <c r="AH266" s="108" t="s">
        <v>92</v>
      </c>
    </row>
    <row r="267" spans="1:34" x14ac:dyDescent="0.3">
      <c r="A267" s="118" t="s">
        <v>1294</v>
      </c>
      <c r="B267" s="119" t="s">
        <v>1307</v>
      </c>
      <c r="C267" s="119" t="s">
        <v>1308</v>
      </c>
      <c r="D267" s="120">
        <v>45638</v>
      </c>
      <c r="E267" s="121">
        <v>170000</v>
      </c>
      <c r="F267" s="119" t="s">
        <v>32</v>
      </c>
      <c r="G267" s="119" t="s">
        <v>33</v>
      </c>
      <c r="H267" s="121">
        <v>170000</v>
      </c>
      <c r="I267" s="121">
        <v>67600</v>
      </c>
      <c r="J267" s="122">
        <f t="shared" si="28"/>
        <v>39.764705882352942</v>
      </c>
      <c r="K267" s="121">
        <v>147022</v>
      </c>
      <c r="L267" s="121">
        <f>H267-139499</f>
        <v>30501</v>
      </c>
      <c r="M267" s="121">
        <v>7523</v>
      </c>
      <c r="N267" s="123">
        <f t="shared" si="29"/>
        <v>4.4252941176470585E-2</v>
      </c>
      <c r="O267" s="124">
        <v>48.85</v>
      </c>
      <c r="P267" s="125">
        <v>105</v>
      </c>
      <c r="Q267" s="126">
        <v>0.121</v>
      </c>
      <c r="R267" s="126">
        <v>0.121</v>
      </c>
      <c r="S267" s="121">
        <f t="shared" si="30"/>
        <v>624.38075742067554</v>
      </c>
      <c r="T267" s="121">
        <f t="shared" si="31"/>
        <v>252074.38016528927</v>
      </c>
      <c r="U267" s="127">
        <f t="shared" si="32"/>
        <v>5.7868315005805622</v>
      </c>
      <c r="V267" s="126">
        <v>50</v>
      </c>
      <c r="W267" s="126">
        <f t="shared" si="33"/>
        <v>34000</v>
      </c>
      <c r="X267" s="126">
        <f t="shared" si="34"/>
        <v>680</v>
      </c>
      <c r="Y267" s="128" t="s">
        <v>1293</v>
      </c>
      <c r="Z267" s="119" t="s">
        <v>35</v>
      </c>
      <c r="AA267" s="119" t="s">
        <v>35</v>
      </c>
      <c r="AB267" s="119" t="s">
        <v>1294</v>
      </c>
      <c r="AC267" s="119">
        <v>0</v>
      </c>
      <c r="AD267" s="119">
        <v>1</v>
      </c>
      <c r="AE267" s="119" t="s">
        <v>412</v>
      </c>
      <c r="AF267" s="119" t="s">
        <v>35</v>
      </c>
      <c r="AG267" s="119" t="s">
        <v>38</v>
      </c>
      <c r="AH267" s="119" t="s">
        <v>92</v>
      </c>
    </row>
    <row r="268" spans="1:34" x14ac:dyDescent="0.3">
      <c r="A268" s="107" t="s">
        <v>1294</v>
      </c>
      <c r="B268" s="108" t="s">
        <v>1311</v>
      </c>
      <c r="C268" s="108" t="s">
        <v>1312</v>
      </c>
      <c r="D268" s="109">
        <v>45740</v>
      </c>
      <c r="E268" s="110">
        <v>171000</v>
      </c>
      <c r="F268" s="108" t="s">
        <v>32</v>
      </c>
      <c r="G268" s="108" t="s">
        <v>33</v>
      </c>
      <c r="H268" s="110">
        <v>171000</v>
      </c>
      <c r="I268" s="110">
        <v>71000</v>
      </c>
      <c r="J268" s="111">
        <f t="shared" si="28"/>
        <v>41.520467836257311</v>
      </c>
      <c r="K268" s="110">
        <v>154247</v>
      </c>
      <c r="L268" s="110">
        <f>H268-146547</f>
        <v>24453</v>
      </c>
      <c r="M268" s="110">
        <v>7700</v>
      </c>
      <c r="N268" s="112">
        <f t="shared" si="29"/>
        <v>4.502923976608187E-2</v>
      </c>
      <c r="O268" s="113">
        <v>50</v>
      </c>
      <c r="P268" s="114">
        <v>110</v>
      </c>
      <c r="Q268" s="115">
        <v>0.126</v>
      </c>
      <c r="R268" s="115">
        <v>0.126</v>
      </c>
      <c r="S268" s="110">
        <f t="shared" si="30"/>
        <v>489.06</v>
      </c>
      <c r="T268" s="110">
        <f t="shared" si="31"/>
        <v>194071.42857142858</v>
      </c>
      <c r="U268" s="116">
        <f t="shared" si="32"/>
        <v>4.4552669552669553</v>
      </c>
      <c r="V268" s="115">
        <v>50</v>
      </c>
      <c r="W268" s="115">
        <f t="shared" si="33"/>
        <v>34200</v>
      </c>
      <c r="X268" s="115">
        <f t="shared" si="34"/>
        <v>684</v>
      </c>
      <c r="Y268" s="117" t="s">
        <v>1293</v>
      </c>
      <c r="Z268" s="108" t="s">
        <v>35</v>
      </c>
      <c r="AA268" s="108" t="s">
        <v>35</v>
      </c>
      <c r="AB268" s="108" t="s">
        <v>1294</v>
      </c>
      <c r="AC268" s="108">
        <v>0</v>
      </c>
      <c r="AD268" s="108">
        <v>1</v>
      </c>
      <c r="AE268" s="108" t="s">
        <v>37</v>
      </c>
      <c r="AF268" s="108" t="s">
        <v>35</v>
      </c>
      <c r="AG268" s="108" t="s">
        <v>38</v>
      </c>
      <c r="AH268" s="108" t="s">
        <v>92</v>
      </c>
    </row>
    <row r="269" spans="1:34" x14ac:dyDescent="0.3">
      <c r="A269" s="107" t="s">
        <v>1294</v>
      </c>
      <c r="B269" s="108" t="s">
        <v>1317</v>
      </c>
      <c r="C269" s="108" t="s">
        <v>1318</v>
      </c>
      <c r="D269" s="109">
        <v>45442</v>
      </c>
      <c r="E269" s="110">
        <v>168000</v>
      </c>
      <c r="F269" s="108" t="s">
        <v>32</v>
      </c>
      <c r="G269" s="108" t="s">
        <v>33</v>
      </c>
      <c r="H269" s="110">
        <v>168000</v>
      </c>
      <c r="I269" s="110">
        <v>69700</v>
      </c>
      <c r="J269" s="111">
        <f t="shared" si="28"/>
        <v>41.488095238095241</v>
      </c>
      <c r="K269" s="110">
        <v>151286</v>
      </c>
      <c r="L269" s="110">
        <f>H269-142698</f>
        <v>25302</v>
      </c>
      <c r="M269" s="110">
        <v>8588</v>
      </c>
      <c r="N269" s="112">
        <f t="shared" si="29"/>
        <v>5.111904761904762E-2</v>
      </c>
      <c r="O269" s="113">
        <v>55.76</v>
      </c>
      <c r="P269" s="114">
        <v>114.69</v>
      </c>
      <c r="Q269" s="115">
        <v>0.154</v>
      </c>
      <c r="R269" s="115">
        <v>0.154</v>
      </c>
      <c r="S269" s="110">
        <f t="shared" si="30"/>
        <v>453.76614060258254</v>
      </c>
      <c r="T269" s="110">
        <f t="shared" si="31"/>
        <v>164298.70129870131</v>
      </c>
      <c r="U269" s="116">
        <f t="shared" si="32"/>
        <v>3.7717791850023259</v>
      </c>
      <c r="V269" s="115">
        <v>47</v>
      </c>
      <c r="W269" s="115">
        <f t="shared" si="33"/>
        <v>33600</v>
      </c>
      <c r="X269" s="115">
        <f t="shared" si="34"/>
        <v>714.89361702127655</v>
      </c>
      <c r="Y269" s="117" t="s">
        <v>1293</v>
      </c>
      <c r="Z269" s="108" t="s">
        <v>35</v>
      </c>
      <c r="AA269" s="108" t="s">
        <v>35</v>
      </c>
      <c r="AB269" s="108" t="s">
        <v>1294</v>
      </c>
      <c r="AC269" s="108">
        <v>0</v>
      </c>
      <c r="AD269" s="108">
        <v>1</v>
      </c>
      <c r="AE269" s="108" t="s">
        <v>42</v>
      </c>
      <c r="AF269" s="108" t="s">
        <v>43</v>
      </c>
      <c r="AG269" s="108" t="s">
        <v>38</v>
      </c>
      <c r="AH269" s="108" t="s">
        <v>92</v>
      </c>
    </row>
    <row r="270" spans="1:34" x14ac:dyDescent="0.3">
      <c r="A270" s="118" t="s">
        <v>1294</v>
      </c>
      <c r="B270" s="119" t="s">
        <v>1315</v>
      </c>
      <c r="C270" s="119" t="s">
        <v>1316</v>
      </c>
      <c r="D270" s="120">
        <v>45373</v>
      </c>
      <c r="E270" s="121">
        <v>180000</v>
      </c>
      <c r="F270" s="119" t="s">
        <v>32</v>
      </c>
      <c r="G270" s="119" t="s">
        <v>33</v>
      </c>
      <c r="H270" s="121">
        <v>180000</v>
      </c>
      <c r="I270" s="121">
        <v>67000</v>
      </c>
      <c r="J270" s="122">
        <f t="shared" si="28"/>
        <v>37.222222222222221</v>
      </c>
      <c r="K270" s="121">
        <v>167384</v>
      </c>
      <c r="L270" s="121">
        <f>H270-159669</f>
        <v>20331</v>
      </c>
      <c r="M270" s="121">
        <v>7715</v>
      </c>
      <c r="N270" s="123">
        <f t="shared" si="29"/>
        <v>4.2861111111111114E-2</v>
      </c>
      <c r="O270" s="124">
        <v>50.09</v>
      </c>
      <c r="P270" s="125">
        <v>109.77</v>
      </c>
      <c r="Q270" s="126">
        <v>0.127</v>
      </c>
      <c r="R270" s="126">
        <v>0.127</v>
      </c>
      <c r="S270" s="121">
        <f t="shared" si="30"/>
        <v>405.88939908165298</v>
      </c>
      <c r="T270" s="121">
        <f t="shared" si="31"/>
        <v>160086.61417322836</v>
      </c>
      <c r="U270" s="127">
        <f t="shared" si="32"/>
        <v>3.6750829700006511</v>
      </c>
      <c r="V270" s="126">
        <v>50</v>
      </c>
      <c r="W270" s="126">
        <f t="shared" si="33"/>
        <v>36000</v>
      </c>
      <c r="X270" s="126">
        <f t="shared" si="34"/>
        <v>720</v>
      </c>
      <c r="Y270" s="128" t="s">
        <v>1293</v>
      </c>
      <c r="Z270" s="119" t="s">
        <v>35</v>
      </c>
      <c r="AA270" s="119" t="s">
        <v>35</v>
      </c>
      <c r="AB270" s="119" t="s">
        <v>1294</v>
      </c>
      <c r="AC270" s="119">
        <v>0</v>
      </c>
      <c r="AD270" s="119">
        <v>1</v>
      </c>
      <c r="AE270" s="119" t="s">
        <v>37</v>
      </c>
      <c r="AF270" s="119" t="s">
        <v>43</v>
      </c>
      <c r="AG270" s="119" t="s">
        <v>38</v>
      </c>
      <c r="AH270" s="119" t="s">
        <v>92</v>
      </c>
    </row>
    <row r="271" spans="1:34" x14ac:dyDescent="0.3">
      <c r="A271" s="107" t="s">
        <v>1294</v>
      </c>
      <c r="B271" s="108" t="s">
        <v>1319</v>
      </c>
      <c r="C271" s="108" t="s">
        <v>1320</v>
      </c>
      <c r="D271" s="109">
        <v>45210</v>
      </c>
      <c r="E271" s="110">
        <v>170000</v>
      </c>
      <c r="F271" s="108" t="s">
        <v>32</v>
      </c>
      <c r="G271" s="108" t="s">
        <v>33</v>
      </c>
      <c r="H271" s="110">
        <v>170000</v>
      </c>
      <c r="I271" s="110">
        <v>67000</v>
      </c>
      <c r="J271" s="111">
        <f t="shared" si="28"/>
        <v>39.411764705882355</v>
      </c>
      <c r="K271" s="110">
        <v>171520</v>
      </c>
      <c r="L271" s="110">
        <f>H271-162996</f>
        <v>7004</v>
      </c>
      <c r="M271" s="110">
        <v>8524</v>
      </c>
      <c r="N271" s="112">
        <f t="shared" si="29"/>
        <v>5.0141176470588238E-2</v>
      </c>
      <c r="O271" s="113">
        <v>55.35</v>
      </c>
      <c r="P271" s="114">
        <v>120.17</v>
      </c>
      <c r="Q271" s="115">
        <v>0.16300000000000001</v>
      </c>
      <c r="R271" s="115">
        <v>0.154</v>
      </c>
      <c r="S271" s="110">
        <f t="shared" si="30"/>
        <v>126.54019873532069</v>
      </c>
      <c r="T271" s="110">
        <f t="shared" si="31"/>
        <v>42969.32515337423</v>
      </c>
      <c r="U271" s="116">
        <f t="shared" si="32"/>
        <v>0.98643997138141026</v>
      </c>
      <c r="V271" s="115">
        <v>47</v>
      </c>
      <c r="W271" s="115">
        <f t="shared" si="33"/>
        <v>34000</v>
      </c>
      <c r="X271" s="115">
        <f t="shared" si="34"/>
        <v>723.40425531914889</v>
      </c>
      <c r="Y271" s="117" t="s">
        <v>1293</v>
      </c>
      <c r="Z271" s="108" t="s">
        <v>35</v>
      </c>
      <c r="AA271" s="108" t="s">
        <v>35</v>
      </c>
      <c r="AB271" s="108" t="s">
        <v>1294</v>
      </c>
      <c r="AC271" s="108">
        <v>0</v>
      </c>
      <c r="AD271" s="108">
        <v>1</v>
      </c>
      <c r="AE271" s="108" t="s">
        <v>42</v>
      </c>
      <c r="AF271" s="108" t="s">
        <v>43</v>
      </c>
      <c r="AG271" s="108" t="s">
        <v>38</v>
      </c>
      <c r="AH271" s="108" t="s">
        <v>92</v>
      </c>
    </row>
    <row r="272" spans="1:34" x14ac:dyDescent="0.3">
      <c r="A272" s="118" t="s">
        <v>1259</v>
      </c>
      <c r="B272" s="119" t="s">
        <v>1276</v>
      </c>
      <c r="C272" s="119" t="s">
        <v>1277</v>
      </c>
      <c r="D272" s="120">
        <v>45243</v>
      </c>
      <c r="E272" s="121">
        <v>170000</v>
      </c>
      <c r="F272" s="119" t="s">
        <v>32</v>
      </c>
      <c r="G272" s="119" t="s">
        <v>33</v>
      </c>
      <c r="H272" s="121">
        <v>170000</v>
      </c>
      <c r="I272" s="121">
        <v>58400</v>
      </c>
      <c r="J272" s="122">
        <f t="shared" si="28"/>
        <v>34.352941176470587</v>
      </c>
      <c r="K272" s="121">
        <v>155091</v>
      </c>
      <c r="L272" s="121">
        <f>H272-143154</f>
        <v>26846</v>
      </c>
      <c r="M272" s="121">
        <v>11937</v>
      </c>
      <c r="N272" s="123">
        <f t="shared" si="29"/>
        <v>7.0217647058823524E-2</v>
      </c>
      <c r="O272" s="124">
        <v>85.26</v>
      </c>
      <c r="P272" s="125">
        <v>142</v>
      </c>
      <c r="Q272" s="126">
        <v>0.26100000000000001</v>
      </c>
      <c r="R272" s="126">
        <v>0.26100000000000001</v>
      </c>
      <c r="S272" s="121">
        <f t="shared" si="30"/>
        <v>314.87215575885523</v>
      </c>
      <c r="T272" s="121">
        <f t="shared" si="31"/>
        <v>102858.23754789271</v>
      </c>
      <c r="U272" s="127">
        <f t="shared" si="32"/>
        <v>2.3613002191894563</v>
      </c>
      <c r="V272" s="126">
        <v>80</v>
      </c>
      <c r="W272" s="126">
        <f t="shared" si="33"/>
        <v>34000</v>
      </c>
      <c r="X272" s="126">
        <f t="shared" si="34"/>
        <v>425</v>
      </c>
      <c r="Y272" s="128" t="s">
        <v>1258</v>
      </c>
      <c r="Z272" s="119" t="s">
        <v>35</v>
      </c>
      <c r="AA272" s="119" t="s">
        <v>35</v>
      </c>
      <c r="AB272" s="119" t="s">
        <v>1259</v>
      </c>
      <c r="AC272" s="119">
        <v>0</v>
      </c>
      <c r="AD272" s="119">
        <v>1</v>
      </c>
      <c r="AE272" s="119" t="s">
        <v>37</v>
      </c>
      <c r="AF272" s="119" t="s">
        <v>43</v>
      </c>
      <c r="AG272" s="119" t="s">
        <v>38</v>
      </c>
      <c r="AH272" s="119" t="s">
        <v>92</v>
      </c>
    </row>
    <row r="273" spans="1:34" x14ac:dyDescent="0.3">
      <c r="A273" s="118" t="s">
        <v>1259</v>
      </c>
      <c r="B273" s="119" t="s">
        <v>1283</v>
      </c>
      <c r="C273" s="119" t="s">
        <v>1284</v>
      </c>
      <c r="D273" s="120">
        <v>45686</v>
      </c>
      <c r="E273" s="121">
        <v>179000</v>
      </c>
      <c r="F273" s="119" t="s">
        <v>32</v>
      </c>
      <c r="G273" s="119" t="s">
        <v>33</v>
      </c>
      <c r="H273" s="121">
        <v>179000</v>
      </c>
      <c r="I273" s="121">
        <v>79000</v>
      </c>
      <c r="J273" s="122">
        <f t="shared" si="28"/>
        <v>44.134078212290504</v>
      </c>
      <c r="K273" s="121">
        <v>177278</v>
      </c>
      <c r="L273" s="121">
        <f>H273-165900</f>
        <v>13100</v>
      </c>
      <c r="M273" s="121">
        <v>11378</v>
      </c>
      <c r="N273" s="123">
        <f t="shared" si="29"/>
        <v>6.3564245810055861E-2</v>
      </c>
      <c r="O273" s="124">
        <v>81.260000000000005</v>
      </c>
      <c r="P273" s="125">
        <v>129</v>
      </c>
      <c r="Q273" s="126">
        <v>0.23699999999999999</v>
      </c>
      <c r="R273" s="126">
        <v>0.23699999999999999</v>
      </c>
      <c r="S273" s="121">
        <f t="shared" si="30"/>
        <v>161.21092788579867</v>
      </c>
      <c r="T273" s="121">
        <f t="shared" si="31"/>
        <v>55274.261603375533</v>
      </c>
      <c r="U273" s="127">
        <f t="shared" si="32"/>
        <v>1.2689224426853887</v>
      </c>
      <c r="V273" s="126">
        <v>80</v>
      </c>
      <c r="W273" s="126">
        <f t="shared" si="33"/>
        <v>35800</v>
      </c>
      <c r="X273" s="126">
        <f t="shared" si="34"/>
        <v>447.5</v>
      </c>
      <c r="Y273" s="128" t="s">
        <v>1258</v>
      </c>
      <c r="Z273" s="119" t="s">
        <v>35</v>
      </c>
      <c r="AA273" s="119" t="s">
        <v>35</v>
      </c>
      <c r="AB273" s="119" t="s">
        <v>1259</v>
      </c>
      <c r="AC273" s="119">
        <v>0</v>
      </c>
      <c r="AD273" s="119">
        <v>1</v>
      </c>
      <c r="AE273" s="119" t="s">
        <v>912</v>
      </c>
      <c r="AF273" s="119" t="s">
        <v>35</v>
      </c>
      <c r="AG273" s="119" t="s">
        <v>38</v>
      </c>
      <c r="AH273" s="119" t="s">
        <v>92</v>
      </c>
    </row>
    <row r="274" spans="1:34" x14ac:dyDescent="0.3">
      <c r="A274" s="118" t="s">
        <v>1259</v>
      </c>
      <c r="B274" s="119" t="s">
        <v>1278</v>
      </c>
      <c r="C274" s="119" t="s">
        <v>1279</v>
      </c>
      <c r="D274" s="120">
        <v>45414</v>
      </c>
      <c r="E274" s="121">
        <v>190000</v>
      </c>
      <c r="F274" s="119" t="s">
        <v>32</v>
      </c>
      <c r="G274" s="119" t="s">
        <v>33</v>
      </c>
      <c r="H274" s="121">
        <v>190000</v>
      </c>
      <c r="I274" s="121">
        <v>71000</v>
      </c>
      <c r="J274" s="122">
        <f t="shared" si="28"/>
        <v>37.368421052631575</v>
      </c>
      <c r="K274" s="121">
        <v>158923</v>
      </c>
      <c r="L274" s="121">
        <f>H274-146986</f>
        <v>43014</v>
      </c>
      <c r="M274" s="121">
        <v>11937</v>
      </c>
      <c r="N274" s="123">
        <f t="shared" si="29"/>
        <v>6.2826315789473688E-2</v>
      </c>
      <c r="O274" s="124">
        <v>85.26</v>
      </c>
      <c r="P274" s="125">
        <v>142</v>
      </c>
      <c r="Q274" s="126">
        <v>0.26100000000000001</v>
      </c>
      <c r="R274" s="126">
        <v>0.26100000000000001</v>
      </c>
      <c r="S274" s="121">
        <f t="shared" si="30"/>
        <v>504.50387051372269</v>
      </c>
      <c r="T274" s="121">
        <f t="shared" si="31"/>
        <v>164804.59770114941</v>
      </c>
      <c r="U274" s="127">
        <f t="shared" si="32"/>
        <v>3.7833929683459462</v>
      </c>
      <c r="V274" s="126">
        <v>80</v>
      </c>
      <c r="W274" s="126">
        <f t="shared" si="33"/>
        <v>38000</v>
      </c>
      <c r="X274" s="126">
        <f t="shared" si="34"/>
        <v>475</v>
      </c>
      <c r="Y274" s="128" t="s">
        <v>1258</v>
      </c>
      <c r="Z274" s="119" t="s">
        <v>35</v>
      </c>
      <c r="AA274" s="119" t="s">
        <v>35</v>
      </c>
      <c r="AB274" s="119" t="s">
        <v>1259</v>
      </c>
      <c r="AC274" s="119">
        <v>0</v>
      </c>
      <c r="AD274" s="119">
        <v>1</v>
      </c>
      <c r="AE274" s="119" t="s">
        <v>42</v>
      </c>
      <c r="AF274" s="119" t="s">
        <v>1280</v>
      </c>
      <c r="AG274" s="119" t="s">
        <v>38</v>
      </c>
      <c r="AH274" s="119" t="s">
        <v>92</v>
      </c>
    </row>
    <row r="275" spans="1:34" x14ac:dyDescent="0.3">
      <c r="A275" s="118" t="s">
        <v>1259</v>
      </c>
      <c r="B275" s="119" t="s">
        <v>1268</v>
      </c>
      <c r="C275" s="119" t="s">
        <v>1269</v>
      </c>
      <c r="D275" s="120">
        <v>45065</v>
      </c>
      <c r="E275" s="121">
        <v>100000</v>
      </c>
      <c r="F275" s="119" t="s">
        <v>32</v>
      </c>
      <c r="G275" s="119" t="s">
        <v>33</v>
      </c>
      <c r="H275" s="121">
        <v>100000</v>
      </c>
      <c r="I275" s="121">
        <v>33700</v>
      </c>
      <c r="J275" s="122">
        <f t="shared" si="28"/>
        <v>33.700000000000003</v>
      </c>
      <c r="K275" s="121">
        <v>94958</v>
      </c>
      <c r="L275" s="121">
        <f>H275-88960</f>
        <v>11040</v>
      </c>
      <c r="M275" s="121">
        <v>5998</v>
      </c>
      <c r="N275" s="123">
        <f t="shared" si="29"/>
        <v>5.9979999999999999E-2</v>
      </c>
      <c r="O275" s="124">
        <v>42.83</v>
      </c>
      <c r="P275" s="125">
        <v>143.38</v>
      </c>
      <c r="Q275" s="126">
        <v>0.13200000000000001</v>
      </c>
      <c r="R275" s="126">
        <v>0.13200000000000001</v>
      </c>
      <c r="S275" s="121">
        <f t="shared" si="30"/>
        <v>257.76325005837032</v>
      </c>
      <c r="T275" s="121">
        <f t="shared" si="31"/>
        <v>83636.363636363632</v>
      </c>
      <c r="U275" s="127">
        <f t="shared" si="32"/>
        <v>1.920026713415143</v>
      </c>
      <c r="V275" s="126">
        <v>40</v>
      </c>
      <c r="W275" s="126">
        <f t="shared" si="33"/>
        <v>20000</v>
      </c>
      <c r="X275" s="126">
        <f t="shared" si="34"/>
        <v>500</v>
      </c>
      <c r="Y275" s="128" t="s">
        <v>1258</v>
      </c>
      <c r="Z275" s="119" t="s">
        <v>35</v>
      </c>
      <c r="AA275" s="119" t="s">
        <v>35</v>
      </c>
      <c r="AB275" s="119" t="s">
        <v>1259</v>
      </c>
      <c r="AC275" s="119">
        <v>0</v>
      </c>
      <c r="AD275" s="119">
        <v>1</v>
      </c>
      <c r="AE275" s="119" t="s">
        <v>42</v>
      </c>
      <c r="AF275" s="119" t="s">
        <v>43</v>
      </c>
      <c r="AG275" s="119" t="s">
        <v>38</v>
      </c>
      <c r="AH275" s="119" t="s">
        <v>92</v>
      </c>
    </row>
    <row r="276" spans="1:34" x14ac:dyDescent="0.3">
      <c r="A276" s="118" t="s">
        <v>1259</v>
      </c>
      <c r="B276" s="119" t="s">
        <v>1260</v>
      </c>
      <c r="C276" s="119" t="s">
        <v>1261</v>
      </c>
      <c r="D276" s="120">
        <v>45097</v>
      </c>
      <c r="E276" s="121">
        <v>102500</v>
      </c>
      <c r="F276" s="119" t="s">
        <v>32</v>
      </c>
      <c r="G276" s="119" t="s">
        <v>33</v>
      </c>
      <c r="H276" s="121">
        <v>102500</v>
      </c>
      <c r="I276" s="121">
        <v>35200</v>
      </c>
      <c r="J276" s="122">
        <f t="shared" si="28"/>
        <v>34.341463414634148</v>
      </c>
      <c r="K276" s="121">
        <v>99491</v>
      </c>
      <c r="L276" s="121">
        <f>H276-94238</f>
        <v>8262</v>
      </c>
      <c r="M276" s="121">
        <v>5253</v>
      </c>
      <c r="N276" s="123">
        <f t="shared" si="29"/>
        <v>5.1248780487804881E-2</v>
      </c>
      <c r="O276" s="124">
        <v>37.520000000000003</v>
      </c>
      <c r="P276" s="125">
        <v>110</v>
      </c>
      <c r="Q276" s="126">
        <v>0.10100000000000001</v>
      </c>
      <c r="R276" s="126">
        <v>0.10100000000000001</v>
      </c>
      <c r="S276" s="121">
        <f t="shared" si="30"/>
        <v>220.20255863539444</v>
      </c>
      <c r="T276" s="121">
        <f t="shared" si="31"/>
        <v>81801.980198019795</v>
      </c>
      <c r="U276" s="127">
        <f t="shared" si="32"/>
        <v>1.8779150642336959</v>
      </c>
      <c r="V276" s="126">
        <v>40</v>
      </c>
      <c r="W276" s="126">
        <f t="shared" si="33"/>
        <v>20500</v>
      </c>
      <c r="X276" s="126">
        <f t="shared" si="34"/>
        <v>512.5</v>
      </c>
      <c r="Y276" s="128" t="s">
        <v>1258</v>
      </c>
      <c r="Z276" s="119" t="s">
        <v>35</v>
      </c>
      <c r="AA276" s="119" t="s">
        <v>35</v>
      </c>
      <c r="AB276" s="119" t="s">
        <v>1259</v>
      </c>
      <c r="AC276" s="119">
        <v>0</v>
      </c>
      <c r="AD276" s="119">
        <v>1</v>
      </c>
      <c r="AE276" s="119" t="s">
        <v>42</v>
      </c>
      <c r="AF276" s="119" t="s">
        <v>43</v>
      </c>
      <c r="AG276" s="119" t="s">
        <v>38</v>
      </c>
      <c r="AH276" s="119" t="s">
        <v>92</v>
      </c>
    </row>
    <row r="277" spans="1:34" x14ac:dyDescent="0.3">
      <c r="A277" s="107" t="s">
        <v>1259</v>
      </c>
      <c r="B277" s="108" t="s">
        <v>1264</v>
      </c>
      <c r="C277" s="108" t="s">
        <v>1265</v>
      </c>
      <c r="D277" s="109">
        <v>45419</v>
      </c>
      <c r="E277" s="110">
        <v>112000</v>
      </c>
      <c r="F277" s="108" t="s">
        <v>32</v>
      </c>
      <c r="G277" s="108" t="s">
        <v>33</v>
      </c>
      <c r="H277" s="110">
        <v>112000</v>
      </c>
      <c r="I277" s="110">
        <v>44000</v>
      </c>
      <c r="J277" s="111">
        <f t="shared" si="28"/>
        <v>39.285714285714285</v>
      </c>
      <c r="K277" s="110">
        <v>99491</v>
      </c>
      <c r="L277" s="110">
        <f>H277-94238</f>
        <v>17762</v>
      </c>
      <c r="M277" s="110">
        <v>5253</v>
      </c>
      <c r="N277" s="112">
        <f t="shared" si="29"/>
        <v>4.6901785714285715E-2</v>
      </c>
      <c r="O277" s="113">
        <v>37.520000000000003</v>
      </c>
      <c r="P277" s="114">
        <v>110</v>
      </c>
      <c r="Q277" s="115">
        <v>0.10100000000000001</v>
      </c>
      <c r="R277" s="115">
        <v>0.10100000000000001</v>
      </c>
      <c r="S277" s="110">
        <f t="shared" si="30"/>
        <v>473.40085287846478</v>
      </c>
      <c r="T277" s="110">
        <f t="shared" si="31"/>
        <v>175861.38613861386</v>
      </c>
      <c r="U277" s="116">
        <f t="shared" si="32"/>
        <v>4.0372219040085824</v>
      </c>
      <c r="V277" s="115">
        <v>40</v>
      </c>
      <c r="W277" s="115">
        <f t="shared" si="33"/>
        <v>22400</v>
      </c>
      <c r="X277" s="115">
        <f t="shared" si="34"/>
        <v>560</v>
      </c>
      <c r="Y277" s="117" t="s">
        <v>1258</v>
      </c>
      <c r="Z277" s="108" t="s">
        <v>35</v>
      </c>
      <c r="AA277" s="108" t="s">
        <v>35</v>
      </c>
      <c r="AB277" s="108" t="s">
        <v>1259</v>
      </c>
      <c r="AC277" s="108">
        <v>0</v>
      </c>
      <c r="AD277" s="108">
        <v>1</v>
      </c>
      <c r="AE277" s="108" t="s">
        <v>42</v>
      </c>
      <c r="AF277" s="108" t="s">
        <v>43</v>
      </c>
      <c r="AG277" s="108" t="s">
        <v>38</v>
      </c>
      <c r="AH277" s="108" t="s">
        <v>92</v>
      </c>
    </row>
    <row r="278" spans="1:34" x14ac:dyDescent="0.3">
      <c r="A278" s="107" t="s">
        <v>1259</v>
      </c>
      <c r="B278" s="108" t="s">
        <v>1256</v>
      </c>
      <c r="C278" s="108" t="s">
        <v>1257</v>
      </c>
      <c r="D278" s="109">
        <v>45492</v>
      </c>
      <c r="E278" s="110">
        <v>115000</v>
      </c>
      <c r="F278" s="108" t="s">
        <v>32</v>
      </c>
      <c r="G278" s="108" t="s">
        <v>33</v>
      </c>
      <c r="H278" s="110">
        <v>115000</v>
      </c>
      <c r="I278" s="110">
        <v>64200</v>
      </c>
      <c r="J278" s="111">
        <f t="shared" si="28"/>
        <v>55.826086956521735</v>
      </c>
      <c r="K278" s="110">
        <v>138747</v>
      </c>
      <c r="L278" s="110">
        <f>H278-133362</f>
        <v>-18362</v>
      </c>
      <c r="M278" s="110">
        <v>5385</v>
      </c>
      <c r="N278" s="112">
        <f t="shared" si="29"/>
        <v>4.682608695652174E-2</v>
      </c>
      <c r="O278" s="113">
        <v>38.46</v>
      </c>
      <c r="P278" s="114">
        <v>110</v>
      </c>
      <c r="Q278" s="115">
        <v>0.104</v>
      </c>
      <c r="R278" s="115">
        <v>0.104</v>
      </c>
      <c r="S278" s="110">
        <f t="shared" si="30"/>
        <v>-477.43109724388972</v>
      </c>
      <c r="T278" s="110">
        <f t="shared" si="31"/>
        <v>-176557.69230769231</v>
      </c>
      <c r="U278" s="116">
        <f t="shared" si="32"/>
        <v>-4.0532068941159851</v>
      </c>
      <c r="V278" s="115">
        <v>41</v>
      </c>
      <c r="W278" s="115">
        <f t="shared" si="33"/>
        <v>23000</v>
      </c>
      <c r="X278" s="115">
        <f t="shared" si="34"/>
        <v>560.97560975609758</v>
      </c>
      <c r="Y278" s="117" t="s">
        <v>1258</v>
      </c>
      <c r="Z278" s="108" t="s">
        <v>35</v>
      </c>
      <c r="AA278" s="108" t="s">
        <v>35</v>
      </c>
      <c r="AB278" s="108" t="s">
        <v>1259</v>
      </c>
      <c r="AC278" s="108">
        <v>0</v>
      </c>
      <c r="AD278" s="108">
        <v>1</v>
      </c>
      <c r="AE278" s="108" t="s">
        <v>37</v>
      </c>
      <c r="AF278" s="108" t="s">
        <v>43</v>
      </c>
      <c r="AG278" s="108" t="s">
        <v>38</v>
      </c>
      <c r="AH278" s="108" t="s">
        <v>92</v>
      </c>
    </row>
    <row r="279" spans="1:34" x14ac:dyDescent="0.3">
      <c r="A279" s="107" t="s">
        <v>1259</v>
      </c>
      <c r="B279" s="108" t="s">
        <v>1274</v>
      </c>
      <c r="C279" s="108" t="s">
        <v>1275</v>
      </c>
      <c r="D279" s="109">
        <v>45631</v>
      </c>
      <c r="E279" s="110">
        <v>165000</v>
      </c>
      <c r="F279" s="108" t="s">
        <v>32</v>
      </c>
      <c r="G279" s="108" t="s">
        <v>33</v>
      </c>
      <c r="H279" s="110">
        <v>165000</v>
      </c>
      <c r="I279" s="110">
        <v>64800</v>
      </c>
      <c r="J279" s="111">
        <f t="shared" si="28"/>
        <v>39.272727272727273</v>
      </c>
      <c r="K279" s="110">
        <v>149434</v>
      </c>
      <c r="L279" s="110">
        <f>H279-140794</f>
        <v>24206</v>
      </c>
      <c r="M279" s="110">
        <v>8640</v>
      </c>
      <c r="N279" s="112">
        <f t="shared" si="29"/>
        <v>5.2363636363636362E-2</v>
      </c>
      <c r="O279" s="113">
        <v>61.71</v>
      </c>
      <c r="P279" s="114">
        <v>142</v>
      </c>
      <c r="Q279" s="115">
        <v>0.189</v>
      </c>
      <c r="R279" s="115">
        <v>0.189</v>
      </c>
      <c r="S279" s="110">
        <f t="shared" si="30"/>
        <v>392.25409171933234</v>
      </c>
      <c r="T279" s="110">
        <f t="shared" si="31"/>
        <v>128074.07407407407</v>
      </c>
      <c r="U279" s="116">
        <f t="shared" si="32"/>
        <v>2.9401761724994047</v>
      </c>
      <c r="V279" s="115">
        <v>57.9</v>
      </c>
      <c r="W279" s="115">
        <f t="shared" si="33"/>
        <v>33000</v>
      </c>
      <c r="X279" s="115">
        <f t="shared" si="34"/>
        <v>569.94818652849744</v>
      </c>
      <c r="Y279" s="117" t="s">
        <v>1258</v>
      </c>
      <c r="Z279" s="108" t="s">
        <v>35</v>
      </c>
      <c r="AA279" s="108" t="s">
        <v>35</v>
      </c>
      <c r="AB279" s="108" t="s">
        <v>1259</v>
      </c>
      <c r="AC279" s="108">
        <v>0</v>
      </c>
      <c r="AD279" s="108">
        <v>1</v>
      </c>
      <c r="AE279" s="108" t="s">
        <v>42</v>
      </c>
      <c r="AF279" s="108" t="s">
        <v>35</v>
      </c>
      <c r="AG279" s="108" t="s">
        <v>38</v>
      </c>
      <c r="AH279" s="108" t="s">
        <v>92</v>
      </c>
    </row>
    <row r="280" spans="1:34" x14ac:dyDescent="0.3">
      <c r="A280" s="118" t="s">
        <v>1259</v>
      </c>
      <c r="B280" s="119" t="s">
        <v>1262</v>
      </c>
      <c r="C280" s="119" t="s">
        <v>1263</v>
      </c>
      <c r="D280" s="120">
        <v>45282</v>
      </c>
      <c r="E280" s="121">
        <v>115000</v>
      </c>
      <c r="F280" s="119" t="s">
        <v>32</v>
      </c>
      <c r="G280" s="119" t="s">
        <v>33</v>
      </c>
      <c r="H280" s="121">
        <v>115000</v>
      </c>
      <c r="I280" s="121">
        <v>46200</v>
      </c>
      <c r="J280" s="122">
        <f t="shared" si="28"/>
        <v>40.173913043478258</v>
      </c>
      <c r="K280" s="121">
        <v>130149</v>
      </c>
      <c r="L280" s="121">
        <f>H280-124896</f>
        <v>-9896</v>
      </c>
      <c r="M280" s="121">
        <v>5253</v>
      </c>
      <c r="N280" s="123">
        <f t="shared" si="29"/>
        <v>4.5678260869565217E-2</v>
      </c>
      <c r="O280" s="124">
        <v>37.520000000000003</v>
      </c>
      <c r="P280" s="125">
        <v>110</v>
      </c>
      <c r="Q280" s="126">
        <v>0.10100000000000001</v>
      </c>
      <c r="R280" s="126">
        <v>0.10100000000000001</v>
      </c>
      <c r="S280" s="121">
        <f t="shared" si="30"/>
        <v>-263.75266524520254</v>
      </c>
      <c r="T280" s="121">
        <f t="shared" si="31"/>
        <v>-97980.198019801974</v>
      </c>
      <c r="U280" s="127">
        <f t="shared" si="32"/>
        <v>-2.2493158406749765</v>
      </c>
      <c r="V280" s="126">
        <v>40</v>
      </c>
      <c r="W280" s="126">
        <f t="shared" si="33"/>
        <v>23000</v>
      </c>
      <c r="X280" s="126">
        <f t="shared" si="34"/>
        <v>575</v>
      </c>
      <c r="Y280" s="128" t="s">
        <v>1258</v>
      </c>
      <c r="Z280" s="119" t="s">
        <v>35</v>
      </c>
      <c r="AA280" s="119" t="s">
        <v>35</v>
      </c>
      <c r="AB280" s="119" t="s">
        <v>1259</v>
      </c>
      <c r="AC280" s="119">
        <v>0</v>
      </c>
      <c r="AD280" s="119">
        <v>1</v>
      </c>
      <c r="AE280" s="119" t="s">
        <v>42</v>
      </c>
      <c r="AF280" s="119" t="s">
        <v>43</v>
      </c>
      <c r="AG280" s="119" t="s">
        <v>38</v>
      </c>
      <c r="AH280" s="119" t="s">
        <v>92</v>
      </c>
    </row>
    <row r="281" spans="1:34" x14ac:dyDescent="0.3">
      <c r="A281" s="107" t="s">
        <v>1259</v>
      </c>
      <c r="B281" s="108" t="s">
        <v>1266</v>
      </c>
      <c r="C281" s="108" t="s">
        <v>1267</v>
      </c>
      <c r="D281" s="109">
        <v>45279</v>
      </c>
      <c r="E281" s="110">
        <v>115000</v>
      </c>
      <c r="F281" s="108" t="s">
        <v>32</v>
      </c>
      <c r="G281" s="108" t="s">
        <v>33</v>
      </c>
      <c r="H281" s="110">
        <v>115000</v>
      </c>
      <c r="I281" s="110">
        <v>45500</v>
      </c>
      <c r="J281" s="111">
        <f t="shared" si="28"/>
        <v>39.565217391304344</v>
      </c>
      <c r="K281" s="110">
        <v>128043</v>
      </c>
      <c r="L281" s="110">
        <f>H281-122790</f>
        <v>-7790</v>
      </c>
      <c r="M281" s="110">
        <v>5253</v>
      </c>
      <c r="N281" s="112">
        <f t="shared" si="29"/>
        <v>4.5678260869565217E-2</v>
      </c>
      <c r="O281" s="113">
        <v>37.520000000000003</v>
      </c>
      <c r="P281" s="114">
        <v>110</v>
      </c>
      <c r="Q281" s="115">
        <v>0.10100000000000001</v>
      </c>
      <c r="R281" s="115">
        <v>0.10100000000000001</v>
      </c>
      <c r="S281" s="110">
        <f t="shared" si="30"/>
        <v>-207.62260127931768</v>
      </c>
      <c r="T281" s="110">
        <f t="shared" si="31"/>
        <v>-77128.71287128712</v>
      </c>
      <c r="U281" s="116">
        <f t="shared" si="32"/>
        <v>-1.7706316086154068</v>
      </c>
      <c r="V281" s="115">
        <v>40</v>
      </c>
      <c r="W281" s="115">
        <f t="shared" si="33"/>
        <v>23000</v>
      </c>
      <c r="X281" s="115">
        <f t="shared" si="34"/>
        <v>575</v>
      </c>
      <c r="Y281" s="117" t="s">
        <v>1258</v>
      </c>
      <c r="Z281" s="108" t="s">
        <v>35</v>
      </c>
      <c r="AA281" s="108" t="s">
        <v>35</v>
      </c>
      <c r="AB281" s="108" t="s">
        <v>1259</v>
      </c>
      <c r="AC281" s="108">
        <v>0</v>
      </c>
      <c r="AD281" s="108">
        <v>1</v>
      </c>
      <c r="AE281" s="108" t="s">
        <v>42</v>
      </c>
      <c r="AF281" s="108" t="s">
        <v>43</v>
      </c>
      <c r="AG281" s="108" t="s">
        <v>38</v>
      </c>
      <c r="AH281" s="108" t="s">
        <v>92</v>
      </c>
    </row>
    <row r="282" spans="1:34" x14ac:dyDescent="0.3">
      <c r="A282" s="118" t="s">
        <v>1259</v>
      </c>
      <c r="B282" s="119" t="s">
        <v>1285</v>
      </c>
      <c r="C282" s="119" t="s">
        <v>1286</v>
      </c>
      <c r="D282" s="120">
        <v>45050</v>
      </c>
      <c r="E282" s="121">
        <v>130000</v>
      </c>
      <c r="F282" s="119" t="s">
        <v>32</v>
      </c>
      <c r="G282" s="119" t="s">
        <v>33</v>
      </c>
      <c r="H282" s="121">
        <v>130000</v>
      </c>
      <c r="I282" s="121">
        <v>45700</v>
      </c>
      <c r="J282" s="122">
        <f t="shared" si="28"/>
        <v>35.153846153846153</v>
      </c>
      <c r="K282" s="121">
        <v>128645</v>
      </c>
      <c r="L282" s="121">
        <f>H282-122672</f>
        <v>7328</v>
      </c>
      <c r="M282" s="121">
        <v>5973</v>
      </c>
      <c r="N282" s="123">
        <f t="shared" si="29"/>
        <v>4.5946153846153845E-2</v>
      </c>
      <c r="O282" s="124">
        <v>42.66</v>
      </c>
      <c r="P282" s="125">
        <v>129</v>
      </c>
      <c r="Q282" s="126">
        <v>0.124</v>
      </c>
      <c r="R282" s="126">
        <v>0.124</v>
      </c>
      <c r="S282" s="121">
        <f t="shared" si="30"/>
        <v>171.77684013127052</v>
      </c>
      <c r="T282" s="121">
        <f t="shared" si="31"/>
        <v>59096.774193548386</v>
      </c>
      <c r="U282" s="127">
        <f t="shared" si="32"/>
        <v>1.3566752569685121</v>
      </c>
      <c r="V282" s="126">
        <v>42</v>
      </c>
      <c r="W282" s="126">
        <f t="shared" si="33"/>
        <v>26000</v>
      </c>
      <c r="X282" s="126">
        <f t="shared" si="34"/>
        <v>619.04761904761904</v>
      </c>
      <c r="Y282" s="128" t="s">
        <v>1258</v>
      </c>
      <c r="Z282" s="119" t="s">
        <v>35</v>
      </c>
      <c r="AA282" s="119" t="s">
        <v>35</v>
      </c>
      <c r="AB282" s="119" t="s">
        <v>1259</v>
      </c>
      <c r="AC282" s="119">
        <v>0</v>
      </c>
      <c r="AD282" s="119">
        <v>1</v>
      </c>
      <c r="AE282" s="119" t="s">
        <v>42</v>
      </c>
      <c r="AF282" s="119" t="s">
        <v>43</v>
      </c>
      <c r="AG282" s="119" t="s">
        <v>38</v>
      </c>
      <c r="AH282" s="119" t="s">
        <v>92</v>
      </c>
    </row>
    <row r="283" spans="1:34" x14ac:dyDescent="0.3">
      <c r="A283" s="107" t="s">
        <v>1259</v>
      </c>
      <c r="B283" s="108" t="s">
        <v>1272</v>
      </c>
      <c r="C283" s="108" t="s">
        <v>1273</v>
      </c>
      <c r="D283" s="109">
        <v>45509</v>
      </c>
      <c r="E283" s="110">
        <v>144000</v>
      </c>
      <c r="F283" s="108" t="s">
        <v>32</v>
      </c>
      <c r="G283" s="108" t="s">
        <v>33</v>
      </c>
      <c r="H283" s="110">
        <v>144000</v>
      </c>
      <c r="I283" s="110">
        <v>66700</v>
      </c>
      <c r="J283" s="111">
        <f t="shared" si="28"/>
        <v>46.319444444444443</v>
      </c>
      <c r="K283" s="110">
        <v>149572</v>
      </c>
      <c r="L283" s="110">
        <f>H283-143574</f>
        <v>426</v>
      </c>
      <c r="M283" s="110">
        <v>5998</v>
      </c>
      <c r="N283" s="112">
        <f t="shared" si="29"/>
        <v>4.1652777777777775E-2</v>
      </c>
      <c r="O283" s="113">
        <v>42.84</v>
      </c>
      <c r="P283" s="114">
        <v>143.4</v>
      </c>
      <c r="Q283" s="115">
        <v>0.13200000000000001</v>
      </c>
      <c r="R283" s="115">
        <v>0.13200000000000001</v>
      </c>
      <c r="S283" s="110">
        <f t="shared" si="30"/>
        <v>9.943977591036413</v>
      </c>
      <c r="T283" s="110">
        <f t="shared" si="31"/>
        <v>3227.272727272727</v>
      </c>
      <c r="U283" s="116">
        <f t="shared" si="32"/>
        <v>7.4087987311127798E-2</v>
      </c>
      <c r="V283" s="115">
        <v>40</v>
      </c>
      <c r="W283" s="115">
        <f t="shared" si="33"/>
        <v>28800</v>
      </c>
      <c r="X283" s="115">
        <f t="shared" si="34"/>
        <v>720</v>
      </c>
      <c r="Y283" s="117" t="s">
        <v>1258</v>
      </c>
      <c r="Z283" s="108" t="s">
        <v>35</v>
      </c>
      <c r="AA283" s="108" t="s">
        <v>35</v>
      </c>
      <c r="AB283" s="108" t="s">
        <v>1259</v>
      </c>
      <c r="AC283" s="108">
        <v>0</v>
      </c>
      <c r="AD283" s="108">
        <v>1</v>
      </c>
      <c r="AE283" s="108" t="s">
        <v>42</v>
      </c>
      <c r="AF283" s="108" t="s">
        <v>43</v>
      </c>
      <c r="AG283" s="108" t="s">
        <v>38</v>
      </c>
      <c r="AH283" s="108" t="s">
        <v>92</v>
      </c>
    </row>
    <row r="284" spans="1:34" x14ac:dyDescent="0.3">
      <c r="A284" s="118" t="s">
        <v>1259</v>
      </c>
      <c r="B284" s="119" t="s">
        <v>1270</v>
      </c>
      <c r="C284" s="119" t="s">
        <v>1271</v>
      </c>
      <c r="D284" s="120">
        <v>45511</v>
      </c>
      <c r="E284" s="121">
        <v>210000</v>
      </c>
      <c r="F284" s="119" t="s">
        <v>32</v>
      </c>
      <c r="G284" s="119" t="s">
        <v>33</v>
      </c>
      <c r="H284" s="121">
        <v>210000</v>
      </c>
      <c r="I284" s="121">
        <v>67000</v>
      </c>
      <c r="J284" s="122">
        <f t="shared" si="28"/>
        <v>31.904761904761902</v>
      </c>
      <c r="K284" s="121">
        <v>144162</v>
      </c>
      <c r="L284" s="121">
        <f>H284-135792</f>
        <v>74208</v>
      </c>
      <c r="M284" s="121">
        <v>8370</v>
      </c>
      <c r="N284" s="123">
        <f t="shared" si="29"/>
        <v>3.9857142857142855E-2</v>
      </c>
      <c r="O284" s="124">
        <v>59.78</v>
      </c>
      <c r="P284" s="125">
        <v>143.5</v>
      </c>
      <c r="Q284" s="126">
        <v>0.185</v>
      </c>
      <c r="R284" s="126">
        <v>0.185</v>
      </c>
      <c r="S284" s="121">
        <f t="shared" si="30"/>
        <v>1241.3516226162596</v>
      </c>
      <c r="T284" s="121">
        <f t="shared" si="31"/>
        <v>401124.32432432432</v>
      </c>
      <c r="U284" s="127">
        <f t="shared" si="32"/>
        <v>9.2085473903655721</v>
      </c>
      <c r="V284" s="126">
        <v>54.93</v>
      </c>
      <c r="W284" s="126">
        <f t="shared" si="33"/>
        <v>42000</v>
      </c>
      <c r="X284" s="126">
        <f t="shared" si="34"/>
        <v>764.60950300382308</v>
      </c>
      <c r="Y284" s="128" t="s">
        <v>1258</v>
      </c>
      <c r="Z284" s="119" t="s">
        <v>35</v>
      </c>
      <c r="AA284" s="119" t="s">
        <v>35</v>
      </c>
      <c r="AB284" s="119" t="s">
        <v>1259</v>
      </c>
      <c r="AC284" s="119">
        <v>0</v>
      </c>
      <c r="AD284" s="119">
        <v>1</v>
      </c>
      <c r="AE284" s="119" t="s">
        <v>37</v>
      </c>
      <c r="AF284" s="119" t="s">
        <v>43</v>
      </c>
      <c r="AG284" s="119" t="s">
        <v>38</v>
      </c>
      <c r="AH284" s="119" t="s">
        <v>92</v>
      </c>
    </row>
    <row r="285" spans="1:34" x14ac:dyDescent="0.3">
      <c r="A285" s="107" t="s">
        <v>1259</v>
      </c>
      <c r="B285" s="108" t="s">
        <v>1281</v>
      </c>
      <c r="C285" s="108" t="s">
        <v>1282</v>
      </c>
      <c r="D285" s="109">
        <v>45574</v>
      </c>
      <c r="E285" s="110">
        <v>165500</v>
      </c>
      <c r="F285" s="108" t="s">
        <v>32</v>
      </c>
      <c r="G285" s="108" t="s">
        <v>33</v>
      </c>
      <c r="H285" s="110">
        <v>165500</v>
      </c>
      <c r="I285" s="110">
        <v>108100</v>
      </c>
      <c r="J285" s="111">
        <f t="shared" si="28"/>
        <v>65.317220543806641</v>
      </c>
      <c r="K285" s="110">
        <v>236282</v>
      </c>
      <c r="L285" s="110">
        <f>H285-230480</f>
        <v>-64980</v>
      </c>
      <c r="M285" s="110">
        <v>5802</v>
      </c>
      <c r="N285" s="112">
        <f t="shared" si="29"/>
        <v>3.5057401812688821E-2</v>
      </c>
      <c r="O285" s="113">
        <v>41.44</v>
      </c>
      <c r="P285" s="114">
        <v>134.19999999999999</v>
      </c>
      <c r="Q285" s="115">
        <v>0.123</v>
      </c>
      <c r="R285" s="115">
        <v>0.123</v>
      </c>
      <c r="S285" s="110">
        <f t="shared" si="30"/>
        <v>-1568.0501930501932</v>
      </c>
      <c r="T285" s="110">
        <f t="shared" si="31"/>
        <v>-528292.68292682932</v>
      </c>
      <c r="U285" s="116">
        <f t="shared" si="32"/>
        <v>-12.12793119666734</v>
      </c>
      <c r="V285" s="115">
        <v>40</v>
      </c>
      <c r="W285" s="115">
        <f t="shared" si="33"/>
        <v>33100</v>
      </c>
      <c r="X285" s="115">
        <f t="shared" si="34"/>
        <v>827.5</v>
      </c>
      <c r="Y285" s="117" t="s">
        <v>1258</v>
      </c>
      <c r="Z285" s="108" t="s">
        <v>35</v>
      </c>
      <c r="AA285" s="108" t="s">
        <v>35</v>
      </c>
      <c r="AB285" s="108" t="s">
        <v>1259</v>
      </c>
      <c r="AC285" s="108">
        <v>0</v>
      </c>
      <c r="AD285" s="108">
        <v>1</v>
      </c>
      <c r="AE285" s="108" t="s">
        <v>42</v>
      </c>
      <c r="AF285" s="108" t="s">
        <v>35</v>
      </c>
      <c r="AG285" s="108" t="s">
        <v>38</v>
      </c>
      <c r="AH285" s="108" t="s">
        <v>92</v>
      </c>
    </row>
    <row r="286" spans="1:34" x14ac:dyDescent="0.3">
      <c r="A286" s="107" t="s">
        <v>1259</v>
      </c>
      <c r="B286" s="108" t="s">
        <v>1281</v>
      </c>
      <c r="C286" s="108" t="s">
        <v>1282</v>
      </c>
      <c r="D286" s="109">
        <v>45637</v>
      </c>
      <c r="E286" s="110">
        <v>194000</v>
      </c>
      <c r="F286" s="108" t="s">
        <v>32</v>
      </c>
      <c r="G286" s="108" t="s">
        <v>33</v>
      </c>
      <c r="H286" s="110">
        <v>194000</v>
      </c>
      <c r="I286" s="110">
        <v>108100</v>
      </c>
      <c r="J286" s="111">
        <f t="shared" si="28"/>
        <v>55.721649484536087</v>
      </c>
      <c r="K286" s="110">
        <v>236282</v>
      </c>
      <c r="L286" s="110">
        <f>H286-230480</f>
        <v>-36480</v>
      </c>
      <c r="M286" s="110">
        <v>5802</v>
      </c>
      <c r="N286" s="112">
        <f t="shared" si="29"/>
        <v>2.9907216494845359E-2</v>
      </c>
      <c r="O286" s="113">
        <v>41.44</v>
      </c>
      <c r="P286" s="114">
        <v>134.19999999999999</v>
      </c>
      <c r="Q286" s="115">
        <v>0.123</v>
      </c>
      <c r="R286" s="115">
        <v>0.123</v>
      </c>
      <c r="S286" s="110">
        <f t="shared" si="30"/>
        <v>-880.30888030888036</v>
      </c>
      <c r="T286" s="110">
        <f t="shared" si="31"/>
        <v>-296585.36585365853</v>
      </c>
      <c r="U286" s="116">
        <f t="shared" si="32"/>
        <v>-6.8086631279535936</v>
      </c>
      <c r="V286" s="115">
        <v>40</v>
      </c>
      <c r="W286" s="115">
        <f t="shared" si="33"/>
        <v>38800</v>
      </c>
      <c r="X286" s="115">
        <f t="shared" si="34"/>
        <v>970</v>
      </c>
      <c r="Y286" s="117" t="s">
        <v>1258</v>
      </c>
      <c r="Z286" s="108" t="s">
        <v>35</v>
      </c>
      <c r="AA286" s="108" t="s">
        <v>35</v>
      </c>
      <c r="AB286" s="108" t="s">
        <v>1259</v>
      </c>
      <c r="AC286" s="108">
        <v>0</v>
      </c>
      <c r="AD286" s="108">
        <v>1</v>
      </c>
      <c r="AE286" s="108" t="s">
        <v>42</v>
      </c>
      <c r="AF286" s="108" t="s">
        <v>35</v>
      </c>
      <c r="AG286" s="108" t="s">
        <v>38</v>
      </c>
      <c r="AH286" s="108" t="s">
        <v>92</v>
      </c>
    </row>
    <row r="287" spans="1:34" x14ac:dyDescent="0.3">
      <c r="A287" s="118" t="s">
        <v>1160</v>
      </c>
      <c r="B287" s="119" t="s">
        <v>1179</v>
      </c>
      <c r="C287" s="119" t="s">
        <v>1180</v>
      </c>
      <c r="D287" s="120">
        <v>45495</v>
      </c>
      <c r="E287" s="121">
        <v>130000</v>
      </c>
      <c r="F287" s="119" t="s">
        <v>32</v>
      </c>
      <c r="G287" s="119" t="s">
        <v>33</v>
      </c>
      <c r="H287" s="121">
        <v>130000</v>
      </c>
      <c r="I287" s="121">
        <v>93900</v>
      </c>
      <c r="J287" s="122">
        <f t="shared" si="28"/>
        <v>72.230769230769226</v>
      </c>
      <c r="K287" s="121">
        <v>217322</v>
      </c>
      <c r="L287" s="121">
        <f>H287-203652</f>
        <v>-73652</v>
      </c>
      <c r="M287" s="121">
        <v>13670</v>
      </c>
      <c r="N287" s="123">
        <f t="shared" si="29"/>
        <v>0.10515384615384615</v>
      </c>
      <c r="O287" s="124">
        <v>62.99</v>
      </c>
      <c r="P287" s="125">
        <v>140</v>
      </c>
      <c r="Q287" s="126">
        <v>0.193</v>
      </c>
      <c r="R287" s="126">
        <v>0.193</v>
      </c>
      <c r="S287" s="121">
        <f t="shared" si="30"/>
        <v>-1169.2649626924908</v>
      </c>
      <c r="T287" s="121">
        <f t="shared" si="31"/>
        <v>-381616.58031088085</v>
      </c>
      <c r="U287" s="127">
        <f t="shared" si="32"/>
        <v>-8.7607112100753177</v>
      </c>
      <c r="V287" s="126">
        <v>60</v>
      </c>
      <c r="W287" s="126">
        <f t="shared" si="33"/>
        <v>26000</v>
      </c>
      <c r="X287" s="126">
        <f t="shared" si="34"/>
        <v>433.33333333333331</v>
      </c>
      <c r="Y287" s="128" t="s">
        <v>1159</v>
      </c>
      <c r="Z287" s="119" t="s">
        <v>35</v>
      </c>
      <c r="AA287" s="119" t="s">
        <v>35</v>
      </c>
      <c r="AB287" s="119" t="s">
        <v>1160</v>
      </c>
      <c r="AC287" s="119">
        <v>0</v>
      </c>
      <c r="AD287" s="119">
        <v>1</v>
      </c>
      <c r="AE287" s="119" t="s">
        <v>42</v>
      </c>
      <c r="AF287" s="119" t="s">
        <v>43</v>
      </c>
      <c r="AG287" s="119" t="s">
        <v>38</v>
      </c>
      <c r="AH287" s="119" t="s">
        <v>92</v>
      </c>
    </row>
    <row r="288" spans="1:34" x14ac:dyDescent="0.3">
      <c r="A288" s="107" t="s">
        <v>1160</v>
      </c>
      <c r="B288" s="108" t="s">
        <v>1177</v>
      </c>
      <c r="C288" s="108" t="s">
        <v>1178</v>
      </c>
      <c r="D288" s="109">
        <v>45415</v>
      </c>
      <c r="E288" s="110">
        <v>125000</v>
      </c>
      <c r="F288" s="108" t="s">
        <v>32</v>
      </c>
      <c r="G288" s="108" t="s">
        <v>33</v>
      </c>
      <c r="H288" s="110">
        <v>125000</v>
      </c>
      <c r="I288" s="110">
        <v>91500</v>
      </c>
      <c r="J288" s="111">
        <f t="shared" si="28"/>
        <v>73.2</v>
      </c>
      <c r="K288" s="110">
        <v>216202</v>
      </c>
      <c r="L288" s="110">
        <f>H288-205225</f>
        <v>-80225</v>
      </c>
      <c r="M288" s="110">
        <v>10977</v>
      </c>
      <c r="N288" s="112">
        <f t="shared" si="29"/>
        <v>8.7816000000000005E-2</v>
      </c>
      <c r="O288" s="113">
        <v>50.58</v>
      </c>
      <c r="P288" s="114">
        <v>130</v>
      </c>
      <c r="Q288" s="115">
        <v>0.14899999999999999</v>
      </c>
      <c r="R288" s="115">
        <v>0.14899999999999999</v>
      </c>
      <c r="S288" s="110">
        <f t="shared" si="30"/>
        <v>-1586.1012257809411</v>
      </c>
      <c r="T288" s="110">
        <f t="shared" si="31"/>
        <v>-538422.81879194628</v>
      </c>
      <c r="U288" s="116">
        <f t="shared" si="32"/>
        <v>-12.360487116435865</v>
      </c>
      <c r="V288" s="115">
        <v>50</v>
      </c>
      <c r="W288" s="115">
        <f t="shared" si="33"/>
        <v>25000</v>
      </c>
      <c r="X288" s="115">
        <f t="shared" si="34"/>
        <v>500</v>
      </c>
      <c r="Y288" s="117" t="s">
        <v>1159</v>
      </c>
      <c r="Z288" s="108" t="s">
        <v>35</v>
      </c>
      <c r="AA288" s="108" t="s">
        <v>35</v>
      </c>
      <c r="AB288" s="108" t="s">
        <v>1160</v>
      </c>
      <c r="AC288" s="108">
        <v>0</v>
      </c>
      <c r="AD288" s="108">
        <v>1</v>
      </c>
      <c r="AE288" s="108" t="s">
        <v>42</v>
      </c>
      <c r="AF288" s="108" t="s">
        <v>43</v>
      </c>
      <c r="AG288" s="108" t="s">
        <v>38</v>
      </c>
      <c r="AH288" s="108" t="s">
        <v>92</v>
      </c>
    </row>
    <row r="289" spans="1:34" x14ac:dyDescent="0.3">
      <c r="A289" s="118" t="s">
        <v>1160</v>
      </c>
      <c r="B289" s="119" t="s">
        <v>1175</v>
      </c>
      <c r="C289" s="119" t="s">
        <v>1176</v>
      </c>
      <c r="D289" s="120">
        <v>45433</v>
      </c>
      <c r="E289" s="121">
        <v>180000</v>
      </c>
      <c r="F289" s="119" t="s">
        <v>32</v>
      </c>
      <c r="G289" s="119" t="s">
        <v>33</v>
      </c>
      <c r="H289" s="121">
        <v>180000</v>
      </c>
      <c r="I289" s="121">
        <v>79200</v>
      </c>
      <c r="J289" s="122">
        <f t="shared" si="28"/>
        <v>44</v>
      </c>
      <c r="K289" s="121">
        <v>181791</v>
      </c>
      <c r="L289" s="121">
        <f>H289-170457</f>
        <v>9543</v>
      </c>
      <c r="M289" s="121">
        <v>11334</v>
      </c>
      <c r="N289" s="123">
        <f t="shared" si="29"/>
        <v>6.2966666666666671E-2</v>
      </c>
      <c r="O289" s="124">
        <v>52.22</v>
      </c>
      <c r="P289" s="125">
        <v>123.38</v>
      </c>
      <c r="Q289" s="126">
        <v>0.13600000000000001</v>
      </c>
      <c r="R289" s="126">
        <v>0.13600000000000001</v>
      </c>
      <c r="S289" s="121">
        <f t="shared" si="30"/>
        <v>182.7460743010341</v>
      </c>
      <c r="T289" s="121">
        <f t="shared" si="31"/>
        <v>70169.117647058825</v>
      </c>
      <c r="U289" s="127">
        <f t="shared" si="32"/>
        <v>1.6108612866634258</v>
      </c>
      <c r="V289" s="126">
        <v>63</v>
      </c>
      <c r="W289" s="126">
        <f t="shared" si="33"/>
        <v>36000</v>
      </c>
      <c r="X289" s="126">
        <f t="shared" si="34"/>
        <v>571.42857142857144</v>
      </c>
      <c r="Y289" s="128" t="s">
        <v>1159</v>
      </c>
      <c r="Z289" s="119" t="s">
        <v>35</v>
      </c>
      <c r="AA289" s="119" t="s">
        <v>35</v>
      </c>
      <c r="AB289" s="119" t="s">
        <v>1160</v>
      </c>
      <c r="AC289" s="119">
        <v>0</v>
      </c>
      <c r="AD289" s="119">
        <v>1</v>
      </c>
      <c r="AE289" s="119" t="s">
        <v>42</v>
      </c>
      <c r="AF289" s="119" t="s">
        <v>43</v>
      </c>
      <c r="AG289" s="119" t="s">
        <v>38</v>
      </c>
      <c r="AH289" s="119" t="s">
        <v>92</v>
      </c>
    </row>
    <row r="290" spans="1:34" x14ac:dyDescent="0.3">
      <c r="A290" s="118" t="s">
        <v>1160</v>
      </c>
      <c r="B290" s="119" t="s">
        <v>1173</v>
      </c>
      <c r="C290" s="119" t="s">
        <v>1174</v>
      </c>
      <c r="D290" s="120">
        <v>45307</v>
      </c>
      <c r="E290" s="121">
        <v>169000</v>
      </c>
      <c r="F290" s="119" t="s">
        <v>32</v>
      </c>
      <c r="G290" s="119" t="s">
        <v>33</v>
      </c>
      <c r="H290" s="121">
        <v>169000</v>
      </c>
      <c r="I290" s="121">
        <v>67600</v>
      </c>
      <c r="J290" s="122">
        <f t="shared" si="28"/>
        <v>40</v>
      </c>
      <c r="K290" s="121">
        <v>165935</v>
      </c>
      <c r="L290" s="121">
        <f>H290-155085</f>
        <v>13915</v>
      </c>
      <c r="M290" s="121">
        <v>10850</v>
      </c>
      <c r="N290" s="123">
        <f t="shared" si="29"/>
        <v>6.4201183431952663E-2</v>
      </c>
      <c r="O290" s="124">
        <v>50</v>
      </c>
      <c r="P290" s="125">
        <v>127</v>
      </c>
      <c r="Q290" s="126">
        <v>0.14599999999999999</v>
      </c>
      <c r="R290" s="126">
        <v>0.14599999999999999</v>
      </c>
      <c r="S290" s="121">
        <f t="shared" si="30"/>
        <v>278.3</v>
      </c>
      <c r="T290" s="121">
        <f t="shared" si="31"/>
        <v>95308.219178082203</v>
      </c>
      <c r="U290" s="127">
        <f t="shared" si="32"/>
        <v>2.1879756468797567</v>
      </c>
      <c r="V290" s="126">
        <v>50</v>
      </c>
      <c r="W290" s="126">
        <f t="shared" si="33"/>
        <v>33800</v>
      </c>
      <c r="X290" s="126">
        <f t="shared" si="34"/>
        <v>676</v>
      </c>
      <c r="Y290" s="128" t="s">
        <v>1159</v>
      </c>
      <c r="Z290" s="119" t="s">
        <v>35</v>
      </c>
      <c r="AA290" s="119" t="s">
        <v>35</v>
      </c>
      <c r="AB290" s="119" t="s">
        <v>1160</v>
      </c>
      <c r="AC290" s="119">
        <v>0</v>
      </c>
      <c r="AD290" s="119">
        <v>1</v>
      </c>
      <c r="AE290" s="119" t="s">
        <v>37</v>
      </c>
      <c r="AF290" s="119" t="s">
        <v>43</v>
      </c>
      <c r="AG290" s="119" t="s">
        <v>38</v>
      </c>
      <c r="AH290" s="119" t="s">
        <v>92</v>
      </c>
    </row>
    <row r="291" spans="1:34" x14ac:dyDescent="0.3">
      <c r="A291" s="118" t="s">
        <v>1160</v>
      </c>
      <c r="B291" s="119" t="s">
        <v>1161</v>
      </c>
      <c r="C291" s="119" t="s">
        <v>1162</v>
      </c>
      <c r="D291" s="120">
        <v>45646</v>
      </c>
      <c r="E291" s="121">
        <v>220000</v>
      </c>
      <c r="F291" s="119" t="s">
        <v>32</v>
      </c>
      <c r="G291" s="119" t="s">
        <v>33</v>
      </c>
      <c r="H291" s="121">
        <v>220000</v>
      </c>
      <c r="I291" s="121">
        <v>84100</v>
      </c>
      <c r="J291" s="122">
        <f t="shared" si="28"/>
        <v>38.227272727272727</v>
      </c>
      <c r="K291" s="121">
        <v>192600</v>
      </c>
      <c r="L291" s="121">
        <f>H291-179812</f>
        <v>40188</v>
      </c>
      <c r="M291" s="121">
        <v>12788</v>
      </c>
      <c r="N291" s="123">
        <f t="shared" si="29"/>
        <v>5.8127272727272729E-2</v>
      </c>
      <c r="O291" s="124">
        <v>58.92</v>
      </c>
      <c r="P291" s="125">
        <v>105</v>
      </c>
      <c r="Q291" s="126">
        <v>0.157</v>
      </c>
      <c r="R291" s="126">
        <v>0.157</v>
      </c>
      <c r="S291" s="121">
        <f t="shared" si="30"/>
        <v>682.07739307535644</v>
      </c>
      <c r="T291" s="121">
        <f t="shared" si="31"/>
        <v>255974.52229299364</v>
      </c>
      <c r="U291" s="127">
        <f t="shared" si="32"/>
        <v>5.8763664438244634</v>
      </c>
      <c r="V291" s="126">
        <v>64.55</v>
      </c>
      <c r="W291" s="126">
        <f t="shared" si="33"/>
        <v>44000</v>
      </c>
      <c r="X291" s="126">
        <f t="shared" si="34"/>
        <v>681.64213787761423</v>
      </c>
      <c r="Y291" s="128" t="s">
        <v>1159</v>
      </c>
      <c r="Z291" s="119" t="s">
        <v>35</v>
      </c>
      <c r="AA291" s="119" t="s">
        <v>35</v>
      </c>
      <c r="AB291" s="119" t="s">
        <v>1160</v>
      </c>
      <c r="AC291" s="119">
        <v>0</v>
      </c>
      <c r="AD291" s="119">
        <v>1</v>
      </c>
      <c r="AE291" s="119" t="s">
        <v>42</v>
      </c>
      <c r="AF291" s="119" t="s">
        <v>35</v>
      </c>
      <c r="AG291" s="119" t="s">
        <v>38</v>
      </c>
      <c r="AH291" s="119" t="s">
        <v>92</v>
      </c>
    </row>
    <row r="292" spans="1:34" x14ac:dyDescent="0.3">
      <c r="A292" s="107" t="s">
        <v>1160</v>
      </c>
      <c r="B292" s="108" t="s">
        <v>1163</v>
      </c>
      <c r="C292" s="108" t="s">
        <v>1164</v>
      </c>
      <c r="D292" s="109">
        <v>45369</v>
      </c>
      <c r="E292" s="110">
        <v>174200</v>
      </c>
      <c r="F292" s="108" t="s">
        <v>32</v>
      </c>
      <c r="G292" s="108" t="s">
        <v>33</v>
      </c>
      <c r="H292" s="110">
        <v>174200</v>
      </c>
      <c r="I292" s="110">
        <v>78400</v>
      </c>
      <c r="J292" s="111">
        <f t="shared" si="28"/>
        <v>45.005740528128591</v>
      </c>
      <c r="K292" s="110">
        <v>192631</v>
      </c>
      <c r="L292" s="110">
        <f>H292-181639</f>
        <v>-7439</v>
      </c>
      <c r="M292" s="110">
        <v>10992</v>
      </c>
      <c r="N292" s="112">
        <f t="shared" si="29"/>
        <v>6.3099885189437432E-2</v>
      </c>
      <c r="O292" s="113">
        <v>50.65</v>
      </c>
      <c r="P292" s="114">
        <v>130.34</v>
      </c>
      <c r="Q292" s="115">
        <v>0.15</v>
      </c>
      <c r="R292" s="115">
        <v>0.15</v>
      </c>
      <c r="S292" s="110">
        <f t="shared" si="30"/>
        <v>-146.87068114511354</v>
      </c>
      <c r="T292" s="110">
        <f t="shared" si="31"/>
        <v>-49593.333333333336</v>
      </c>
      <c r="U292" s="116">
        <f t="shared" si="32"/>
        <v>-1.1385062748699113</v>
      </c>
      <c r="V292" s="115">
        <v>50</v>
      </c>
      <c r="W292" s="115">
        <f t="shared" si="33"/>
        <v>34840</v>
      </c>
      <c r="X292" s="115">
        <f t="shared" si="34"/>
        <v>696.8</v>
      </c>
      <c r="Y292" s="117" t="s">
        <v>1159</v>
      </c>
      <c r="Z292" s="108" t="s">
        <v>35</v>
      </c>
      <c r="AA292" s="108" t="s">
        <v>35</v>
      </c>
      <c r="AB292" s="108" t="s">
        <v>1160</v>
      </c>
      <c r="AC292" s="108">
        <v>0</v>
      </c>
      <c r="AD292" s="108">
        <v>1</v>
      </c>
      <c r="AE292" s="108" t="s">
        <v>42</v>
      </c>
      <c r="AF292" s="108" t="s">
        <v>43</v>
      </c>
      <c r="AG292" s="108" t="s">
        <v>38</v>
      </c>
      <c r="AH292" s="108" t="s">
        <v>92</v>
      </c>
    </row>
    <row r="293" spans="1:34" x14ac:dyDescent="0.3">
      <c r="A293" s="107" t="s">
        <v>1160</v>
      </c>
      <c r="B293" s="108" t="s">
        <v>1183</v>
      </c>
      <c r="C293" s="108" t="s">
        <v>1184</v>
      </c>
      <c r="D293" s="109">
        <v>45182</v>
      </c>
      <c r="E293" s="110">
        <v>175000</v>
      </c>
      <c r="F293" s="108" t="s">
        <v>32</v>
      </c>
      <c r="G293" s="108" t="s">
        <v>33</v>
      </c>
      <c r="H293" s="110">
        <v>175000</v>
      </c>
      <c r="I293" s="110">
        <v>74900</v>
      </c>
      <c r="J293" s="111">
        <f t="shared" si="28"/>
        <v>42.8</v>
      </c>
      <c r="K293" s="110">
        <v>183407</v>
      </c>
      <c r="L293" s="110">
        <f>H293-172860</f>
        <v>2140</v>
      </c>
      <c r="M293" s="110">
        <v>10547</v>
      </c>
      <c r="N293" s="112">
        <f t="shared" si="29"/>
        <v>6.0268571428571428E-2</v>
      </c>
      <c r="O293" s="113">
        <v>48.6</v>
      </c>
      <c r="P293" s="114">
        <v>120</v>
      </c>
      <c r="Q293" s="115">
        <v>0.13800000000000001</v>
      </c>
      <c r="R293" s="115">
        <v>0.13800000000000001</v>
      </c>
      <c r="S293" s="110">
        <f t="shared" si="30"/>
        <v>44.032921810699584</v>
      </c>
      <c r="T293" s="110">
        <f t="shared" si="31"/>
        <v>15507.246376811592</v>
      </c>
      <c r="U293" s="116">
        <f t="shared" si="32"/>
        <v>0.35599739157051408</v>
      </c>
      <c r="V293" s="115">
        <v>50</v>
      </c>
      <c r="W293" s="115">
        <f t="shared" si="33"/>
        <v>35000</v>
      </c>
      <c r="X293" s="115">
        <f t="shared" si="34"/>
        <v>700</v>
      </c>
      <c r="Y293" s="117" t="s">
        <v>1159</v>
      </c>
      <c r="Z293" s="108" t="s">
        <v>35</v>
      </c>
      <c r="AA293" s="108" t="s">
        <v>35</v>
      </c>
      <c r="AB293" s="108" t="s">
        <v>1160</v>
      </c>
      <c r="AC293" s="108">
        <v>0</v>
      </c>
      <c r="AD293" s="108">
        <v>1</v>
      </c>
      <c r="AE293" s="108" t="s">
        <v>42</v>
      </c>
      <c r="AF293" s="108" t="s">
        <v>43</v>
      </c>
      <c r="AG293" s="108" t="s">
        <v>38</v>
      </c>
      <c r="AH293" s="108" t="s">
        <v>92</v>
      </c>
    </row>
    <row r="294" spans="1:34" x14ac:dyDescent="0.3">
      <c r="A294" s="118" t="s">
        <v>1160</v>
      </c>
      <c r="B294" s="119" t="s">
        <v>1167</v>
      </c>
      <c r="C294" s="119" t="s">
        <v>1168</v>
      </c>
      <c r="D294" s="120">
        <v>45191</v>
      </c>
      <c r="E294" s="121">
        <v>175000</v>
      </c>
      <c r="F294" s="119" t="s">
        <v>32</v>
      </c>
      <c r="G294" s="119" t="s">
        <v>33</v>
      </c>
      <c r="H294" s="121">
        <v>175000</v>
      </c>
      <c r="I294" s="121">
        <v>78400</v>
      </c>
      <c r="J294" s="122">
        <f t="shared" si="28"/>
        <v>44.800000000000004</v>
      </c>
      <c r="K294" s="121">
        <v>192160</v>
      </c>
      <c r="L294" s="121">
        <f>H294-181183</f>
        <v>-6183</v>
      </c>
      <c r="M294" s="121">
        <v>10977</v>
      </c>
      <c r="N294" s="123">
        <f t="shared" si="29"/>
        <v>6.2725714285714287E-2</v>
      </c>
      <c r="O294" s="124">
        <v>50.58</v>
      </c>
      <c r="P294" s="125">
        <v>130</v>
      </c>
      <c r="Q294" s="126">
        <v>0.14899999999999999</v>
      </c>
      <c r="R294" s="126">
        <v>0.14899999999999999</v>
      </c>
      <c r="S294" s="121">
        <f t="shared" si="30"/>
        <v>-122.24199288256229</v>
      </c>
      <c r="T294" s="121">
        <f t="shared" si="31"/>
        <v>-41496.644295302016</v>
      </c>
      <c r="U294" s="127">
        <f t="shared" si="32"/>
        <v>-0.95263187087470191</v>
      </c>
      <c r="V294" s="126">
        <v>50</v>
      </c>
      <c r="W294" s="126">
        <f t="shared" si="33"/>
        <v>35000</v>
      </c>
      <c r="X294" s="126">
        <f t="shared" si="34"/>
        <v>700</v>
      </c>
      <c r="Y294" s="128" t="s">
        <v>1159</v>
      </c>
      <c r="Z294" s="119" t="s">
        <v>35</v>
      </c>
      <c r="AA294" s="119" t="s">
        <v>35</v>
      </c>
      <c r="AB294" s="119" t="s">
        <v>1160</v>
      </c>
      <c r="AC294" s="119">
        <v>0</v>
      </c>
      <c r="AD294" s="119">
        <v>1</v>
      </c>
      <c r="AE294" s="119" t="s">
        <v>42</v>
      </c>
      <c r="AF294" s="119" t="s">
        <v>43</v>
      </c>
      <c r="AG294" s="119" t="s">
        <v>38</v>
      </c>
      <c r="AH294" s="119" t="s">
        <v>92</v>
      </c>
    </row>
    <row r="295" spans="1:34" x14ac:dyDescent="0.3">
      <c r="A295" s="118" t="s">
        <v>1160</v>
      </c>
      <c r="B295" s="119" t="s">
        <v>1157</v>
      </c>
      <c r="C295" s="119" t="s">
        <v>1158</v>
      </c>
      <c r="D295" s="120">
        <v>45113</v>
      </c>
      <c r="E295" s="121">
        <v>192500</v>
      </c>
      <c r="F295" s="119" t="s">
        <v>32</v>
      </c>
      <c r="G295" s="119" t="s">
        <v>33</v>
      </c>
      <c r="H295" s="121">
        <v>192500</v>
      </c>
      <c r="I295" s="121">
        <v>84900</v>
      </c>
      <c r="J295" s="122">
        <f t="shared" si="28"/>
        <v>44.103896103896105</v>
      </c>
      <c r="K295" s="121">
        <v>209509</v>
      </c>
      <c r="L295" s="121">
        <f>H295-198569</f>
        <v>-6069</v>
      </c>
      <c r="M295" s="121">
        <v>10940</v>
      </c>
      <c r="N295" s="123">
        <f t="shared" si="29"/>
        <v>5.683116883116883E-2</v>
      </c>
      <c r="O295" s="124">
        <v>50.41</v>
      </c>
      <c r="P295" s="125">
        <v>129.11000000000001</v>
      </c>
      <c r="Q295" s="126">
        <v>0.14799999999999999</v>
      </c>
      <c r="R295" s="126">
        <v>0.14799999999999999</v>
      </c>
      <c r="S295" s="121">
        <f t="shared" si="30"/>
        <v>-120.39277921047412</v>
      </c>
      <c r="T295" s="121">
        <f t="shared" si="31"/>
        <v>-41006.75675675676</v>
      </c>
      <c r="U295" s="127">
        <f t="shared" si="32"/>
        <v>-0.94138560047650965</v>
      </c>
      <c r="V295" s="126">
        <v>50</v>
      </c>
      <c r="W295" s="126">
        <f t="shared" si="33"/>
        <v>38500</v>
      </c>
      <c r="X295" s="126">
        <f t="shared" si="34"/>
        <v>770</v>
      </c>
      <c r="Y295" s="128" t="s">
        <v>1159</v>
      </c>
      <c r="Z295" s="119" t="s">
        <v>35</v>
      </c>
      <c r="AA295" s="119" t="s">
        <v>35</v>
      </c>
      <c r="AB295" s="119" t="s">
        <v>1160</v>
      </c>
      <c r="AC295" s="119">
        <v>0</v>
      </c>
      <c r="AD295" s="119">
        <v>1</v>
      </c>
      <c r="AE295" s="119" t="s">
        <v>37</v>
      </c>
      <c r="AF295" s="119" t="s">
        <v>43</v>
      </c>
      <c r="AG295" s="119" t="s">
        <v>38</v>
      </c>
      <c r="AH295" s="119" t="s">
        <v>92</v>
      </c>
    </row>
    <row r="296" spans="1:34" x14ac:dyDescent="0.3">
      <c r="A296" s="118" t="s">
        <v>1160</v>
      </c>
      <c r="B296" s="119" t="s">
        <v>1181</v>
      </c>
      <c r="C296" s="119" t="s">
        <v>1182</v>
      </c>
      <c r="D296" s="120">
        <v>45145</v>
      </c>
      <c r="E296" s="121">
        <v>200000</v>
      </c>
      <c r="F296" s="119" t="s">
        <v>32</v>
      </c>
      <c r="G296" s="119" t="s">
        <v>33</v>
      </c>
      <c r="H296" s="121">
        <v>200000</v>
      </c>
      <c r="I296" s="121">
        <v>72300</v>
      </c>
      <c r="J296" s="122">
        <f t="shared" si="28"/>
        <v>36.15</v>
      </c>
      <c r="K296" s="121">
        <v>178131</v>
      </c>
      <c r="L296" s="121">
        <f>H296-166739</f>
        <v>33261</v>
      </c>
      <c r="M296" s="121">
        <v>11392</v>
      </c>
      <c r="N296" s="123">
        <f t="shared" si="29"/>
        <v>5.6959999999999997E-2</v>
      </c>
      <c r="O296" s="124">
        <v>52.49</v>
      </c>
      <c r="P296" s="125">
        <v>140</v>
      </c>
      <c r="Q296" s="126">
        <v>0.161</v>
      </c>
      <c r="R296" s="126">
        <v>0.161</v>
      </c>
      <c r="S296" s="121">
        <f t="shared" si="30"/>
        <v>633.66355496285007</v>
      </c>
      <c r="T296" s="121">
        <f t="shared" si="31"/>
        <v>206590.06211180124</v>
      </c>
      <c r="U296" s="127">
        <f t="shared" si="32"/>
        <v>4.7426552367263826</v>
      </c>
      <c r="V296" s="126">
        <v>50</v>
      </c>
      <c r="W296" s="126">
        <f t="shared" si="33"/>
        <v>40000</v>
      </c>
      <c r="X296" s="126">
        <f t="shared" si="34"/>
        <v>800</v>
      </c>
      <c r="Y296" s="128" t="s">
        <v>1159</v>
      </c>
      <c r="Z296" s="119" t="s">
        <v>35</v>
      </c>
      <c r="AA296" s="119" t="s">
        <v>35</v>
      </c>
      <c r="AB296" s="119" t="s">
        <v>1160</v>
      </c>
      <c r="AC296" s="119">
        <v>0</v>
      </c>
      <c r="AD296" s="119">
        <v>1</v>
      </c>
      <c r="AE296" s="119" t="s">
        <v>37</v>
      </c>
      <c r="AF296" s="119" t="s">
        <v>43</v>
      </c>
      <c r="AG296" s="119" t="s">
        <v>38</v>
      </c>
      <c r="AH296" s="119" t="s">
        <v>92</v>
      </c>
    </row>
    <row r="297" spans="1:34" x14ac:dyDescent="0.3">
      <c r="A297" s="118" t="s">
        <v>1160</v>
      </c>
      <c r="B297" s="119" t="s">
        <v>1165</v>
      </c>
      <c r="C297" s="119" t="s">
        <v>1166</v>
      </c>
      <c r="D297" s="120">
        <v>45408</v>
      </c>
      <c r="E297" s="121">
        <v>204000</v>
      </c>
      <c r="F297" s="119" t="s">
        <v>32</v>
      </c>
      <c r="G297" s="119" t="s">
        <v>33</v>
      </c>
      <c r="H297" s="121">
        <v>204000</v>
      </c>
      <c r="I297" s="121">
        <v>90000</v>
      </c>
      <c r="J297" s="122">
        <f t="shared" si="28"/>
        <v>44.117647058823529</v>
      </c>
      <c r="K297" s="121">
        <v>208467</v>
      </c>
      <c r="L297" s="121">
        <f>H297-197490</f>
        <v>6510</v>
      </c>
      <c r="M297" s="121">
        <v>10977</v>
      </c>
      <c r="N297" s="123">
        <f t="shared" si="29"/>
        <v>5.3808823529411763E-2</v>
      </c>
      <c r="O297" s="124">
        <v>50.58</v>
      </c>
      <c r="P297" s="125">
        <v>130</v>
      </c>
      <c r="Q297" s="126">
        <v>0.14899999999999999</v>
      </c>
      <c r="R297" s="126">
        <v>0.14899999999999999</v>
      </c>
      <c r="S297" s="121">
        <f t="shared" si="30"/>
        <v>128.70699881376038</v>
      </c>
      <c r="T297" s="121">
        <f t="shared" si="31"/>
        <v>43691.275167785236</v>
      </c>
      <c r="U297" s="127">
        <f t="shared" si="32"/>
        <v>1.0030136631722966</v>
      </c>
      <c r="V297" s="126">
        <v>50</v>
      </c>
      <c r="W297" s="126">
        <f t="shared" si="33"/>
        <v>40800</v>
      </c>
      <c r="X297" s="126">
        <f t="shared" si="34"/>
        <v>816</v>
      </c>
      <c r="Y297" s="128" t="s">
        <v>1159</v>
      </c>
      <c r="Z297" s="119" t="s">
        <v>35</v>
      </c>
      <c r="AA297" s="119" t="s">
        <v>35</v>
      </c>
      <c r="AB297" s="119" t="s">
        <v>1160</v>
      </c>
      <c r="AC297" s="119">
        <v>0</v>
      </c>
      <c r="AD297" s="119">
        <v>1</v>
      </c>
      <c r="AE297" s="119" t="s">
        <v>37</v>
      </c>
      <c r="AF297" s="119" t="s">
        <v>43</v>
      </c>
      <c r="AG297" s="119" t="s">
        <v>38</v>
      </c>
      <c r="AH297" s="119" t="s">
        <v>92</v>
      </c>
    </row>
    <row r="298" spans="1:34" x14ac:dyDescent="0.3">
      <c r="A298" s="107" t="s">
        <v>1160</v>
      </c>
      <c r="B298" s="108" t="s">
        <v>1163</v>
      </c>
      <c r="C298" s="108" t="s">
        <v>1164</v>
      </c>
      <c r="D298" s="109">
        <v>45432</v>
      </c>
      <c r="E298" s="110">
        <v>212500</v>
      </c>
      <c r="F298" s="108" t="s">
        <v>32</v>
      </c>
      <c r="G298" s="108" t="s">
        <v>33</v>
      </c>
      <c r="H298" s="110">
        <v>212500</v>
      </c>
      <c r="I298" s="110">
        <v>83600</v>
      </c>
      <c r="J298" s="111">
        <f t="shared" si="28"/>
        <v>39.341176470588238</v>
      </c>
      <c r="K298" s="110">
        <v>192631</v>
      </c>
      <c r="L298" s="110">
        <f>H298-181639</f>
        <v>30861</v>
      </c>
      <c r="M298" s="110">
        <v>10992</v>
      </c>
      <c r="N298" s="112">
        <f t="shared" si="29"/>
        <v>5.1727058823529411E-2</v>
      </c>
      <c r="O298" s="113">
        <v>50.65</v>
      </c>
      <c r="P298" s="114">
        <v>130.34</v>
      </c>
      <c r="Q298" s="115">
        <v>0.15</v>
      </c>
      <c r="R298" s="115">
        <v>0.15</v>
      </c>
      <c r="S298" s="110">
        <f t="shared" si="30"/>
        <v>609.29911154985189</v>
      </c>
      <c r="T298" s="110">
        <f t="shared" si="31"/>
        <v>205740</v>
      </c>
      <c r="U298" s="116">
        <f t="shared" si="32"/>
        <v>4.723140495867769</v>
      </c>
      <c r="V298" s="115">
        <v>50</v>
      </c>
      <c r="W298" s="115">
        <f t="shared" si="33"/>
        <v>42500</v>
      </c>
      <c r="X298" s="115">
        <f t="shared" si="34"/>
        <v>850</v>
      </c>
      <c r="Y298" s="117" t="s">
        <v>1159</v>
      </c>
      <c r="Z298" s="108" t="s">
        <v>35</v>
      </c>
      <c r="AA298" s="108" t="s">
        <v>35</v>
      </c>
      <c r="AB298" s="108" t="s">
        <v>1160</v>
      </c>
      <c r="AC298" s="108">
        <v>0</v>
      </c>
      <c r="AD298" s="108">
        <v>1</v>
      </c>
      <c r="AE298" s="108" t="s">
        <v>42</v>
      </c>
      <c r="AF298" s="108" t="s">
        <v>43</v>
      </c>
      <c r="AG298" s="108" t="s">
        <v>38</v>
      </c>
      <c r="AH298" s="108" t="s">
        <v>92</v>
      </c>
    </row>
    <row r="299" spans="1:34" x14ac:dyDescent="0.3">
      <c r="A299" s="107" t="s">
        <v>1160</v>
      </c>
      <c r="B299" s="108" t="s">
        <v>1171</v>
      </c>
      <c r="C299" s="108" t="s">
        <v>1172</v>
      </c>
      <c r="D299" s="109">
        <v>45257</v>
      </c>
      <c r="E299" s="110">
        <v>215000</v>
      </c>
      <c r="F299" s="108" t="s">
        <v>32</v>
      </c>
      <c r="G299" s="108" t="s">
        <v>33</v>
      </c>
      <c r="H299" s="110">
        <v>215000</v>
      </c>
      <c r="I299" s="110">
        <v>76800</v>
      </c>
      <c r="J299" s="111">
        <f t="shared" si="28"/>
        <v>35.720930232558139</v>
      </c>
      <c r="K299" s="110">
        <v>188304</v>
      </c>
      <c r="L299" s="110">
        <f>H299-177454</f>
        <v>37546</v>
      </c>
      <c r="M299" s="110">
        <v>10850</v>
      </c>
      <c r="N299" s="112">
        <f t="shared" si="29"/>
        <v>5.0465116279069765E-2</v>
      </c>
      <c r="O299" s="113">
        <v>50</v>
      </c>
      <c r="P299" s="114">
        <v>127</v>
      </c>
      <c r="Q299" s="115">
        <v>0.14599999999999999</v>
      </c>
      <c r="R299" s="115">
        <v>0.14599999999999999</v>
      </c>
      <c r="S299" s="110">
        <f t="shared" si="30"/>
        <v>750.92</v>
      </c>
      <c r="T299" s="110">
        <f t="shared" si="31"/>
        <v>257164.38356164386</v>
      </c>
      <c r="U299" s="116">
        <f t="shared" si="32"/>
        <v>5.9036818999459104</v>
      </c>
      <c r="V299" s="115">
        <v>50</v>
      </c>
      <c r="W299" s="115">
        <f t="shared" si="33"/>
        <v>43000</v>
      </c>
      <c r="X299" s="115">
        <f t="shared" si="34"/>
        <v>860</v>
      </c>
      <c r="Y299" s="117" t="s">
        <v>1159</v>
      </c>
      <c r="Z299" s="108" t="s">
        <v>35</v>
      </c>
      <c r="AA299" s="108" t="s">
        <v>35</v>
      </c>
      <c r="AB299" s="108" t="s">
        <v>1160</v>
      </c>
      <c r="AC299" s="108">
        <v>0</v>
      </c>
      <c r="AD299" s="108">
        <v>1</v>
      </c>
      <c r="AE299" s="108" t="s">
        <v>37</v>
      </c>
      <c r="AF299" s="108" t="s">
        <v>43</v>
      </c>
      <c r="AG299" s="108" t="s">
        <v>38</v>
      </c>
      <c r="AH299" s="108" t="s">
        <v>92</v>
      </c>
    </row>
    <row r="300" spans="1:34" x14ac:dyDescent="0.3">
      <c r="A300" s="107" t="s">
        <v>1160</v>
      </c>
      <c r="B300" s="108" t="s">
        <v>1185</v>
      </c>
      <c r="C300" s="108" t="s">
        <v>1186</v>
      </c>
      <c r="D300" s="109">
        <v>45735</v>
      </c>
      <c r="E300" s="110">
        <v>260000</v>
      </c>
      <c r="F300" s="108" t="s">
        <v>32</v>
      </c>
      <c r="G300" s="108" t="s">
        <v>33</v>
      </c>
      <c r="H300" s="110">
        <v>260000</v>
      </c>
      <c r="I300" s="110">
        <v>100800</v>
      </c>
      <c r="J300" s="111">
        <f t="shared" si="28"/>
        <v>38.769230769230766</v>
      </c>
      <c r="K300" s="110">
        <v>232843</v>
      </c>
      <c r="L300" s="110">
        <f>H300-220726</f>
        <v>39274</v>
      </c>
      <c r="M300" s="110">
        <v>12117</v>
      </c>
      <c r="N300" s="112">
        <f t="shared" si="29"/>
        <v>4.6603846153846155E-2</v>
      </c>
      <c r="O300" s="113">
        <v>55.84</v>
      </c>
      <c r="P300" s="114">
        <v>110</v>
      </c>
      <c r="Q300" s="115">
        <v>0.152</v>
      </c>
      <c r="R300" s="115">
        <v>0.152</v>
      </c>
      <c r="S300" s="110">
        <f t="shared" si="30"/>
        <v>703.33094555873924</v>
      </c>
      <c r="T300" s="110">
        <f t="shared" si="31"/>
        <v>258381.57894736843</v>
      </c>
      <c r="U300" s="116">
        <f t="shared" si="32"/>
        <v>5.9316248610506985</v>
      </c>
      <c r="V300" s="115">
        <v>60</v>
      </c>
      <c r="W300" s="115">
        <f t="shared" si="33"/>
        <v>52000</v>
      </c>
      <c r="X300" s="115">
        <f t="shared" si="34"/>
        <v>866.66666666666663</v>
      </c>
      <c r="Y300" s="117" t="s">
        <v>1159</v>
      </c>
      <c r="Z300" s="108" t="s">
        <v>35</v>
      </c>
      <c r="AA300" s="108" t="s">
        <v>35</v>
      </c>
      <c r="AB300" s="108" t="s">
        <v>1160</v>
      </c>
      <c r="AC300" s="108">
        <v>0</v>
      </c>
      <c r="AD300" s="108">
        <v>1</v>
      </c>
      <c r="AE300" s="108" t="s">
        <v>42</v>
      </c>
      <c r="AF300" s="108" t="s">
        <v>35</v>
      </c>
      <c r="AG300" s="108" t="s">
        <v>38</v>
      </c>
      <c r="AH300" s="108" t="s">
        <v>92</v>
      </c>
    </row>
    <row r="301" spans="1:34" x14ac:dyDescent="0.3">
      <c r="A301" s="107" t="s">
        <v>1160</v>
      </c>
      <c r="B301" s="108" t="s">
        <v>1177</v>
      </c>
      <c r="C301" s="108" t="s">
        <v>1178</v>
      </c>
      <c r="D301" s="109">
        <v>45553</v>
      </c>
      <c r="E301" s="110">
        <v>240000</v>
      </c>
      <c r="F301" s="108" t="s">
        <v>32</v>
      </c>
      <c r="G301" s="108" t="s">
        <v>33</v>
      </c>
      <c r="H301" s="110">
        <v>240000</v>
      </c>
      <c r="I301" s="110">
        <v>91500</v>
      </c>
      <c r="J301" s="111">
        <f t="shared" si="28"/>
        <v>38.125</v>
      </c>
      <c r="K301" s="110">
        <v>216202</v>
      </c>
      <c r="L301" s="110">
        <f>H301-205225</f>
        <v>34775</v>
      </c>
      <c r="M301" s="110">
        <v>10977</v>
      </c>
      <c r="N301" s="112">
        <f t="shared" si="29"/>
        <v>4.57375E-2</v>
      </c>
      <c r="O301" s="113">
        <v>50.58</v>
      </c>
      <c r="P301" s="114">
        <v>130</v>
      </c>
      <c r="Q301" s="115">
        <v>0.14899999999999999</v>
      </c>
      <c r="R301" s="115">
        <v>0.14899999999999999</v>
      </c>
      <c r="S301" s="110">
        <f t="shared" si="30"/>
        <v>687.52471332542507</v>
      </c>
      <c r="T301" s="110">
        <f t="shared" si="31"/>
        <v>233389.26174496644</v>
      </c>
      <c r="U301" s="116">
        <f t="shared" si="32"/>
        <v>5.3578802053481738</v>
      </c>
      <c r="V301" s="115">
        <v>50</v>
      </c>
      <c r="W301" s="115">
        <f t="shared" si="33"/>
        <v>48000</v>
      </c>
      <c r="X301" s="115">
        <f t="shared" si="34"/>
        <v>960</v>
      </c>
      <c r="Y301" s="117" t="s">
        <v>1159</v>
      </c>
      <c r="Z301" s="108" t="s">
        <v>35</v>
      </c>
      <c r="AA301" s="108" t="s">
        <v>35</v>
      </c>
      <c r="AB301" s="108" t="s">
        <v>1160</v>
      </c>
      <c r="AC301" s="108">
        <v>0</v>
      </c>
      <c r="AD301" s="108">
        <v>1</v>
      </c>
      <c r="AE301" s="108" t="s">
        <v>42</v>
      </c>
      <c r="AF301" s="108" t="s">
        <v>43</v>
      </c>
      <c r="AG301" s="108" t="s">
        <v>38</v>
      </c>
      <c r="AH301" s="108" t="s">
        <v>92</v>
      </c>
    </row>
    <row r="302" spans="1:34" x14ac:dyDescent="0.3">
      <c r="A302" s="107" t="s">
        <v>1160</v>
      </c>
      <c r="B302" s="108" t="s">
        <v>1169</v>
      </c>
      <c r="C302" s="108" t="s">
        <v>1170</v>
      </c>
      <c r="D302" s="109">
        <v>45250</v>
      </c>
      <c r="E302" s="110">
        <v>220000</v>
      </c>
      <c r="F302" s="108" t="s">
        <v>32</v>
      </c>
      <c r="G302" s="108" t="s">
        <v>33</v>
      </c>
      <c r="H302" s="110">
        <v>220000</v>
      </c>
      <c r="I302" s="110">
        <v>78400</v>
      </c>
      <c r="J302" s="111">
        <f t="shared" si="28"/>
        <v>35.63636363636364</v>
      </c>
      <c r="K302" s="110">
        <v>190881</v>
      </c>
      <c r="L302" s="110">
        <f>H302-173281</f>
        <v>46719</v>
      </c>
      <c r="M302" s="110">
        <v>17600</v>
      </c>
      <c r="N302" s="112">
        <f t="shared" si="29"/>
        <v>0.08</v>
      </c>
      <c r="O302" s="113">
        <v>81.099999999999994</v>
      </c>
      <c r="P302" s="114">
        <v>176.04</v>
      </c>
      <c r="Q302" s="115">
        <v>0.33300000000000002</v>
      </c>
      <c r="R302" s="115">
        <v>0.33300000000000002</v>
      </c>
      <c r="S302" s="110">
        <f t="shared" si="30"/>
        <v>576.06658446362519</v>
      </c>
      <c r="T302" s="110">
        <f t="shared" si="31"/>
        <v>140297.29729729728</v>
      </c>
      <c r="U302" s="116">
        <f t="shared" si="32"/>
        <v>3.2207827662373112</v>
      </c>
      <c r="V302" s="115">
        <v>42</v>
      </c>
      <c r="W302" s="115">
        <f t="shared" si="33"/>
        <v>44000</v>
      </c>
      <c r="X302" s="115">
        <f t="shared" si="34"/>
        <v>1047.6190476190477</v>
      </c>
      <c r="Y302" s="117" t="s">
        <v>1159</v>
      </c>
      <c r="Z302" s="108" t="s">
        <v>35</v>
      </c>
      <c r="AA302" s="108" t="s">
        <v>35</v>
      </c>
      <c r="AB302" s="108" t="s">
        <v>1160</v>
      </c>
      <c r="AC302" s="108">
        <v>0</v>
      </c>
      <c r="AD302" s="108">
        <v>1</v>
      </c>
      <c r="AE302" s="108" t="s">
        <v>42</v>
      </c>
      <c r="AF302" s="108" t="s">
        <v>43</v>
      </c>
      <c r="AG302" s="108" t="s">
        <v>38</v>
      </c>
      <c r="AH302" s="108" t="s">
        <v>92</v>
      </c>
    </row>
    <row r="303" spans="1:34" x14ac:dyDescent="0.3">
      <c r="A303" s="107" t="s">
        <v>1194</v>
      </c>
      <c r="B303" s="108" t="s">
        <v>1287</v>
      </c>
      <c r="C303" s="108" t="s">
        <v>1288</v>
      </c>
      <c r="D303" s="109">
        <v>45443</v>
      </c>
      <c r="E303" s="110">
        <v>60000</v>
      </c>
      <c r="F303" s="108" t="s">
        <v>81</v>
      </c>
      <c r="G303" s="108" t="s">
        <v>33</v>
      </c>
      <c r="H303" s="110">
        <v>60000</v>
      </c>
      <c r="I303" s="110">
        <v>106600</v>
      </c>
      <c r="J303" s="111">
        <f t="shared" si="28"/>
        <v>177.66666666666666</v>
      </c>
      <c r="K303" s="110">
        <v>254408</v>
      </c>
      <c r="L303" s="110">
        <f>H303-239856</f>
        <v>-179856</v>
      </c>
      <c r="M303" s="110">
        <v>14552</v>
      </c>
      <c r="N303" s="112">
        <f t="shared" si="29"/>
        <v>0.24253333333333332</v>
      </c>
      <c r="O303" s="113">
        <v>80.84</v>
      </c>
      <c r="P303" s="114">
        <v>130.5</v>
      </c>
      <c r="Q303" s="115">
        <v>0.3</v>
      </c>
      <c r="R303" s="115">
        <v>0.3</v>
      </c>
      <c r="S303" s="110">
        <f t="shared" si="30"/>
        <v>-2224.8391885205342</v>
      </c>
      <c r="T303" s="110">
        <f t="shared" si="31"/>
        <v>-599520</v>
      </c>
      <c r="U303" s="116">
        <f t="shared" si="32"/>
        <v>-13.763085399449036</v>
      </c>
      <c r="V303" s="115">
        <v>100</v>
      </c>
      <c r="W303" s="115">
        <f t="shared" si="33"/>
        <v>12000</v>
      </c>
      <c r="X303" s="115">
        <f t="shared" si="34"/>
        <v>120</v>
      </c>
      <c r="Y303" s="117" t="s">
        <v>1193</v>
      </c>
      <c r="Z303" s="108" t="s">
        <v>35</v>
      </c>
      <c r="AA303" s="108" t="s">
        <v>35</v>
      </c>
      <c r="AB303" s="108" t="s">
        <v>1194</v>
      </c>
      <c r="AC303" s="108">
        <v>0</v>
      </c>
      <c r="AD303" s="108">
        <v>1</v>
      </c>
      <c r="AE303" s="108" t="s">
        <v>42</v>
      </c>
      <c r="AF303" s="108" t="s">
        <v>43</v>
      </c>
      <c r="AG303" s="108" t="s">
        <v>38</v>
      </c>
      <c r="AH303" s="108" t="s">
        <v>92</v>
      </c>
    </row>
    <row r="304" spans="1:34" x14ac:dyDescent="0.3">
      <c r="A304" s="107" t="s">
        <v>1194</v>
      </c>
      <c r="B304" s="108" t="s">
        <v>1529</v>
      </c>
      <c r="C304" s="108" t="s">
        <v>1530</v>
      </c>
      <c r="D304" s="109">
        <v>45308</v>
      </c>
      <c r="E304" s="110">
        <v>120000</v>
      </c>
      <c r="F304" s="108" t="s">
        <v>81</v>
      </c>
      <c r="G304" s="108" t="s">
        <v>33</v>
      </c>
      <c r="H304" s="110">
        <v>120000</v>
      </c>
      <c r="I304" s="110">
        <v>93600</v>
      </c>
      <c r="J304" s="111">
        <f t="shared" si="28"/>
        <v>78</v>
      </c>
      <c r="K304" s="110">
        <v>232138</v>
      </c>
      <c r="L304" s="110">
        <f>H304-206968</f>
        <v>-86968</v>
      </c>
      <c r="M304" s="110">
        <v>25170</v>
      </c>
      <c r="N304" s="112">
        <f t="shared" si="29"/>
        <v>0.20974999999999999</v>
      </c>
      <c r="O304" s="113">
        <v>139.83000000000001</v>
      </c>
      <c r="P304" s="114">
        <v>580.82000000000005</v>
      </c>
      <c r="Q304" s="115">
        <v>1.087</v>
      </c>
      <c r="R304" s="115">
        <v>1.087</v>
      </c>
      <c r="S304" s="110">
        <f t="shared" si="30"/>
        <v>-621.95523135235635</v>
      </c>
      <c r="T304" s="110">
        <f t="shared" si="31"/>
        <v>-80007.359705611772</v>
      </c>
      <c r="U304" s="116">
        <f t="shared" si="32"/>
        <v>-1.8367162466853024</v>
      </c>
      <c r="V304" s="115">
        <v>83.08</v>
      </c>
      <c r="W304" s="115">
        <f t="shared" si="33"/>
        <v>24000</v>
      </c>
      <c r="X304" s="115">
        <f t="shared" si="34"/>
        <v>288.87818969667791</v>
      </c>
      <c r="Y304" s="117" t="s">
        <v>1193</v>
      </c>
      <c r="Z304" s="108" t="s">
        <v>35</v>
      </c>
      <c r="AA304" s="108" t="s">
        <v>35</v>
      </c>
      <c r="AB304" s="108" t="s">
        <v>1194</v>
      </c>
      <c r="AC304" s="108">
        <v>0</v>
      </c>
      <c r="AD304" s="108">
        <v>1</v>
      </c>
      <c r="AE304" s="108" t="s">
        <v>42</v>
      </c>
      <c r="AF304" s="108" t="s">
        <v>35</v>
      </c>
      <c r="AG304" s="108" t="s">
        <v>38</v>
      </c>
      <c r="AH304" s="108" t="s">
        <v>92</v>
      </c>
    </row>
    <row r="305" spans="1:34" x14ac:dyDescent="0.3">
      <c r="A305" s="118" t="s">
        <v>1194</v>
      </c>
      <c r="B305" s="119" t="s">
        <v>1345</v>
      </c>
      <c r="C305" s="119" t="s">
        <v>1346</v>
      </c>
      <c r="D305" s="120">
        <v>45267</v>
      </c>
      <c r="E305" s="121">
        <v>141000</v>
      </c>
      <c r="F305" s="119" t="s">
        <v>32</v>
      </c>
      <c r="G305" s="119" t="s">
        <v>33</v>
      </c>
      <c r="H305" s="121">
        <v>141000</v>
      </c>
      <c r="I305" s="121">
        <v>76100</v>
      </c>
      <c r="J305" s="122">
        <f t="shared" si="28"/>
        <v>53.971631205673752</v>
      </c>
      <c r="K305" s="121">
        <v>172529</v>
      </c>
      <c r="L305" s="121">
        <f>H305-160641</f>
        <v>-19641</v>
      </c>
      <c r="M305" s="121">
        <v>11888</v>
      </c>
      <c r="N305" s="123">
        <f t="shared" si="29"/>
        <v>8.4312056737588653E-2</v>
      </c>
      <c r="O305" s="124">
        <v>66.040000000000006</v>
      </c>
      <c r="P305" s="125">
        <v>115.06</v>
      </c>
      <c r="Q305" s="126">
        <v>0.23</v>
      </c>
      <c r="R305" s="126">
        <v>0.23</v>
      </c>
      <c r="S305" s="121">
        <f t="shared" si="30"/>
        <v>-297.41066020593576</v>
      </c>
      <c r="T305" s="121">
        <f t="shared" si="31"/>
        <v>-85395.65217391304</v>
      </c>
      <c r="U305" s="127">
        <f t="shared" si="32"/>
        <v>-1.9604144208887291</v>
      </c>
      <c r="V305" s="126">
        <v>87.07</v>
      </c>
      <c r="W305" s="126">
        <f t="shared" si="33"/>
        <v>28200</v>
      </c>
      <c r="X305" s="126">
        <f t="shared" si="34"/>
        <v>323.87734007120707</v>
      </c>
      <c r="Y305" s="128" t="s">
        <v>1193</v>
      </c>
      <c r="Z305" s="119" t="s">
        <v>35</v>
      </c>
      <c r="AA305" s="119" t="s">
        <v>35</v>
      </c>
      <c r="AB305" s="119" t="s">
        <v>1194</v>
      </c>
      <c r="AC305" s="119">
        <v>0</v>
      </c>
      <c r="AD305" s="119">
        <v>1</v>
      </c>
      <c r="AE305" s="119" t="s">
        <v>37</v>
      </c>
      <c r="AF305" s="119" t="s">
        <v>43</v>
      </c>
      <c r="AG305" s="119" t="s">
        <v>38</v>
      </c>
      <c r="AH305" s="119" t="s">
        <v>92</v>
      </c>
    </row>
    <row r="306" spans="1:34" x14ac:dyDescent="0.3">
      <c r="A306" s="118" t="s">
        <v>1194</v>
      </c>
      <c r="B306" s="119" t="s">
        <v>1521</v>
      </c>
      <c r="C306" s="119" t="s">
        <v>1522</v>
      </c>
      <c r="D306" s="120">
        <v>45343</v>
      </c>
      <c r="E306" s="121">
        <v>135000</v>
      </c>
      <c r="F306" s="119" t="s">
        <v>32</v>
      </c>
      <c r="G306" s="119" t="s">
        <v>33</v>
      </c>
      <c r="H306" s="121">
        <v>135000</v>
      </c>
      <c r="I306" s="121">
        <v>69100</v>
      </c>
      <c r="J306" s="122">
        <f t="shared" si="28"/>
        <v>51.18518518518519</v>
      </c>
      <c r="K306" s="121">
        <v>170838</v>
      </c>
      <c r="L306" s="121">
        <f>H306-158264</f>
        <v>-23264</v>
      </c>
      <c r="M306" s="121">
        <v>12574</v>
      </c>
      <c r="N306" s="123">
        <f t="shared" si="29"/>
        <v>9.3140740740740746E-2</v>
      </c>
      <c r="O306" s="124">
        <v>69.849999999999994</v>
      </c>
      <c r="P306" s="125">
        <v>271.10000000000002</v>
      </c>
      <c r="Q306" s="126">
        <v>0.373</v>
      </c>
      <c r="R306" s="126">
        <v>0.373</v>
      </c>
      <c r="S306" s="121">
        <f t="shared" si="30"/>
        <v>-333.05654974946316</v>
      </c>
      <c r="T306" s="121">
        <f t="shared" si="31"/>
        <v>-62369.973190348523</v>
      </c>
      <c r="U306" s="127">
        <f t="shared" si="32"/>
        <v>-1.431817566353272</v>
      </c>
      <c r="V306" s="126">
        <v>60</v>
      </c>
      <c r="W306" s="126">
        <f t="shared" si="33"/>
        <v>27000</v>
      </c>
      <c r="X306" s="126">
        <f t="shared" si="34"/>
        <v>450</v>
      </c>
      <c r="Y306" s="128" t="s">
        <v>1193</v>
      </c>
      <c r="Z306" s="119" t="s">
        <v>35</v>
      </c>
      <c r="AA306" s="119" t="s">
        <v>35</v>
      </c>
      <c r="AB306" s="119" t="s">
        <v>1194</v>
      </c>
      <c r="AC306" s="119">
        <v>0</v>
      </c>
      <c r="AD306" s="119">
        <v>1</v>
      </c>
      <c r="AE306" s="119" t="s">
        <v>42</v>
      </c>
      <c r="AF306" s="119" t="s">
        <v>43</v>
      </c>
      <c r="AG306" s="119" t="s">
        <v>38</v>
      </c>
      <c r="AH306" s="119" t="s">
        <v>92</v>
      </c>
    </row>
    <row r="307" spans="1:34" x14ac:dyDescent="0.3">
      <c r="A307" s="118" t="s">
        <v>1194</v>
      </c>
      <c r="B307" s="119" t="s">
        <v>1197</v>
      </c>
      <c r="C307" s="119" t="s">
        <v>1198</v>
      </c>
      <c r="D307" s="120">
        <v>45561</v>
      </c>
      <c r="E307" s="121">
        <v>275000</v>
      </c>
      <c r="F307" s="119" t="s">
        <v>32</v>
      </c>
      <c r="G307" s="119" t="s">
        <v>33</v>
      </c>
      <c r="H307" s="121">
        <v>275000</v>
      </c>
      <c r="I307" s="121">
        <v>95200</v>
      </c>
      <c r="J307" s="122">
        <f t="shared" si="28"/>
        <v>34.618181818181817</v>
      </c>
      <c r="K307" s="121">
        <v>227472</v>
      </c>
      <c r="L307" s="121">
        <f>H307-211453</f>
        <v>63547</v>
      </c>
      <c r="M307" s="121">
        <v>16019</v>
      </c>
      <c r="N307" s="123">
        <f t="shared" si="29"/>
        <v>5.8250909090909089E-2</v>
      </c>
      <c r="O307" s="124">
        <v>88.99</v>
      </c>
      <c r="P307" s="125">
        <v>110</v>
      </c>
      <c r="Q307" s="126">
        <v>0.30299999999999999</v>
      </c>
      <c r="R307" s="126">
        <v>0.30299999999999999</v>
      </c>
      <c r="S307" s="121">
        <f t="shared" si="30"/>
        <v>714.09147095179242</v>
      </c>
      <c r="T307" s="121">
        <f t="shared" si="31"/>
        <v>209726.07260726072</v>
      </c>
      <c r="U307" s="127">
        <f t="shared" si="32"/>
        <v>4.8146481314798146</v>
      </c>
      <c r="V307" s="126">
        <v>120</v>
      </c>
      <c r="W307" s="126">
        <f t="shared" si="33"/>
        <v>55000</v>
      </c>
      <c r="X307" s="126">
        <f t="shared" si="34"/>
        <v>458.33333333333331</v>
      </c>
      <c r="Y307" s="128" t="s">
        <v>1193</v>
      </c>
      <c r="Z307" s="119" t="s">
        <v>35</v>
      </c>
      <c r="AA307" s="119" t="s">
        <v>35</v>
      </c>
      <c r="AB307" s="119" t="s">
        <v>1194</v>
      </c>
      <c r="AC307" s="119">
        <v>0</v>
      </c>
      <c r="AD307" s="119">
        <v>1</v>
      </c>
      <c r="AE307" s="119" t="s">
        <v>37</v>
      </c>
      <c r="AF307" s="119" t="s">
        <v>35</v>
      </c>
      <c r="AG307" s="119" t="s">
        <v>38</v>
      </c>
      <c r="AH307" s="119" t="s">
        <v>92</v>
      </c>
    </row>
    <row r="308" spans="1:34" x14ac:dyDescent="0.3">
      <c r="A308" s="107" t="s">
        <v>1194</v>
      </c>
      <c r="B308" s="108" t="s">
        <v>1287</v>
      </c>
      <c r="C308" s="108" t="s">
        <v>1288</v>
      </c>
      <c r="D308" s="109">
        <v>45588</v>
      </c>
      <c r="E308" s="110">
        <v>262500</v>
      </c>
      <c r="F308" s="108" t="s">
        <v>32</v>
      </c>
      <c r="G308" s="108" t="s">
        <v>33</v>
      </c>
      <c r="H308" s="110">
        <v>262500</v>
      </c>
      <c r="I308" s="110">
        <v>106600</v>
      </c>
      <c r="J308" s="111">
        <f t="shared" si="28"/>
        <v>40.609523809523814</v>
      </c>
      <c r="K308" s="110">
        <v>254408</v>
      </c>
      <c r="L308" s="110">
        <f>H308-239856</f>
        <v>22644</v>
      </c>
      <c r="M308" s="110">
        <v>14552</v>
      </c>
      <c r="N308" s="112">
        <f t="shared" si="29"/>
        <v>5.5436190476190479E-2</v>
      </c>
      <c r="O308" s="113">
        <v>80.84</v>
      </c>
      <c r="P308" s="114">
        <v>130.5</v>
      </c>
      <c r="Q308" s="115">
        <v>0.3</v>
      </c>
      <c r="R308" s="115">
        <v>0.3</v>
      </c>
      <c r="S308" s="110">
        <f t="shared" si="30"/>
        <v>280.10885700148441</v>
      </c>
      <c r="T308" s="110">
        <f t="shared" si="31"/>
        <v>75480</v>
      </c>
      <c r="U308" s="116">
        <f t="shared" si="32"/>
        <v>1.7327823691460056</v>
      </c>
      <c r="V308" s="115">
        <v>100</v>
      </c>
      <c r="W308" s="115">
        <f t="shared" si="33"/>
        <v>52500</v>
      </c>
      <c r="X308" s="115">
        <f t="shared" si="34"/>
        <v>525</v>
      </c>
      <c r="Y308" s="117" t="s">
        <v>1193</v>
      </c>
      <c r="Z308" s="108" t="s">
        <v>35</v>
      </c>
      <c r="AA308" s="108" t="s">
        <v>35</v>
      </c>
      <c r="AB308" s="108" t="s">
        <v>1194</v>
      </c>
      <c r="AC308" s="108">
        <v>0</v>
      </c>
      <c r="AD308" s="108">
        <v>1</v>
      </c>
      <c r="AE308" s="108" t="s">
        <v>42</v>
      </c>
      <c r="AF308" s="108" t="s">
        <v>35</v>
      </c>
      <c r="AG308" s="108" t="s">
        <v>38</v>
      </c>
      <c r="AH308" s="108" t="s">
        <v>92</v>
      </c>
    </row>
    <row r="309" spans="1:34" x14ac:dyDescent="0.3">
      <c r="A309" s="118" t="s">
        <v>1194</v>
      </c>
      <c r="B309" s="119" t="s">
        <v>1525</v>
      </c>
      <c r="C309" s="119" t="s">
        <v>1526</v>
      </c>
      <c r="D309" s="120">
        <v>45474</v>
      </c>
      <c r="E309" s="121">
        <v>226000</v>
      </c>
      <c r="F309" s="119" t="s">
        <v>32</v>
      </c>
      <c r="G309" s="119" t="s">
        <v>33</v>
      </c>
      <c r="H309" s="121">
        <v>226000</v>
      </c>
      <c r="I309" s="121">
        <v>94200</v>
      </c>
      <c r="J309" s="122">
        <f t="shared" si="28"/>
        <v>41.681415929203538</v>
      </c>
      <c r="K309" s="121">
        <v>226041</v>
      </c>
      <c r="L309" s="121">
        <f>H309-208882</f>
        <v>17118</v>
      </c>
      <c r="M309" s="121">
        <v>17159</v>
      </c>
      <c r="N309" s="123">
        <f t="shared" si="29"/>
        <v>7.5924778761061948E-2</v>
      </c>
      <c r="O309" s="124">
        <v>95.32</v>
      </c>
      <c r="P309" s="125">
        <v>283.36</v>
      </c>
      <c r="Q309" s="126">
        <v>0.52100000000000002</v>
      </c>
      <c r="R309" s="126">
        <v>0.52100000000000002</v>
      </c>
      <c r="S309" s="121">
        <f t="shared" si="30"/>
        <v>179.58455728073858</v>
      </c>
      <c r="T309" s="121">
        <f t="shared" si="31"/>
        <v>32856.046065259114</v>
      </c>
      <c r="U309" s="127">
        <f t="shared" si="32"/>
        <v>0.75427102996462614</v>
      </c>
      <c r="V309" s="126">
        <v>80.13</v>
      </c>
      <c r="W309" s="126">
        <f t="shared" si="33"/>
        <v>45200</v>
      </c>
      <c r="X309" s="126">
        <f t="shared" si="34"/>
        <v>564.0833645326345</v>
      </c>
      <c r="Y309" s="128" t="s">
        <v>1193</v>
      </c>
      <c r="Z309" s="119" t="s">
        <v>35</v>
      </c>
      <c r="AA309" s="119" t="s">
        <v>35</v>
      </c>
      <c r="AB309" s="119" t="s">
        <v>1194</v>
      </c>
      <c r="AC309" s="119">
        <v>0</v>
      </c>
      <c r="AD309" s="119">
        <v>1</v>
      </c>
      <c r="AE309" s="119" t="s">
        <v>42</v>
      </c>
      <c r="AF309" s="119" t="s">
        <v>43</v>
      </c>
      <c r="AG309" s="119" t="s">
        <v>38</v>
      </c>
      <c r="AH309" s="119" t="s">
        <v>92</v>
      </c>
    </row>
    <row r="310" spans="1:34" x14ac:dyDescent="0.3">
      <c r="A310" s="107" t="s">
        <v>1194</v>
      </c>
      <c r="B310" s="108" t="s">
        <v>1523</v>
      </c>
      <c r="C310" s="108" t="s">
        <v>1524</v>
      </c>
      <c r="D310" s="109">
        <v>45086</v>
      </c>
      <c r="E310" s="110">
        <v>178500</v>
      </c>
      <c r="F310" s="108" t="s">
        <v>32</v>
      </c>
      <c r="G310" s="108" t="s">
        <v>33</v>
      </c>
      <c r="H310" s="110">
        <v>178500</v>
      </c>
      <c r="I310" s="110">
        <v>75300</v>
      </c>
      <c r="J310" s="111">
        <f t="shared" si="28"/>
        <v>42.184873949579831</v>
      </c>
      <c r="K310" s="110">
        <v>189134</v>
      </c>
      <c r="L310" s="110">
        <f>H310-178572</f>
        <v>-72</v>
      </c>
      <c r="M310" s="110">
        <v>10562</v>
      </c>
      <c r="N310" s="112">
        <f t="shared" si="29"/>
        <v>5.9170868347338937E-2</v>
      </c>
      <c r="O310" s="113">
        <v>58.67</v>
      </c>
      <c r="P310" s="114">
        <v>191.28</v>
      </c>
      <c r="Q310" s="115">
        <v>0.26300000000000001</v>
      </c>
      <c r="R310" s="115">
        <v>0.26300000000000001</v>
      </c>
      <c r="S310" s="110">
        <f t="shared" si="30"/>
        <v>-1.2272029998295551</v>
      </c>
      <c r="T310" s="110">
        <f t="shared" si="31"/>
        <v>-273.76425855513304</v>
      </c>
      <c r="U310" s="116">
        <f t="shared" si="32"/>
        <v>-6.2847625930930453E-3</v>
      </c>
      <c r="V310" s="115">
        <v>60</v>
      </c>
      <c r="W310" s="115">
        <f t="shared" si="33"/>
        <v>35700</v>
      </c>
      <c r="X310" s="115">
        <f t="shared" si="34"/>
        <v>595</v>
      </c>
      <c r="Y310" s="117" t="s">
        <v>1193</v>
      </c>
      <c r="Z310" s="108" t="s">
        <v>35</v>
      </c>
      <c r="AA310" s="108" t="s">
        <v>35</v>
      </c>
      <c r="AB310" s="108" t="s">
        <v>1194</v>
      </c>
      <c r="AC310" s="108">
        <v>0</v>
      </c>
      <c r="AD310" s="108">
        <v>1</v>
      </c>
      <c r="AE310" s="108" t="s">
        <v>37</v>
      </c>
      <c r="AF310" s="108" t="s">
        <v>43</v>
      </c>
      <c r="AG310" s="108" t="s">
        <v>38</v>
      </c>
      <c r="AH310" s="108" t="s">
        <v>92</v>
      </c>
    </row>
    <row r="311" spans="1:34" x14ac:dyDescent="0.3">
      <c r="A311" s="118" t="s">
        <v>1194</v>
      </c>
      <c r="B311" s="119" t="s">
        <v>1527</v>
      </c>
      <c r="C311" s="119" t="s">
        <v>1528</v>
      </c>
      <c r="D311" s="120">
        <v>45609</v>
      </c>
      <c r="E311" s="121">
        <v>255000</v>
      </c>
      <c r="F311" s="119" t="s">
        <v>32</v>
      </c>
      <c r="G311" s="119" t="s">
        <v>33</v>
      </c>
      <c r="H311" s="121">
        <v>255000</v>
      </c>
      <c r="I311" s="121">
        <v>85000</v>
      </c>
      <c r="J311" s="122">
        <f t="shared" si="28"/>
        <v>33.333333333333329</v>
      </c>
      <c r="K311" s="121">
        <v>201297</v>
      </c>
      <c r="L311" s="121">
        <f>H311-184577</f>
        <v>70423</v>
      </c>
      <c r="M311" s="121">
        <v>16720</v>
      </c>
      <c r="N311" s="123">
        <f t="shared" si="29"/>
        <v>6.5568627450980396E-2</v>
      </c>
      <c r="O311" s="124">
        <v>92.88</v>
      </c>
      <c r="P311" s="125">
        <v>250</v>
      </c>
      <c r="Q311" s="126">
        <v>0.47699999999999998</v>
      </c>
      <c r="R311" s="126">
        <v>0.47699999999999998</v>
      </c>
      <c r="S311" s="121">
        <f t="shared" si="30"/>
        <v>758.21490094745911</v>
      </c>
      <c r="T311" s="121">
        <f t="shared" si="31"/>
        <v>147637.31656184487</v>
      </c>
      <c r="U311" s="127">
        <f t="shared" si="32"/>
        <v>3.3892864224482295</v>
      </c>
      <c r="V311" s="126">
        <v>83.08</v>
      </c>
      <c r="W311" s="126">
        <f t="shared" si="33"/>
        <v>51000</v>
      </c>
      <c r="X311" s="126">
        <f t="shared" si="34"/>
        <v>613.8661531054405</v>
      </c>
      <c r="Y311" s="128" t="s">
        <v>1193</v>
      </c>
      <c r="Z311" s="119" t="s">
        <v>35</v>
      </c>
      <c r="AA311" s="119" t="s">
        <v>35</v>
      </c>
      <c r="AB311" s="119" t="s">
        <v>1194</v>
      </c>
      <c r="AC311" s="119">
        <v>0</v>
      </c>
      <c r="AD311" s="119">
        <v>1</v>
      </c>
      <c r="AE311" s="119" t="s">
        <v>42</v>
      </c>
      <c r="AF311" s="119" t="s">
        <v>35</v>
      </c>
      <c r="AG311" s="119" t="s">
        <v>38</v>
      </c>
      <c r="AH311" s="119" t="s">
        <v>92</v>
      </c>
    </row>
    <row r="312" spans="1:34" x14ac:dyDescent="0.3">
      <c r="A312" s="107" t="s">
        <v>1194</v>
      </c>
      <c r="B312" s="108" t="s">
        <v>1515</v>
      </c>
      <c r="C312" s="108" t="s">
        <v>1516</v>
      </c>
      <c r="D312" s="109">
        <v>45498</v>
      </c>
      <c r="E312" s="110">
        <v>275000</v>
      </c>
      <c r="F312" s="108" t="s">
        <v>32</v>
      </c>
      <c r="G312" s="108" t="s">
        <v>33</v>
      </c>
      <c r="H312" s="110">
        <v>275000</v>
      </c>
      <c r="I312" s="110">
        <v>131000</v>
      </c>
      <c r="J312" s="111">
        <f t="shared" si="28"/>
        <v>47.63636363636364</v>
      </c>
      <c r="K312" s="110">
        <v>305040</v>
      </c>
      <c r="L312" s="110">
        <f>H312-285128</f>
        <v>-10128</v>
      </c>
      <c r="M312" s="110">
        <v>19912</v>
      </c>
      <c r="N312" s="112">
        <f t="shared" si="29"/>
        <v>7.2407272727272723E-2</v>
      </c>
      <c r="O312" s="113">
        <v>110.62</v>
      </c>
      <c r="P312" s="114">
        <v>350.96</v>
      </c>
      <c r="Q312" s="115">
        <v>0.66600000000000004</v>
      </c>
      <c r="R312" s="115">
        <v>0.66600000000000004</v>
      </c>
      <c r="S312" s="110">
        <f t="shared" si="30"/>
        <v>-91.556680527933466</v>
      </c>
      <c r="T312" s="110">
        <f t="shared" si="31"/>
        <v>-15207.207207207206</v>
      </c>
      <c r="U312" s="116">
        <f t="shared" si="32"/>
        <v>-0.34910944001853089</v>
      </c>
      <c r="V312" s="115">
        <v>85.26</v>
      </c>
      <c r="W312" s="115">
        <f t="shared" si="33"/>
        <v>55000</v>
      </c>
      <c r="X312" s="115">
        <f t="shared" si="34"/>
        <v>645.08562045507858</v>
      </c>
      <c r="Y312" s="117" t="s">
        <v>1193</v>
      </c>
      <c r="Z312" s="108" t="s">
        <v>35</v>
      </c>
      <c r="AA312" s="108" t="s">
        <v>35</v>
      </c>
      <c r="AB312" s="108" t="s">
        <v>1194</v>
      </c>
      <c r="AC312" s="108">
        <v>0</v>
      </c>
      <c r="AD312" s="108">
        <v>1</v>
      </c>
      <c r="AE312" s="108" t="s">
        <v>37</v>
      </c>
      <c r="AF312" s="108" t="s">
        <v>43</v>
      </c>
      <c r="AG312" s="108" t="s">
        <v>38</v>
      </c>
      <c r="AH312" s="108" t="s">
        <v>92</v>
      </c>
    </row>
    <row r="313" spans="1:34" x14ac:dyDescent="0.3">
      <c r="A313" s="107" t="s">
        <v>1194</v>
      </c>
      <c r="B313" s="108" t="s">
        <v>1523</v>
      </c>
      <c r="C313" s="108" t="s">
        <v>1524</v>
      </c>
      <c r="D313" s="109">
        <v>45604</v>
      </c>
      <c r="E313" s="110">
        <v>225000</v>
      </c>
      <c r="F313" s="108" t="s">
        <v>32</v>
      </c>
      <c r="G313" s="108" t="s">
        <v>33</v>
      </c>
      <c r="H313" s="110">
        <v>225000</v>
      </c>
      <c r="I313" s="110">
        <v>78700</v>
      </c>
      <c r="J313" s="111">
        <f t="shared" si="28"/>
        <v>34.977777777777781</v>
      </c>
      <c r="K313" s="110">
        <v>189134</v>
      </c>
      <c r="L313" s="110">
        <f>H313-178572</f>
        <v>46428</v>
      </c>
      <c r="M313" s="110">
        <v>10562</v>
      </c>
      <c r="N313" s="112">
        <f t="shared" si="29"/>
        <v>4.6942222222222225E-2</v>
      </c>
      <c r="O313" s="113">
        <v>58.67</v>
      </c>
      <c r="P313" s="114">
        <v>191.28</v>
      </c>
      <c r="Q313" s="115">
        <v>0.26300000000000001</v>
      </c>
      <c r="R313" s="115">
        <v>0.26300000000000001</v>
      </c>
      <c r="S313" s="110">
        <f t="shared" si="30"/>
        <v>791.34140105675806</v>
      </c>
      <c r="T313" s="110">
        <f t="shared" si="31"/>
        <v>176532.31939163498</v>
      </c>
      <c r="U313" s="116">
        <f t="shared" si="32"/>
        <v>4.0526244121128325</v>
      </c>
      <c r="V313" s="115">
        <v>60</v>
      </c>
      <c r="W313" s="115">
        <f t="shared" si="33"/>
        <v>45000</v>
      </c>
      <c r="X313" s="115">
        <f t="shared" si="34"/>
        <v>750</v>
      </c>
      <c r="Y313" s="117" t="s">
        <v>1193</v>
      </c>
      <c r="Z313" s="108" t="s">
        <v>35</v>
      </c>
      <c r="AA313" s="108" t="s">
        <v>35</v>
      </c>
      <c r="AB313" s="108" t="s">
        <v>1194</v>
      </c>
      <c r="AC313" s="108">
        <v>0</v>
      </c>
      <c r="AD313" s="108">
        <v>1</v>
      </c>
      <c r="AE313" s="108" t="s">
        <v>37</v>
      </c>
      <c r="AF313" s="108" t="s">
        <v>35</v>
      </c>
      <c r="AG313" s="108" t="s">
        <v>38</v>
      </c>
      <c r="AH313" s="108" t="s">
        <v>92</v>
      </c>
    </row>
    <row r="314" spans="1:34" x14ac:dyDescent="0.3">
      <c r="A314" s="118" t="s">
        <v>1194</v>
      </c>
      <c r="B314" s="119" t="s">
        <v>1519</v>
      </c>
      <c r="C314" s="119" t="s">
        <v>1520</v>
      </c>
      <c r="D314" s="120">
        <v>45351</v>
      </c>
      <c r="E314" s="121">
        <v>340000</v>
      </c>
      <c r="F314" s="119" t="s">
        <v>32</v>
      </c>
      <c r="G314" s="119" t="s">
        <v>33</v>
      </c>
      <c r="H314" s="121">
        <v>340000</v>
      </c>
      <c r="I314" s="121">
        <v>141900</v>
      </c>
      <c r="J314" s="122">
        <f t="shared" si="28"/>
        <v>41.735294117647058</v>
      </c>
      <c r="K314" s="121">
        <v>332811</v>
      </c>
      <c r="L314" s="121">
        <f>H314-306046</f>
        <v>33954</v>
      </c>
      <c r="M314" s="121">
        <v>26765</v>
      </c>
      <c r="N314" s="123">
        <f t="shared" si="29"/>
        <v>7.8720588235294112E-2</v>
      </c>
      <c r="O314" s="124">
        <v>148.69</v>
      </c>
      <c r="P314" s="125">
        <v>655.94</v>
      </c>
      <c r="Q314" s="126">
        <v>1.228</v>
      </c>
      <c r="R314" s="126">
        <v>1.228</v>
      </c>
      <c r="S314" s="121">
        <f t="shared" si="30"/>
        <v>228.35429416907661</v>
      </c>
      <c r="T314" s="121">
        <f t="shared" si="31"/>
        <v>27649.837133550489</v>
      </c>
      <c r="U314" s="127">
        <f t="shared" si="32"/>
        <v>0.63475291858472194</v>
      </c>
      <c r="V314" s="126">
        <v>83.16</v>
      </c>
      <c r="W314" s="126">
        <f t="shared" si="33"/>
        <v>68000</v>
      </c>
      <c r="X314" s="126">
        <f t="shared" si="34"/>
        <v>817.70081770081777</v>
      </c>
      <c r="Y314" s="128" t="s">
        <v>1193</v>
      </c>
      <c r="Z314" s="119" t="s">
        <v>35</v>
      </c>
      <c r="AA314" s="119" t="s">
        <v>35</v>
      </c>
      <c r="AB314" s="119" t="s">
        <v>1194</v>
      </c>
      <c r="AC314" s="119">
        <v>0</v>
      </c>
      <c r="AD314" s="119">
        <v>1</v>
      </c>
      <c r="AE314" s="119" t="s">
        <v>42</v>
      </c>
      <c r="AF314" s="119" t="s">
        <v>43</v>
      </c>
      <c r="AG314" s="119" t="s">
        <v>38</v>
      </c>
      <c r="AH314" s="119" t="s">
        <v>92</v>
      </c>
    </row>
    <row r="315" spans="1:34" x14ac:dyDescent="0.3">
      <c r="A315" s="107" t="s">
        <v>1194</v>
      </c>
      <c r="B315" s="108" t="s">
        <v>1517</v>
      </c>
      <c r="C315" s="108" t="s">
        <v>1518</v>
      </c>
      <c r="D315" s="109">
        <v>45355</v>
      </c>
      <c r="E315" s="110">
        <v>338000</v>
      </c>
      <c r="F315" s="108" t="s">
        <v>32</v>
      </c>
      <c r="G315" s="108" t="s">
        <v>33</v>
      </c>
      <c r="H315" s="110">
        <v>338000</v>
      </c>
      <c r="I315" s="110">
        <v>122900</v>
      </c>
      <c r="J315" s="111">
        <f t="shared" si="28"/>
        <v>36.360946745562131</v>
      </c>
      <c r="K315" s="110">
        <v>284313</v>
      </c>
      <c r="L315" s="110">
        <f>H315-259721</f>
        <v>78279</v>
      </c>
      <c r="M315" s="110">
        <v>24592</v>
      </c>
      <c r="N315" s="112">
        <f t="shared" si="29"/>
        <v>7.2757396449704137E-2</v>
      </c>
      <c r="O315" s="113">
        <v>136.62</v>
      </c>
      <c r="P315" s="114">
        <v>582.54</v>
      </c>
      <c r="Q315" s="115">
        <v>1.0640000000000001</v>
      </c>
      <c r="R315" s="115">
        <v>1.0640000000000001</v>
      </c>
      <c r="S315" s="110">
        <f t="shared" si="30"/>
        <v>572.96881862099247</v>
      </c>
      <c r="T315" s="110">
        <f t="shared" si="31"/>
        <v>73570.488721804504</v>
      </c>
      <c r="U315" s="116">
        <f t="shared" si="32"/>
        <v>1.6889460220799932</v>
      </c>
      <c r="V315" s="115">
        <v>81.08</v>
      </c>
      <c r="W315" s="115">
        <f t="shared" si="33"/>
        <v>67600</v>
      </c>
      <c r="X315" s="115">
        <f t="shared" si="34"/>
        <v>833.74444992599899</v>
      </c>
      <c r="Y315" s="117" t="s">
        <v>1193</v>
      </c>
      <c r="Z315" s="108" t="s">
        <v>35</v>
      </c>
      <c r="AA315" s="108" t="s">
        <v>35</v>
      </c>
      <c r="AB315" s="108" t="s">
        <v>1194</v>
      </c>
      <c r="AC315" s="108">
        <v>0</v>
      </c>
      <c r="AD315" s="108">
        <v>1</v>
      </c>
      <c r="AE315" s="108" t="s">
        <v>42</v>
      </c>
      <c r="AF315" s="108" t="s">
        <v>43</v>
      </c>
      <c r="AG315" s="108" t="s">
        <v>38</v>
      </c>
      <c r="AH315" s="108" t="s">
        <v>92</v>
      </c>
    </row>
    <row r="316" spans="1:34" x14ac:dyDescent="0.3">
      <c r="A316" s="118" t="s">
        <v>1194</v>
      </c>
      <c r="B316" s="119" t="s">
        <v>1289</v>
      </c>
      <c r="C316" s="119" t="s">
        <v>1290</v>
      </c>
      <c r="D316" s="120">
        <v>45595</v>
      </c>
      <c r="E316" s="121">
        <v>345000</v>
      </c>
      <c r="F316" s="119" t="s">
        <v>32</v>
      </c>
      <c r="G316" s="119" t="s">
        <v>33</v>
      </c>
      <c r="H316" s="121">
        <v>345000</v>
      </c>
      <c r="I316" s="121">
        <v>136900</v>
      </c>
      <c r="J316" s="122">
        <f t="shared" si="28"/>
        <v>39.681159420289859</v>
      </c>
      <c r="K316" s="121">
        <v>304119</v>
      </c>
      <c r="L316" s="121">
        <f>H316-287887</f>
        <v>57113</v>
      </c>
      <c r="M316" s="121">
        <v>16232</v>
      </c>
      <c r="N316" s="123">
        <f t="shared" si="29"/>
        <v>4.7049275362318843E-2</v>
      </c>
      <c r="O316" s="124">
        <v>90.17</v>
      </c>
      <c r="P316" s="125">
        <v>254.12</v>
      </c>
      <c r="Q316" s="126">
        <v>0.46700000000000003</v>
      </c>
      <c r="R316" s="126">
        <v>0.46700000000000003</v>
      </c>
      <c r="S316" s="121">
        <f t="shared" si="30"/>
        <v>633.39248086946873</v>
      </c>
      <c r="T316" s="121">
        <f t="shared" si="31"/>
        <v>122297.64453961456</v>
      </c>
      <c r="U316" s="127">
        <f t="shared" si="32"/>
        <v>2.8075675973281577</v>
      </c>
      <c r="V316" s="126">
        <v>80</v>
      </c>
      <c r="W316" s="126">
        <f t="shared" si="33"/>
        <v>69000</v>
      </c>
      <c r="X316" s="126">
        <f t="shared" si="34"/>
        <v>862.5</v>
      </c>
      <c r="Y316" s="128" t="s">
        <v>1193</v>
      </c>
      <c r="Z316" s="119" t="s">
        <v>35</v>
      </c>
      <c r="AA316" s="119" t="s">
        <v>35</v>
      </c>
      <c r="AB316" s="119" t="s">
        <v>1194</v>
      </c>
      <c r="AC316" s="119">
        <v>0</v>
      </c>
      <c r="AD316" s="119">
        <v>1</v>
      </c>
      <c r="AE316" s="119" t="s">
        <v>464</v>
      </c>
      <c r="AF316" s="119" t="s">
        <v>35</v>
      </c>
      <c r="AG316" s="119" t="s">
        <v>38</v>
      </c>
      <c r="AH316" s="119" t="s">
        <v>92</v>
      </c>
    </row>
    <row r="317" spans="1:34" x14ac:dyDescent="0.3">
      <c r="A317" s="107" t="s">
        <v>1194</v>
      </c>
      <c r="B317" s="108" t="s">
        <v>1191</v>
      </c>
      <c r="C317" s="108" t="s">
        <v>1192</v>
      </c>
      <c r="D317" s="109">
        <v>45051</v>
      </c>
      <c r="E317" s="110">
        <v>175000</v>
      </c>
      <c r="F317" s="108" t="s">
        <v>32</v>
      </c>
      <c r="G317" s="108" t="s">
        <v>33</v>
      </c>
      <c r="H317" s="110">
        <v>175000</v>
      </c>
      <c r="I317" s="110">
        <v>62900</v>
      </c>
      <c r="J317" s="111">
        <f t="shared" si="28"/>
        <v>35.942857142857143</v>
      </c>
      <c r="K317" s="110">
        <v>152281</v>
      </c>
      <c r="L317" s="110">
        <f>H317-146941</f>
        <v>28059</v>
      </c>
      <c r="M317" s="110">
        <v>5340</v>
      </c>
      <c r="N317" s="112">
        <f t="shared" si="29"/>
        <v>3.0514285714285716E-2</v>
      </c>
      <c r="O317" s="113">
        <v>29.66</v>
      </c>
      <c r="P317" s="114">
        <v>110</v>
      </c>
      <c r="Q317" s="115">
        <v>0.10100000000000001</v>
      </c>
      <c r="R317" s="115">
        <v>0.10100000000000001</v>
      </c>
      <c r="S317" s="110">
        <f t="shared" si="30"/>
        <v>946.02157788267027</v>
      </c>
      <c r="T317" s="110">
        <f t="shared" si="31"/>
        <v>277811.88118811877</v>
      </c>
      <c r="U317" s="116">
        <f t="shared" si="32"/>
        <v>6.3776832228677405</v>
      </c>
      <c r="V317" s="115">
        <v>40</v>
      </c>
      <c r="W317" s="115">
        <f t="shared" si="33"/>
        <v>35000</v>
      </c>
      <c r="X317" s="115">
        <f t="shared" si="34"/>
        <v>875</v>
      </c>
      <c r="Y317" s="117" t="s">
        <v>1193</v>
      </c>
      <c r="Z317" s="108" t="s">
        <v>35</v>
      </c>
      <c r="AA317" s="108" t="s">
        <v>35</v>
      </c>
      <c r="AB317" s="108" t="s">
        <v>1194</v>
      </c>
      <c r="AC317" s="108">
        <v>0</v>
      </c>
      <c r="AD317" s="108">
        <v>1</v>
      </c>
      <c r="AE317" s="108" t="s">
        <v>42</v>
      </c>
      <c r="AF317" s="108" t="s">
        <v>43</v>
      </c>
      <c r="AG317" s="108" t="s">
        <v>38</v>
      </c>
      <c r="AH317" s="108" t="s">
        <v>92</v>
      </c>
    </row>
    <row r="318" spans="1:34" x14ac:dyDescent="0.3">
      <c r="A318" s="107" t="s">
        <v>1194</v>
      </c>
      <c r="B318" s="108" t="s">
        <v>1195</v>
      </c>
      <c r="C318" s="108" t="s">
        <v>1196</v>
      </c>
      <c r="D318" s="109">
        <v>45497</v>
      </c>
      <c r="E318" s="110">
        <v>207000</v>
      </c>
      <c r="F318" s="108" t="s">
        <v>32</v>
      </c>
      <c r="G318" s="108" t="s">
        <v>33</v>
      </c>
      <c r="H318" s="110">
        <v>207000</v>
      </c>
      <c r="I318" s="110">
        <v>67000</v>
      </c>
      <c r="J318" s="111">
        <f t="shared" si="28"/>
        <v>32.367149758454104</v>
      </c>
      <c r="K318" s="110">
        <v>153208</v>
      </c>
      <c r="L318" s="110">
        <f>H318-147868</f>
        <v>59132</v>
      </c>
      <c r="M318" s="110">
        <v>5340</v>
      </c>
      <c r="N318" s="112">
        <f t="shared" si="29"/>
        <v>2.5797101449275363E-2</v>
      </c>
      <c r="O318" s="113">
        <v>29.66</v>
      </c>
      <c r="P318" s="114">
        <v>110</v>
      </c>
      <c r="Q318" s="115">
        <v>0.10100000000000001</v>
      </c>
      <c r="R318" s="115">
        <v>0.10100000000000001</v>
      </c>
      <c r="S318" s="110">
        <f t="shared" si="30"/>
        <v>1993.6614969656102</v>
      </c>
      <c r="T318" s="110">
        <f t="shared" si="31"/>
        <v>585465.34653465345</v>
      </c>
      <c r="U318" s="116">
        <f t="shared" si="32"/>
        <v>13.440434952586168</v>
      </c>
      <c r="V318" s="115">
        <v>40</v>
      </c>
      <c r="W318" s="115">
        <f t="shared" si="33"/>
        <v>41400</v>
      </c>
      <c r="X318" s="115">
        <f t="shared" si="34"/>
        <v>1035</v>
      </c>
      <c r="Y318" s="117" t="s">
        <v>1193</v>
      </c>
      <c r="Z318" s="108" t="s">
        <v>35</v>
      </c>
      <c r="AA318" s="108" t="s">
        <v>35</v>
      </c>
      <c r="AB318" s="108" t="s">
        <v>1194</v>
      </c>
      <c r="AC318" s="108">
        <v>0</v>
      </c>
      <c r="AD318" s="108">
        <v>1</v>
      </c>
      <c r="AE318" s="108" t="s">
        <v>42</v>
      </c>
      <c r="AF318" s="108" t="s">
        <v>43</v>
      </c>
      <c r="AG318" s="108" t="s">
        <v>38</v>
      </c>
      <c r="AH318" s="108" t="s">
        <v>92</v>
      </c>
    </row>
    <row r="319" spans="1:34" x14ac:dyDescent="0.3">
      <c r="A319" s="107" t="s">
        <v>1194</v>
      </c>
      <c r="B319" s="108" t="s">
        <v>1531</v>
      </c>
      <c r="C319" s="108" t="s">
        <v>1532</v>
      </c>
      <c r="D319" s="109">
        <v>45231</v>
      </c>
      <c r="E319" s="110">
        <v>439000</v>
      </c>
      <c r="F319" s="108" t="s">
        <v>32</v>
      </c>
      <c r="G319" s="108" t="s">
        <v>33</v>
      </c>
      <c r="H319" s="110">
        <v>439000</v>
      </c>
      <c r="I319" s="110">
        <v>158900</v>
      </c>
      <c r="J319" s="111">
        <f t="shared" si="28"/>
        <v>36.195899772209565</v>
      </c>
      <c r="K319" s="110">
        <v>378148</v>
      </c>
      <c r="L319" s="110">
        <f>H319-355912</f>
        <v>83088</v>
      </c>
      <c r="M319" s="110">
        <v>22236</v>
      </c>
      <c r="N319" s="112">
        <f t="shared" si="29"/>
        <v>5.0651480637813211E-2</v>
      </c>
      <c r="O319" s="113">
        <v>123.53</v>
      </c>
      <c r="P319" s="114">
        <v>453.47</v>
      </c>
      <c r="Q319" s="115">
        <v>0.84899999999999998</v>
      </c>
      <c r="R319" s="115">
        <v>0.84899999999999998</v>
      </c>
      <c r="S319" s="110">
        <f t="shared" si="30"/>
        <v>672.61393993361935</v>
      </c>
      <c r="T319" s="110">
        <f t="shared" si="31"/>
        <v>97865.724381625449</v>
      </c>
      <c r="U319" s="116">
        <f t="shared" si="32"/>
        <v>2.2466878875487937</v>
      </c>
      <c r="V319" s="115">
        <v>83.06</v>
      </c>
      <c r="W319" s="115">
        <f t="shared" si="33"/>
        <v>87800</v>
      </c>
      <c r="X319" s="115">
        <f t="shared" si="34"/>
        <v>1057.0671803515531</v>
      </c>
      <c r="Y319" s="117" t="s">
        <v>1193</v>
      </c>
      <c r="Z319" s="108" t="s">
        <v>35</v>
      </c>
      <c r="AA319" s="108" t="s">
        <v>35</v>
      </c>
      <c r="AB319" s="108" t="s">
        <v>1194</v>
      </c>
      <c r="AC319" s="108">
        <v>0</v>
      </c>
      <c r="AD319" s="108">
        <v>1</v>
      </c>
      <c r="AE319" s="108" t="s">
        <v>1533</v>
      </c>
      <c r="AF319" s="108" t="s">
        <v>43</v>
      </c>
      <c r="AG319" s="108" t="s">
        <v>38</v>
      </c>
      <c r="AH319" s="108" t="s">
        <v>92</v>
      </c>
    </row>
    <row r="320" spans="1:34" x14ac:dyDescent="0.3">
      <c r="A320" s="118" t="s">
        <v>764</v>
      </c>
      <c r="B320" s="119" t="s">
        <v>777</v>
      </c>
      <c r="C320" s="119" t="s">
        <v>778</v>
      </c>
      <c r="D320" s="120">
        <v>45391</v>
      </c>
      <c r="E320" s="121">
        <v>90000</v>
      </c>
      <c r="F320" s="119" t="s">
        <v>32</v>
      </c>
      <c r="G320" s="119" t="s">
        <v>33</v>
      </c>
      <c r="H320" s="121">
        <v>90000</v>
      </c>
      <c r="I320" s="121">
        <v>65900</v>
      </c>
      <c r="J320" s="122">
        <f t="shared" si="28"/>
        <v>73.222222222222229</v>
      </c>
      <c r="K320" s="121">
        <v>149392</v>
      </c>
      <c r="L320" s="121">
        <f>H320-141273</f>
        <v>-51273</v>
      </c>
      <c r="M320" s="121">
        <v>8119</v>
      </c>
      <c r="N320" s="123">
        <f t="shared" si="29"/>
        <v>9.0211111111111117E-2</v>
      </c>
      <c r="O320" s="124">
        <v>46.39</v>
      </c>
      <c r="P320" s="125">
        <v>129</v>
      </c>
      <c r="Q320" s="126">
        <v>0.13500000000000001</v>
      </c>
      <c r="R320" s="126">
        <v>0.13500000000000001</v>
      </c>
      <c r="S320" s="121">
        <f t="shared" si="30"/>
        <v>-1105.2597542573831</v>
      </c>
      <c r="T320" s="121">
        <f t="shared" si="31"/>
        <v>-379800</v>
      </c>
      <c r="U320" s="127">
        <f t="shared" si="32"/>
        <v>-8.7190082644628095</v>
      </c>
      <c r="V320" s="126">
        <v>45.67</v>
      </c>
      <c r="W320" s="126">
        <f t="shared" si="33"/>
        <v>18000</v>
      </c>
      <c r="X320" s="126">
        <f t="shared" si="34"/>
        <v>394.13181519597106</v>
      </c>
      <c r="Y320" s="128" t="s">
        <v>763</v>
      </c>
      <c r="Z320" s="119" t="s">
        <v>35</v>
      </c>
      <c r="AA320" s="119" t="s">
        <v>35</v>
      </c>
      <c r="AB320" s="119" t="s">
        <v>764</v>
      </c>
      <c r="AC320" s="119">
        <v>0</v>
      </c>
      <c r="AD320" s="119">
        <v>1</v>
      </c>
      <c r="AE320" s="119" t="s">
        <v>37</v>
      </c>
      <c r="AF320" s="119" t="s">
        <v>43</v>
      </c>
      <c r="AG320" s="119" t="s">
        <v>38</v>
      </c>
      <c r="AH320" s="119" t="s">
        <v>92</v>
      </c>
    </row>
    <row r="321" spans="1:34" x14ac:dyDescent="0.3">
      <c r="A321" s="118" t="s">
        <v>764</v>
      </c>
      <c r="B321" s="119" t="s">
        <v>1237</v>
      </c>
      <c r="C321" s="119" t="s">
        <v>1238</v>
      </c>
      <c r="D321" s="120">
        <v>45533</v>
      </c>
      <c r="E321" s="121">
        <v>145000</v>
      </c>
      <c r="F321" s="119" t="s">
        <v>32</v>
      </c>
      <c r="G321" s="119" t="s">
        <v>33</v>
      </c>
      <c r="H321" s="121">
        <v>145000</v>
      </c>
      <c r="I321" s="121">
        <v>68900</v>
      </c>
      <c r="J321" s="122">
        <f t="shared" si="28"/>
        <v>47.517241379310342</v>
      </c>
      <c r="K321" s="121">
        <v>156074</v>
      </c>
      <c r="L321" s="121">
        <f>H321-143147</f>
        <v>1853</v>
      </c>
      <c r="M321" s="121">
        <v>12927</v>
      </c>
      <c r="N321" s="123">
        <f t="shared" si="29"/>
        <v>8.9151724137931029E-2</v>
      </c>
      <c r="O321" s="124">
        <v>73.86</v>
      </c>
      <c r="P321" s="125">
        <v>134.68</v>
      </c>
      <c r="Q321" s="126">
        <v>0.44</v>
      </c>
      <c r="R321" s="126">
        <v>0.22</v>
      </c>
      <c r="S321" s="121">
        <f t="shared" si="30"/>
        <v>25.088004332520985</v>
      </c>
      <c r="T321" s="121">
        <f t="shared" si="31"/>
        <v>4211.363636363636</v>
      </c>
      <c r="U321" s="127">
        <f t="shared" si="32"/>
        <v>9.6679605977126631E-2</v>
      </c>
      <c r="V321" s="126">
        <v>71.13</v>
      </c>
      <c r="W321" s="126">
        <f t="shared" si="33"/>
        <v>29000</v>
      </c>
      <c r="X321" s="126">
        <f t="shared" si="34"/>
        <v>407.7042035709265</v>
      </c>
      <c r="Y321" s="128" t="s">
        <v>763</v>
      </c>
      <c r="Z321" s="119" t="s">
        <v>35</v>
      </c>
      <c r="AA321" s="119" t="s">
        <v>35</v>
      </c>
      <c r="AB321" s="119" t="s">
        <v>764</v>
      </c>
      <c r="AC321" s="119">
        <v>0</v>
      </c>
      <c r="AD321" s="119">
        <v>1</v>
      </c>
      <c r="AE321" s="119" t="s">
        <v>37</v>
      </c>
      <c r="AF321" s="119" t="s">
        <v>43</v>
      </c>
      <c r="AG321" s="119" t="s">
        <v>38</v>
      </c>
      <c r="AH321" s="119" t="s">
        <v>92</v>
      </c>
    </row>
    <row r="322" spans="1:34" x14ac:dyDescent="0.3">
      <c r="A322" s="107" t="s">
        <v>764</v>
      </c>
      <c r="B322" s="108" t="s">
        <v>1219</v>
      </c>
      <c r="C322" s="108" t="s">
        <v>1220</v>
      </c>
      <c r="D322" s="109">
        <v>45691</v>
      </c>
      <c r="E322" s="110">
        <v>159000</v>
      </c>
      <c r="F322" s="108" t="s">
        <v>32</v>
      </c>
      <c r="G322" s="108" t="s">
        <v>33</v>
      </c>
      <c r="H322" s="110">
        <v>159000</v>
      </c>
      <c r="I322" s="110">
        <v>56200</v>
      </c>
      <c r="J322" s="111">
        <f t="shared" ref="J322:J385" si="35">I322/H322*100</f>
        <v>35.345911949685529</v>
      </c>
      <c r="K322" s="110">
        <v>127418</v>
      </c>
      <c r="L322" s="110">
        <f>H322-113807</f>
        <v>45193</v>
      </c>
      <c r="M322" s="110">
        <v>13611</v>
      </c>
      <c r="N322" s="112">
        <f t="shared" ref="N322:N385" si="36">M322/E322</f>
        <v>8.560377358490566E-2</v>
      </c>
      <c r="O322" s="113">
        <v>77.77</v>
      </c>
      <c r="P322" s="114">
        <v>125.89</v>
      </c>
      <c r="Q322" s="115">
        <v>0.224</v>
      </c>
      <c r="R322" s="115">
        <v>0.224</v>
      </c>
      <c r="S322" s="110">
        <f t="shared" ref="S322:S385" si="37">L322/O322</f>
        <v>581.11096823968114</v>
      </c>
      <c r="T322" s="110">
        <f t="shared" ref="T322:T385" si="38">L322/Q322</f>
        <v>201754.46428571429</v>
      </c>
      <c r="U322" s="116">
        <f t="shared" ref="U322:U385" si="39">L322/Q322/43560</f>
        <v>4.6316451856224585</v>
      </c>
      <c r="V322" s="115">
        <v>77.5</v>
      </c>
      <c r="W322" s="115">
        <f t="shared" ref="W322:W385" si="40">0.2*E322</f>
        <v>31800</v>
      </c>
      <c r="X322" s="115">
        <f t="shared" ref="X322:X385" si="41">W322/V322</f>
        <v>410.32258064516128</v>
      </c>
      <c r="Y322" s="117" t="s">
        <v>763</v>
      </c>
      <c r="Z322" s="108" t="s">
        <v>35</v>
      </c>
      <c r="AA322" s="108" t="s">
        <v>35</v>
      </c>
      <c r="AB322" s="108" t="s">
        <v>764</v>
      </c>
      <c r="AC322" s="108">
        <v>0</v>
      </c>
      <c r="AD322" s="108">
        <v>1</v>
      </c>
      <c r="AE322" s="108" t="s">
        <v>42</v>
      </c>
      <c r="AF322" s="108" t="s">
        <v>35</v>
      </c>
      <c r="AG322" s="108" t="s">
        <v>38</v>
      </c>
      <c r="AH322" s="108" t="s">
        <v>92</v>
      </c>
    </row>
    <row r="323" spans="1:34" x14ac:dyDescent="0.3">
      <c r="A323" s="118" t="s">
        <v>764</v>
      </c>
      <c r="B323" s="119" t="s">
        <v>1223</v>
      </c>
      <c r="C323" s="119" t="s">
        <v>1224</v>
      </c>
      <c r="D323" s="120">
        <v>45630</v>
      </c>
      <c r="E323" s="121">
        <v>180000</v>
      </c>
      <c r="F323" s="119" t="s">
        <v>32</v>
      </c>
      <c r="G323" s="119" t="s">
        <v>33</v>
      </c>
      <c r="H323" s="121">
        <v>180000</v>
      </c>
      <c r="I323" s="121">
        <v>64800</v>
      </c>
      <c r="J323" s="122">
        <f t="shared" si="35"/>
        <v>36</v>
      </c>
      <c r="K323" s="121">
        <v>148416</v>
      </c>
      <c r="L323" s="121">
        <f>H323-134227</f>
        <v>45773</v>
      </c>
      <c r="M323" s="121">
        <v>14189</v>
      </c>
      <c r="N323" s="123">
        <f t="shared" si="36"/>
        <v>7.8827777777777774E-2</v>
      </c>
      <c r="O323" s="124">
        <v>81.08</v>
      </c>
      <c r="P323" s="125">
        <v>128.4</v>
      </c>
      <c r="Q323" s="126">
        <v>0.23599999999999999</v>
      </c>
      <c r="R323" s="126">
        <v>0.23599999999999999</v>
      </c>
      <c r="S323" s="121">
        <f t="shared" si="37"/>
        <v>564.54119388258516</v>
      </c>
      <c r="T323" s="121">
        <f t="shared" si="38"/>
        <v>193953.38983050847</v>
      </c>
      <c r="U323" s="127">
        <f t="shared" si="39"/>
        <v>4.4525571586434456</v>
      </c>
      <c r="V323" s="126">
        <v>80</v>
      </c>
      <c r="W323" s="126">
        <f t="shared" si="40"/>
        <v>36000</v>
      </c>
      <c r="X323" s="126">
        <f t="shared" si="41"/>
        <v>450</v>
      </c>
      <c r="Y323" s="128" t="s">
        <v>763</v>
      </c>
      <c r="Z323" s="119" t="s">
        <v>35</v>
      </c>
      <c r="AA323" s="119" t="s">
        <v>35</v>
      </c>
      <c r="AB323" s="119" t="s">
        <v>764</v>
      </c>
      <c r="AC323" s="119">
        <v>0</v>
      </c>
      <c r="AD323" s="119">
        <v>1</v>
      </c>
      <c r="AE323" s="119" t="s">
        <v>37</v>
      </c>
      <c r="AF323" s="119" t="s">
        <v>35</v>
      </c>
      <c r="AG323" s="119" t="s">
        <v>38</v>
      </c>
      <c r="AH323" s="119" t="s">
        <v>92</v>
      </c>
    </row>
    <row r="324" spans="1:34" x14ac:dyDescent="0.3">
      <c r="A324" s="118" t="s">
        <v>764</v>
      </c>
      <c r="B324" s="119" t="s">
        <v>1213</v>
      </c>
      <c r="C324" s="119" t="s">
        <v>1214</v>
      </c>
      <c r="D324" s="120">
        <v>45260</v>
      </c>
      <c r="E324" s="121">
        <v>114000</v>
      </c>
      <c r="F324" s="119" t="s">
        <v>32</v>
      </c>
      <c r="G324" s="119" t="s">
        <v>33</v>
      </c>
      <c r="H324" s="121">
        <v>114000</v>
      </c>
      <c r="I324" s="121">
        <v>47900</v>
      </c>
      <c r="J324" s="122">
        <f t="shared" si="35"/>
        <v>42.017543859649123</v>
      </c>
      <c r="K324" s="121">
        <v>127577</v>
      </c>
      <c r="L324" s="121">
        <f>H324-118654</f>
        <v>-4654</v>
      </c>
      <c r="M324" s="121">
        <v>8923</v>
      </c>
      <c r="N324" s="123">
        <f t="shared" si="36"/>
        <v>7.8271929824561409E-2</v>
      </c>
      <c r="O324" s="124">
        <v>50.99</v>
      </c>
      <c r="P324" s="125">
        <v>130</v>
      </c>
      <c r="Q324" s="126">
        <v>0.14899999999999999</v>
      </c>
      <c r="R324" s="126">
        <v>0.14899999999999999</v>
      </c>
      <c r="S324" s="121">
        <f t="shared" si="37"/>
        <v>-91.27279858795842</v>
      </c>
      <c r="T324" s="121">
        <f t="shared" si="38"/>
        <v>-31234.899328859061</v>
      </c>
      <c r="U324" s="127">
        <f t="shared" si="39"/>
        <v>-0.71705462187463409</v>
      </c>
      <c r="V324" s="126">
        <v>50</v>
      </c>
      <c r="W324" s="126">
        <f t="shared" si="40"/>
        <v>22800</v>
      </c>
      <c r="X324" s="126">
        <f t="shared" si="41"/>
        <v>456</v>
      </c>
      <c r="Y324" s="128" t="s">
        <v>763</v>
      </c>
      <c r="Z324" s="119" t="s">
        <v>35</v>
      </c>
      <c r="AA324" s="119" t="s">
        <v>35</v>
      </c>
      <c r="AB324" s="119" t="s">
        <v>764</v>
      </c>
      <c r="AC324" s="119">
        <v>0</v>
      </c>
      <c r="AD324" s="119">
        <v>1</v>
      </c>
      <c r="AE324" s="119" t="s">
        <v>42</v>
      </c>
      <c r="AF324" s="119" t="s">
        <v>43</v>
      </c>
      <c r="AG324" s="119" t="s">
        <v>38</v>
      </c>
      <c r="AH324" s="119" t="s">
        <v>92</v>
      </c>
    </row>
    <row r="325" spans="1:34" x14ac:dyDescent="0.3">
      <c r="A325" s="107" t="s">
        <v>764</v>
      </c>
      <c r="B325" s="108" t="s">
        <v>773</v>
      </c>
      <c r="C325" s="108" t="s">
        <v>774</v>
      </c>
      <c r="D325" s="109">
        <v>45604</v>
      </c>
      <c r="E325" s="110">
        <v>100000</v>
      </c>
      <c r="F325" s="108" t="s">
        <v>32</v>
      </c>
      <c r="G325" s="108" t="s">
        <v>33</v>
      </c>
      <c r="H325" s="110">
        <v>100000</v>
      </c>
      <c r="I325" s="110">
        <v>64800</v>
      </c>
      <c r="J325" s="111">
        <f t="shared" si="35"/>
        <v>64.8</v>
      </c>
      <c r="K325" s="110">
        <v>147255</v>
      </c>
      <c r="L325" s="110">
        <f>H325-139395</f>
        <v>-39395</v>
      </c>
      <c r="M325" s="110">
        <v>7860</v>
      </c>
      <c r="N325" s="112">
        <f t="shared" si="36"/>
        <v>7.8600000000000003E-2</v>
      </c>
      <c r="O325" s="113">
        <v>44.91</v>
      </c>
      <c r="P325" s="114">
        <v>137.97</v>
      </c>
      <c r="Q325" s="115">
        <v>0.13500000000000001</v>
      </c>
      <c r="R325" s="115">
        <v>0.13500000000000001</v>
      </c>
      <c r="S325" s="110">
        <f t="shared" si="37"/>
        <v>-877.19884212870193</v>
      </c>
      <c r="T325" s="110">
        <f t="shared" si="38"/>
        <v>-291814.81481481477</v>
      </c>
      <c r="U325" s="116">
        <f t="shared" si="39"/>
        <v>-6.6991463456109912</v>
      </c>
      <c r="V325" s="115">
        <v>42.75</v>
      </c>
      <c r="W325" s="115">
        <f t="shared" si="40"/>
        <v>20000</v>
      </c>
      <c r="X325" s="115">
        <f t="shared" si="41"/>
        <v>467.83625730994152</v>
      </c>
      <c r="Y325" s="117" t="s">
        <v>763</v>
      </c>
      <c r="Z325" s="108" t="s">
        <v>35</v>
      </c>
      <c r="AA325" s="108" t="s">
        <v>35</v>
      </c>
      <c r="AB325" s="108" t="s">
        <v>764</v>
      </c>
      <c r="AC325" s="108">
        <v>0</v>
      </c>
      <c r="AD325" s="108">
        <v>1</v>
      </c>
      <c r="AE325" s="108" t="s">
        <v>37</v>
      </c>
      <c r="AF325" s="108" t="s">
        <v>35</v>
      </c>
      <c r="AG325" s="108" t="s">
        <v>38</v>
      </c>
      <c r="AH325" s="108" t="s">
        <v>92</v>
      </c>
    </row>
    <row r="326" spans="1:34" x14ac:dyDescent="0.3">
      <c r="A326" s="118" t="s">
        <v>764</v>
      </c>
      <c r="B326" s="119" t="s">
        <v>771</v>
      </c>
      <c r="C326" s="119" t="s">
        <v>772</v>
      </c>
      <c r="D326" s="120">
        <v>45566</v>
      </c>
      <c r="E326" s="121">
        <v>100000</v>
      </c>
      <c r="F326" s="119" t="s">
        <v>32</v>
      </c>
      <c r="G326" s="119" t="s">
        <v>33</v>
      </c>
      <c r="H326" s="121">
        <v>100000</v>
      </c>
      <c r="I326" s="121">
        <v>66500</v>
      </c>
      <c r="J326" s="122">
        <f t="shared" si="35"/>
        <v>66.5</v>
      </c>
      <c r="K326" s="121">
        <v>151264</v>
      </c>
      <c r="L326" s="121">
        <f>H326-143766</f>
        <v>-43766</v>
      </c>
      <c r="M326" s="121">
        <v>7498</v>
      </c>
      <c r="N326" s="123">
        <f t="shared" si="36"/>
        <v>7.4980000000000005E-2</v>
      </c>
      <c r="O326" s="124">
        <v>42.84</v>
      </c>
      <c r="P326" s="125">
        <v>136.52000000000001</v>
      </c>
      <c r="Q326" s="126">
        <v>0.128</v>
      </c>
      <c r="R326" s="126">
        <v>0.128</v>
      </c>
      <c r="S326" s="121">
        <f t="shared" si="37"/>
        <v>-1021.6153127917833</v>
      </c>
      <c r="T326" s="121">
        <f t="shared" si="38"/>
        <v>-341921.875</v>
      </c>
      <c r="U326" s="127">
        <f t="shared" si="39"/>
        <v>-7.8494461662075299</v>
      </c>
      <c r="V326" s="126">
        <v>41</v>
      </c>
      <c r="W326" s="126">
        <f t="shared" si="40"/>
        <v>20000</v>
      </c>
      <c r="X326" s="126">
        <f t="shared" si="41"/>
        <v>487.80487804878049</v>
      </c>
      <c r="Y326" s="128" t="s">
        <v>763</v>
      </c>
      <c r="Z326" s="119" t="s">
        <v>35</v>
      </c>
      <c r="AA326" s="119" t="s">
        <v>35</v>
      </c>
      <c r="AB326" s="119" t="s">
        <v>764</v>
      </c>
      <c r="AC326" s="119">
        <v>0</v>
      </c>
      <c r="AD326" s="119">
        <v>1</v>
      </c>
      <c r="AE326" s="119" t="s">
        <v>42</v>
      </c>
      <c r="AF326" s="119" t="s">
        <v>43</v>
      </c>
      <c r="AG326" s="119" t="s">
        <v>38</v>
      </c>
      <c r="AH326" s="119" t="s">
        <v>92</v>
      </c>
    </row>
    <row r="327" spans="1:34" x14ac:dyDescent="0.3">
      <c r="A327" s="107" t="s">
        <v>764</v>
      </c>
      <c r="B327" s="108" t="s">
        <v>1227</v>
      </c>
      <c r="C327" s="108" t="s">
        <v>1228</v>
      </c>
      <c r="D327" s="109">
        <v>45176</v>
      </c>
      <c r="E327" s="110">
        <v>145000</v>
      </c>
      <c r="F327" s="108" t="s">
        <v>32</v>
      </c>
      <c r="G327" s="108" t="s">
        <v>33</v>
      </c>
      <c r="H327" s="110">
        <v>145000</v>
      </c>
      <c r="I327" s="110">
        <v>55900</v>
      </c>
      <c r="J327" s="111">
        <f t="shared" si="35"/>
        <v>38.551724137931039</v>
      </c>
      <c r="K327" s="110">
        <v>144604</v>
      </c>
      <c r="L327" s="110">
        <f>H327-134826</f>
        <v>10174</v>
      </c>
      <c r="M327" s="110">
        <v>9778</v>
      </c>
      <c r="N327" s="112">
        <f t="shared" si="36"/>
        <v>6.7434482758620684E-2</v>
      </c>
      <c r="O327" s="113">
        <v>55.87</v>
      </c>
      <c r="P327" s="114">
        <v>129</v>
      </c>
      <c r="Q327" s="115">
        <v>0.16300000000000001</v>
      </c>
      <c r="R327" s="115">
        <v>0.16300000000000001</v>
      </c>
      <c r="S327" s="110">
        <f t="shared" si="37"/>
        <v>182.10130660461786</v>
      </c>
      <c r="T327" s="110">
        <f t="shared" si="38"/>
        <v>62417.177914110427</v>
      </c>
      <c r="U327" s="116">
        <f t="shared" si="39"/>
        <v>1.4329012376976682</v>
      </c>
      <c r="V327" s="115">
        <v>55</v>
      </c>
      <c r="W327" s="115">
        <f t="shared" si="40"/>
        <v>29000</v>
      </c>
      <c r="X327" s="115">
        <f t="shared" si="41"/>
        <v>527.27272727272725</v>
      </c>
      <c r="Y327" s="117" t="s">
        <v>763</v>
      </c>
      <c r="Z327" s="108" t="s">
        <v>35</v>
      </c>
      <c r="AA327" s="108" t="s">
        <v>35</v>
      </c>
      <c r="AB327" s="108" t="s">
        <v>764</v>
      </c>
      <c r="AC327" s="108">
        <v>0</v>
      </c>
      <c r="AD327" s="108">
        <v>1</v>
      </c>
      <c r="AE327" s="108" t="s">
        <v>42</v>
      </c>
      <c r="AF327" s="108" t="s">
        <v>43</v>
      </c>
      <c r="AG327" s="108" t="s">
        <v>38</v>
      </c>
      <c r="AH327" s="108" t="s">
        <v>92</v>
      </c>
    </row>
    <row r="328" spans="1:34" x14ac:dyDescent="0.3">
      <c r="A328" s="118" t="s">
        <v>764</v>
      </c>
      <c r="B328" s="119" t="s">
        <v>1205</v>
      </c>
      <c r="C328" s="119" t="s">
        <v>1206</v>
      </c>
      <c r="D328" s="120">
        <v>45418</v>
      </c>
      <c r="E328" s="121">
        <v>170000</v>
      </c>
      <c r="F328" s="119" t="s">
        <v>32</v>
      </c>
      <c r="G328" s="119" t="s">
        <v>33</v>
      </c>
      <c r="H328" s="121">
        <v>170000</v>
      </c>
      <c r="I328" s="121">
        <v>75000</v>
      </c>
      <c r="J328" s="122">
        <f t="shared" si="35"/>
        <v>44.117647058823529</v>
      </c>
      <c r="K328" s="121">
        <v>170584</v>
      </c>
      <c r="L328" s="121">
        <f>H328-160734</f>
        <v>9266</v>
      </c>
      <c r="M328" s="121">
        <v>9850</v>
      </c>
      <c r="N328" s="123">
        <f t="shared" si="36"/>
        <v>5.7941176470588232E-2</v>
      </c>
      <c r="O328" s="124">
        <v>56.28</v>
      </c>
      <c r="P328" s="125">
        <v>110</v>
      </c>
      <c r="Q328" s="126">
        <v>0.152</v>
      </c>
      <c r="R328" s="126">
        <v>0.152</v>
      </c>
      <c r="S328" s="121">
        <f t="shared" si="37"/>
        <v>164.6410803127221</v>
      </c>
      <c r="T328" s="121">
        <f t="shared" si="38"/>
        <v>60960.526315789473</v>
      </c>
      <c r="U328" s="127">
        <f t="shared" si="39"/>
        <v>1.3994611183606398</v>
      </c>
      <c r="V328" s="126">
        <v>60</v>
      </c>
      <c r="W328" s="126">
        <f t="shared" si="40"/>
        <v>34000</v>
      </c>
      <c r="X328" s="126">
        <f t="shared" si="41"/>
        <v>566.66666666666663</v>
      </c>
      <c r="Y328" s="128" t="s">
        <v>763</v>
      </c>
      <c r="Z328" s="119" t="s">
        <v>35</v>
      </c>
      <c r="AA328" s="119" t="s">
        <v>35</v>
      </c>
      <c r="AB328" s="119" t="s">
        <v>764</v>
      </c>
      <c r="AC328" s="119">
        <v>0</v>
      </c>
      <c r="AD328" s="119">
        <v>1</v>
      </c>
      <c r="AE328" s="119" t="s">
        <v>42</v>
      </c>
      <c r="AF328" s="119" t="s">
        <v>43</v>
      </c>
      <c r="AG328" s="119" t="s">
        <v>38</v>
      </c>
      <c r="AH328" s="119" t="s">
        <v>92</v>
      </c>
    </row>
    <row r="329" spans="1:34" x14ac:dyDescent="0.3">
      <c r="A329" s="118" t="s">
        <v>764</v>
      </c>
      <c r="B329" s="119" t="s">
        <v>1239</v>
      </c>
      <c r="C329" s="119" t="s">
        <v>1240</v>
      </c>
      <c r="D329" s="120">
        <v>45237</v>
      </c>
      <c r="E329" s="121">
        <v>145000</v>
      </c>
      <c r="F329" s="119" t="s">
        <v>32</v>
      </c>
      <c r="G329" s="119" t="s">
        <v>33</v>
      </c>
      <c r="H329" s="121">
        <v>145000</v>
      </c>
      <c r="I329" s="121">
        <v>53400</v>
      </c>
      <c r="J329" s="122">
        <f t="shared" si="35"/>
        <v>36.827586206896548</v>
      </c>
      <c r="K329" s="121">
        <v>146994</v>
      </c>
      <c r="L329" s="121">
        <f>H329-137904</f>
        <v>7096</v>
      </c>
      <c r="M329" s="121">
        <v>9090</v>
      </c>
      <c r="N329" s="123">
        <f t="shared" si="36"/>
        <v>6.2689655172413788E-2</v>
      </c>
      <c r="O329" s="124">
        <v>51.94</v>
      </c>
      <c r="P329" s="125">
        <v>134.9</v>
      </c>
      <c r="Q329" s="126">
        <v>0.155</v>
      </c>
      <c r="R329" s="126">
        <v>0.155</v>
      </c>
      <c r="S329" s="121">
        <f t="shared" si="37"/>
        <v>136.61917597227571</v>
      </c>
      <c r="T329" s="121">
        <f t="shared" si="38"/>
        <v>45780.645161290326</v>
      </c>
      <c r="U329" s="127">
        <f t="shared" si="39"/>
        <v>1.0509789981930746</v>
      </c>
      <c r="V329" s="126">
        <v>50</v>
      </c>
      <c r="W329" s="126">
        <f t="shared" si="40"/>
        <v>29000</v>
      </c>
      <c r="X329" s="126">
        <f t="shared" si="41"/>
        <v>580</v>
      </c>
      <c r="Y329" s="128" t="s">
        <v>763</v>
      </c>
      <c r="Z329" s="119" t="s">
        <v>35</v>
      </c>
      <c r="AA329" s="119" t="s">
        <v>35</v>
      </c>
      <c r="AB329" s="119" t="s">
        <v>764</v>
      </c>
      <c r="AC329" s="119">
        <v>0</v>
      </c>
      <c r="AD329" s="119">
        <v>1</v>
      </c>
      <c r="AE329" s="119" t="s">
        <v>37</v>
      </c>
      <c r="AF329" s="119" t="s">
        <v>43</v>
      </c>
      <c r="AG329" s="119" t="s">
        <v>38</v>
      </c>
      <c r="AH329" s="119" t="s">
        <v>92</v>
      </c>
    </row>
    <row r="330" spans="1:34" x14ac:dyDescent="0.3">
      <c r="A330" s="107" t="s">
        <v>764</v>
      </c>
      <c r="B330" s="108" t="s">
        <v>767</v>
      </c>
      <c r="C330" s="108" t="s">
        <v>768</v>
      </c>
      <c r="D330" s="109">
        <v>45252</v>
      </c>
      <c r="E330" s="110">
        <v>135000</v>
      </c>
      <c r="F330" s="108" t="s">
        <v>32</v>
      </c>
      <c r="G330" s="108" t="s">
        <v>33</v>
      </c>
      <c r="H330" s="110">
        <v>135000</v>
      </c>
      <c r="I330" s="110">
        <v>47100</v>
      </c>
      <c r="J330" s="111">
        <f t="shared" si="35"/>
        <v>34.888888888888893</v>
      </c>
      <c r="K330" s="110">
        <v>125536</v>
      </c>
      <c r="L330" s="110">
        <f>H330-117536</f>
        <v>17464</v>
      </c>
      <c r="M330" s="110">
        <v>8000</v>
      </c>
      <c r="N330" s="112">
        <f t="shared" si="36"/>
        <v>5.9259259259259262E-2</v>
      </c>
      <c r="O330" s="113">
        <v>45.71</v>
      </c>
      <c r="P330" s="114">
        <v>129</v>
      </c>
      <c r="Q330" s="115">
        <v>0.13300000000000001</v>
      </c>
      <c r="R330" s="115">
        <v>0.13300000000000001</v>
      </c>
      <c r="S330" s="110">
        <f t="shared" si="37"/>
        <v>382.06081820170641</v>
      </c>
      <c r="T330" s="110">
        <f t="shared" si="38"/>
        <v>131308.27067669173</v>
      </c>
      <c r="U330" s="116">
        <f t="shared" si="39"/>
        <v>3.0144231101168901</v>
      </c>
      <c r="V330" s="115">
        <v>45</v>
      </c>
      <c r="W330" s="115">
        <f t="shared" si="40"/>
        <v>27000</v>
      </c>
      <c r="X330" s="115">
        <f t="shared" si="41"/>
        <v>600</v>
      </c>
      <c r="Y330" s="117" t="s">
        <v>763</v>
      </c>
      <c r="Z330" s="108" t="s">
        <v>35</v>
      </c>
      <c r="AA330" s="108" t="s">
        <v>35</v>
      </c>
      <c r="AB330" s="108" t="s">
        <v>764</v>
      </c>
      <c r="AC330" s="108">
        <v>0</v>
      </c>
      <c r="AD330" s="108">
        <v>1</v>
      </c>
      <c r="AE330" s="108" t="s">
        <v>37</v>
      </c>
      <c r="AF330" s="108" t="s">
        <v>43</v>
      </c>
      <c r="AG330" s="108" t="s">
        <v>38</v>
      </c>
      <c r="AH330" s="108" t="s">
        <v>92</v>
      </c>
    </row>
    <row r="331" spans="1:34" x14ac:dyDescent="0.3">
      <c r="A331" s="118" t="s">
        <v>764</v>
      </c>
      <c r="B331" s="119" t="s">
        <v>777</v>
      </c>
      <c r="C331" s="119" t="s">
        <v>778</v>
      </c>
      <c r="D331" s="120">
        <v>45448</v>
      </c>
      <c r="E331" s="121">
        <v>140000</v>
      </c>
      <c r="F331" s="119" t="s">
        <v>32</v>
      </c>
      <c r="G331" s="119" t="s">
        <v>33</v>
      </c>
      <c r="H331" s="121">
        <v>140000</v>
      </c>
      <c r="I331" s="121">
        <v>65900</v>
      </c>
      <c r="J331" s="122">
        <f t="shared" si="35"/>
        <v>47.071428571428569</v>
      </c>
      <c r="K331" s="121">
        <v>149392</v>
      </c>
      <c r="L331" s="121">
        <f>H331-141273</f>
        <v>-1273</v>
      </c>
      <c r="M331" s="121">
        <v>8119</v>
      </c>
      <c r="N331" s="123">
        <f t="shared" si="36"/>
        <v>5.7992857142857145E-2</v>
      </c>
      <c r="O331" s="124">
        <v>46.39</v>
      </c>
      <c r="P331" s="125">
        <v>129</v>
      </c>
      <c r="Q331" s="126">
        <v>0.13500000000000001</v>
      </c>
      <c r="R331" s="126">
        <v>0.13500000000000001</v>
      </c>
      <c r="S331" s="121">
        <f t="shared" si="37"/>
        <v>-27.441258892002587</v>
      </c>
      <c r="T331" s="121">
        <f t="shared" si="38"/>
        <v>-9429.6296296296296</v>
      </c>
      <c r="U331" s="127">
        <f t="shared" si="39"/>
        <v>-0.21647450940380233</v>
      </c>
      <c r="V331" s="126">
        <v>45.67</v>
      </c>
      <c r="W331" s="126">
        <f t="shared" si="40"/>
        <v>28000</v>
      </c>
      <c r="X331" s="126">
        <f t="shared" si="41"/>
        <v>613.09393474928834</v>
      </c>
      <c r="Y331" s="128" t="s">
        <v>763</v>
      </c>
      <c r="Z331" s="119" t="s">
        <v>35</v>
      </c>
      <c r="AA331" s="119" t="s">
        <v>35</v>
      </c>
      <c r="AB331" s="119" t="s">
        <v>764</v>
      </c>
      <c r="AC331" s="119">
        <v>0</v>
      </c>
      <c r="AD331" s="119">
        <v>1</v>
      </c>
      <c r="AE331" s="119" t="s">
        <v>37</v>
      </c>
      <c r="AF331" s="119" t="s">
        <v>43</v>
      </c>
      <c r="AG331" s="119" t="s">
        <v>38</v>
      </c>
      <c r="AH331" s="119" t="s">
        <v>92</v>
      </c>
    </row>
    <row r="332" spans="1:34" x14ac:dyDescent="0.3">
      <c r="A332" s="118" t="s">
        <v>764</v>
      </c>
      <c r="B332" s="119" t="s">
        <v>761</v>
      </c>
      <c r="C332" s="119" t="s">
        <v>762</v>
      </c>
      <c r="D332" s="120">
        <v>45385</v>
      </c>
      <c r="E332" s="121">
        <v>137000</v>
      </c>
      <c r="F332" s="119" t="s">
        <v>32</v>
      </c>
      <c r="G332" s="119" t="s">
        <v>33</v>
      </c>
      <c r="H332" s="121">
        <v>137000</v>
      </c>
      <c r="I332" s="121">
        <v>55500</v>
      </c>
      <c r="J332" s="122">
        <f t="shared" si="35"/>
        <v>40.510948905109487</v>
      </c>
      <c r="K332" s="121">
        <v>127085</v>
      </c>
      <c r="L332" s="121">
        <f>H332-119862</f>
        <v>17138</v>
      </c>
      <c r="M332" s="121">
        <v>7223</v>
      </c>
      <c r="N332" s="123">
        <f t="shared" si="36"/>
        <v>5.2722627737226274E-2</v>
      </c>
      <c r="O332" s="124">
        <v>41.27</v>
      </c>
      <c r="P332" s="125">
        <v>110</v>
      </c>
      <c r="Q332" s="126">
        <v>0.111</v>
      </c>
      <c r="R332" s="126">
        <v>0.111</v>
      </c>
      <c r="S332" s="121">
        <f t="shared" si="37"/>
        <v>415.26532590259268</v>
      </c>
      <c r="T332" s="121">
        <f t="shared" si="38"/>
        <v>154396.39639639639</v>
      </c>
      <c r="U332" s="127">
        <f t="shared" si="39"/>
        <v>3.5444535444535443</v>
      </c>
      <c r="V332" s="126">
        <v>44</v>
      </c>
      <c r="W332" s="126">
        <f t="shared" si="40"/>
        <v>27400</v>
      </c>
      <c r="X332" s="126">
        <f t="shared" si="41"/>
        <v>622.72727272727275</v>
      </c>
      <c r="Y332" s="128" t="s">
        <v>763</v>
      </c>
      <c r="Z332" s="119" t="s">
        <v>35</v>
      </c>
      <c r="AA332" s="119" t="s">
        <v>35</v>
      </c>
      <c r="AB332" s="119" t="s">
        <v>764</v>
      </c>
      <c r="AC332" s="119">
        <v>0</v>
      </c>
      <c r="AD332" s="119">
        <v>1</v>
      </c>
      <c r="AE332" s="119" t="s">
        <v>42</v>
      </c>
      <c r="AF332" s="119" t="s">
        <v>43</v>
      </c>
      <c r="AG332" s="119" t="s">
        <v>38</v>
      </c>
      <c r="AH332" s="119" t="s">
        <v>92</v>
      </c>
    </row>
    <row r="333" spans="1:34" x14ac:dyDescent="0.3">
      <c r="A333" s="118" t="s">
        <v>764</v>
      </c>
      <c r="B333" s="119" t="s">
        <v>783</v>
      </c>
      <c r="C333" s="119" t="s">
        <v>784</v>
      </c>
      <c r="D333" s="120">
        <v>45250</v>
      </c>
      <c r="E333" s="121">
        <v>134000</v>
      </c>
      <c r="F333" s="119" t="s">
        <v>32</v>
      </c>
      <c r="G333" s="119" t="s">
        <v>33</v>
      </c>
      <c r="H333" s="121">
        <v>134000</v>
      </c>
      <c r="I333" s="121">
        <v>57000</v>
      </c>
      <c r="J333" s="122">
        <f t="shared" si="35"/>
        <v>42.537313432835823</v>
      </c>
      <c r="K333" s="121">
        <v>154893</v>
      </c>
      <c r="L333" s="121">
        <f>H333-147998</f>
        <v>-13998</v>
      </c>
      <c r="M333" s="121">
        <v>6895</v>
      </c>
      <c r="N333" s="123">
        <f t="shared" si="36"/>
        <v>5.1455223880597013E-2</v>
      </c>
      <c r="O333" s="124">
        <v>39.39</v>
      </c>
      <c r="P333" s="125">
        <v>110</v>
      </c>
      <c r="Q333" s="126">
        <v>0.106</v>
      </c>
      <c r="R333" s="126">
        <v>0.106</v>
      </c>
      <c r="S333" s="121">
        <f t="shared" si="37"/>
        <v>-355.36938309215537</v>
      </c>
      <c r="T333" s="121">
        <f t="shared" si="38"/>
        <v>-132056.60377358491</v>
      </c>
      <c r="U333" s="127">
        <f t="shared" si="39"/>
        <v>-3.0316024741410676</v>
      </c>
      <c r="V333" s="126">
        <v>42</v>
      </c>
      <c r="W333" s="126">
        <f t="shared" si="40"/>
        <v>26800</v>
      </c>
      <c r="X333" s="126">
        <f t="shared" si="41"/>
        <v>638.09523809523807</v>
      </c>
      <c r="Y333" s="128" t="s">
        <v>763</v>
      </c>
      <c r="Z333" s="119" t="s">
        <v>35</v>
      </c>
      <c r="AA333" s="119" t="s">
        <v>35</v>
      </c>
      <c r="AB333" s="119" t="s">
        <v>764</v>
      </c>
      <c r="AC333" s="119">
        <v>0</v>
      </c>
      <c r="AD333" s="119">
        <v>1</v>
      </c>
      <c r="AE333" s="119" t="s">
        <v>42</v>
      </c>
      <c r="AF333" s="119" t="s">
        <v>43</v>
      </c>
      <c r="AG333" s="119" t="s">
        <v>38</v>
      </c>
      <c r="AH333" s="119" t="s">
        <v>92</v>
      </c>
    </row>
    <row r="334" spans="1:34" x14ac:dyDescent="0.3">
      <c r="A334" s="107" t="s">
        <v>764</v>
      </c>
      <c r="B334" s="108" t="s">
        <v>789</v>
      </c>
      <c r="C334" s="108" t="s">
        <v>790</v>
      </c>
      <c r="D334" s="109">
        <v>45268</v>
      </c>
      <c r="E334" s="110">
        <v>136000</v>
      </c>
      <c r="F334" s="108" t="s">
        <v>32</v>
      </c>
      <c r="G334" s="108" t="s">
        <v>33</v>
      </c>
      <c r="H334" s="110">
        <v>136000</v>
      </c>
      <c r="I334" s="110">
        <v>51600</v>
      </c>
      <c r="J334" s="111">
        <f t="shared" si="35"/>
        <v>37.941176470588232</v>
      </c>
      <c r="K334" s="110">
        <v>138901</v>
      </c>
      <c r="L334" s="110">
        <f>H334-131263</f>
        <v>4737</v>
      </c>
      <c r="M334" s="110">
        <v>7638</v>
      </c>
      <c r="N334" s="112">
        <f t="shared" si="36"/>
        <v>5.6161764705882355E-2</v>
      </c>
      <c r="O334" s="113">
        <v>43.64</v>
      </c>
      <c r="P334" s="114">
        <v>135</v>
      </c>
      <c r="Q334" s="115">
        <v>0.13</v>
      </c>
      <c r="R334" s="115">
        <v>0.13</v>
      </c>
      <c r="S334" s="110">
        <f t="shared" si="37"/>
        <v>108.54720439963336</v>
      </c>
      <c r="T334" s="110">
        <f t="shared" si="38"/>
        <v>36438.461538461539</v>
      </c>
      <c r="U334" s="116">
        <f t="shared" si="39"/>
        <v>0.8365119728756093</v>
      </c>
      <c r="V334" s="115">
        <v>42</v>
      </c>
      <c r="W334" s="115">
        <f t="shared" si="40"/>
        <v>27200</v>
      </c>
      <c r="X334" s="115">
        <f t="shared" si="41"/>
        <v>647.61904761904759</v>
      </c>
      <c r="Y334" s="117" t="s">
        <v>763</v>
      </c>
      <c r="Z334" s="108" t="s">
        <v>35</v>
      </c>
      <c r="AA334" s="108" t="s">
        <v>35</v>
      </c>
      <c r="AB334" s="108" t="s">
        <v>764</v>
      </c>
      <c r="AC334" s="108">
        <v>0</v>
      </c>
      <c r="AD334" s="108">
        <v>1</v>
      </c>
      <c r="AE334" s="108" t="s">
        <v>42</v>
      </c>
      <c r="AF334" s="108" t="s">
        <v>43</v>
      </c>
      <c r="AG334" s="108" t="s">
        <v>38</v>
      </c>
      <c r="AH334" s="108" t="s">
        <v>92</v>
      </c>
    </row>
    <row r="335" spans="1:34" x14ac:dyDescent="0.3">
      <c r="A335" s="107" t="s">
        <v>764</v>
      </c>
      <c r="B335" s="108" t="s">
        <v>1225</v>
      </c>
      <c r="C335" s="108" t="s">
        <v>1226</v>
      </c>
      <c r="D335" s="109">
        <v>45489</v>
      </c>
      <c r="E335" s="110">
        <v>147000</v>
      </c>
      <c r="F335" s="108" t="s">
        <v>32</v>
      </c>
      <c r="G335" s="108" t="s">
        <v>33</v>
      </c>
      <c r="H335" s="110">
        <v>147000</v>
      </c>
      <c r="I335" s="110">
        <v>61200</v>
      </c>
      <c r="J335" s="111">
        <f t="shared" si="35"/>
        <v>41.632653061224488</v>
      </c>
      <c r="K335" s="110">
        <v>133362</v>
      </c>
      <c r="L335" s="110">
        <f>H335-125362</f>
        <v>21638</v>
      </c>
      <c r="M335" s="110">
        <v>8000</v>
      </c>
      <c r="N335" s="112">
        <f t="shared" si="36"/>
        <v>5.4421768707482991E-2</v>
      </c>
      <c r="O335" s="113">
        <v>45.71</v>
      </c>
      <c r="P335" s="114">
        <v>129</v>
      </c>
      <c r="Q335" s="115">
        <v>0.13300000000000001</v>
      </c>
      <c r="R335" s="115">
        <v>0.13300000000000001</v>
      </c>
      <c r="S335" s="110">
        <f t="shared" si="37"/>
        <v>473.37562896521547</v>
      </c>
      <c r="T335" s="110">
        <f t="shared" si="38"/>
        <v>162691.72932330827</v>
      </c>
      <c r="U335" s="116">
        <f t="shared" si="39"/>
        <v>3.7348881846489501</v>
      </c>
      <c r="V335" s="115">
        <v>45</v>
      </c>
      <c r="W335" s="115">
        <f t="shared" si="40"/>
        <v>29400</v>
      </c>
      <c r="X335" s="115">
        <f t="shared" si="41"/>
        <v>653.33333333333337</v>
      </c>
      <c r="Y335" s="117" t="s">
        <v>763</v>
      </c>
      <c r="Z335" s="108" t="s">
        <v>35</v>
      </c>
      <c r="AA335" s="108" t="s">
        <v>35</v>
      </c>
      <c r="AB335" s="108" t="s">
        <v>764</v>
      </c>
      <c r="AC335" s="108">
        <v>0</v>
      </c>
      <c r="AD335" s="108">
        <v>1</v>
      </c>
      <c r="AE335" s="108" t="s">
        <v>42</v>
      </c>
      <c r="AF335" s="108" t="s">
        <v>43</v>
      </c>
      <c r="AG335" s="108" t="s">
        <v>38</v>
      </c>
      <c r="AH335" s="108" t="s">
        <v>92</v>
      </c>
    </row>
    <row r="336" spans="1:34" x14ac:dyDescent="0.3">
      <c r="A336" s="118" t="s">
        <v>764</v>
      </c>
      <c r="B336" s="119" t="s">
        <v>1207</v>
      </c>
      <c r="C336" s="119" t="s">
        <v>1208</v>
      </c>
      <c r="D336" s="120">
        <v>45496</v>
      </c>
      <c r="E336" s="121">
        <v>185000</v>
      </c>
      <c r="F336" s="119" t="s">
        <v>32</v>
      </c>
      <c r="G336" s="119" t="s">
        <v>33</v>
      </c>
      <c r="H336" s="121">
        <v>185000</v>
      </c>
      <c r="I336" s="121">
        <v>84600</v>
      </c>
      <c r="J336" s="122">
        <f t="shared" si="35"/>
        <v>45.729729729729726</v>
      </c>
      <c r="K336" s="121">
        <v>186509</v>
      </c>
      <c r="L336" s="121">
        <f>H336-177480</f>
        <v>7520</v>
      </c>
      <c r="M336" s="121">
        <v>9029</v>
      </c>
      <c r="N336" s="123">
        <f t="shared" si="36"/>
        <v>4.8805405405405407E-2</v>
      </c>
      <c r="O336" s="124">
        <v>51.59</v>
      </c>
      <c r="P336" s="125">
        <v>110</v>
      </c>
      <c r="Q336" s="126">
        <v>0.13900000000000001</v>
      </c>
      <c r="R336" s="126">
        <v>0.13900000000000001</v>
      </c>
      <c r="S336" s="121">
        <f t="shared" si="37"/>
        <v>145.76468307811589</v>
      </c>
      <c r="T336" s="121">
        <f t="shared" si="38"/>
        <v>54100.719424460425</v>
      </c>
      <c r="U336" s="127">
        <f t="shared" si="39"/>
        <v>1.2419816213145185</v>
      </c>
      <c r="V336" s="126">
        <v>55</v>
      </c>
      <c r="W336" s="126">
        <f t="shared" si="40"/>
        <v>37000</v>
      </c>
      <c r="X336" s="126">
        <f t="shared" si="41"/>
        <v>672.72727272727275</v>
      </c>
      <c r="Y336" s="128" t="s">
        <v>763</v>
      </c>
      <c r="Z336" s="119" t="s">
        <v>35</v>
      </c>
      <c r="AA336" s="119" t="s">
        <v>35</v>
      </c>
      <c r="AB336" s="119" t="s">
        <v>764</v>
      </c>
      <c r="AC336" s="119">
        <v>0</v>
      </c>
      <c r="AD336" s="119">
        <v>1</v>
      </c>
      <c r="AE336" s="119" t="s">
        <v>42</v>
      </c>
      <c r="AF336" s="119" t="s">
        <v>43</v>
      </c>
      <c r="AG336" s="119" t="s">
        <v>38</v>
      </c>
      <c r="AH336" s="119" t="s">
        <v>92</v>
      </c>
    </row>
    <row r="337" spans="1:34" x14ac:dyDescent="0.3">
      <c r="A337" s="118" t="s">
        <v>764</v>
      </c>
      <c r="B337" s="119" t="s">
        <v>793</v>
      </c>
      <c r="C337" s="119" t="s">
        <v>794</v>
      </c>
      <c r="D337" s="120">
        <v>45107</v>
      </c>
      <c r="E337" s="121">
        <v>140000</v>
      </c>
      <c r="F337" s="119" t="s">
        <v>32</v>
      </c>
      <c r="G337" s="119" t="s">
        <v>33</v>
      </c>
      <c r="H337" s="121">
        <v>140000</v>
      </c>
      <c r="I337" s="121">
        <v>51300</v>
      </c>
      <c r="J337" s="122">
        <f t="shared" si="35"/>
        <v>36.642857142857146</v>
      </c>
      <c r="K337" s="121">
        <v>141394</v>
      </c>
      <c r="L337" s="121">
        <f>H337-133938</f>
        <v>6062</v>
      </c>
      <c r="M337" s="121">
        <v>7456</v>
      </c>
      <c r="N337" s="123">
        <f t="shared" si="36"/>
        <v>5.3257142857142857E-2</v>
      </c>
      <c r="O337" s="124">
        <v>42.6</v>
      </c>
      <c r="P337" s="125">
        <v>135</v>
      </c>
      <c r="Q337" s="126">
        <v>0.127</v>
      </c>
      <c r="R337" s="126">
        <v>0.127</v>
      </c>
      <c r="S337" s="121">
        <f t="shared" si="37"/>
        <v>142.30046948356807</v>
      </c>
      <c r="T337" s="121">
        <f t="shared" si="38"/>
        <v>47732.283464566928</v>
      </c>
      <c r="U337" s="127">
        <f t="shared" si="39"/>
        <v>1.0957824486815182</v>
      </c>
      <c r="V337" s="126">
        <v>41</v>
      </c>
      <c r="W337" s="126">
        <f t="shared" si="40"/>
        <v>28000</v>
      </c>
      <c r="X337" s="126">
        <f t="shared" si="41"/>
        <v>682.92682926829264</v>
      </c>
      <c r="Y337" s="128" t="s">
        <v>763</v>
      </c>
      <c r="Z337" s="119" t="s">
        <v>35</v>
      </c>
      <c r="AA337" s="119" t="s">
        <v>35</v>
      </c>
      <c r="AB337" s="119" t="s">
        <v>764</v>
      </c>
      <c r="AC337" s="119">
        <v>0</v>
      </c>
      <c r="AD337" s="119">
        <v>1</v>
      </c>
      <c r="AE337" s="119" t="s">
        <v>37</v>
      </c>
      <c r="AF337" s="119" t="s">
        <v>43</v>
      </c>
      <c r="AG337" s="119" t="s">
        <v>38</v>
      </c>
      <c r="AH337" s="119" t="s">
        <v>92</v>
      </c>
    </row>
    <row r="338" spans="1:34" x14ac:dyDescent="0.3">
      <c r="A338" s="107" t="s">
        <v>764</v>
      </c>
      <c r="B338" s="108" t="s">
        <v>779</v>
      </c>
      <c r="C338" s="108" t="s">
        <v>780</v>
      </c>
      <c r="D338" s="109">
        <v>45259</v>
      </c>
      <c r="E338" s="110">
        <v>160000</v>
      </c>
      <c r="F338" s="108" t="s">
        <v>32</v>
      </c>
      <c r="G338" s="108" t="s">
        <v>33</v>
      </c>
      <c r="H338" s="110">
        <v>160000</v>
      </c>
      <c r="I338" s="110">
        <v>32500</v>
      </c>
      <c r="J338" s="111">
        <f t="shared" si="35"/>
        <v>20.3125</v>
      </c>
      <c r="K338" s="110">
        <v>86193</v>
      </c>
      <c r="L338" s="110">
        <f>H338-78806</f>
        <v>81194</v>
      </c>
      <c r="M338" s="110">
        <v>7387</v>
      </c>
      <c r="N338" s="112">
        <f t="shared" si="36"/>
        <v>4.6168750000000001E-2</v>
      </c>
      <c r="O338" s="113">
        <v>42.21</v>
      </c>
      <c r="P338" s="114">
        <v>110</v>
      </c>
      <c r="Q338" s="115">
        <v>0.114</v>
      </c>
      <c r="R338" s="115">
        <v>0.114</v>
      </c>
      <c r="S338" s="110">
        <f t="shared" si="37"/>
        <v>1923.5726131248518</v>
      </c>
      <c r="T338" s="110">
        <f t="shared" si="38"/>
        <v>712228.07017543854</v>
      </c>
      <c r="U338" s="116">
        <f t="shared" si="39"/>
        <v>16.350506661511446</v>
      </c>
      <c r="V338" s="115">
        <v>45</v>
      </c>
      <c r="W338" s="115">
        <f t="shared" si="40"/>
        <v>32000</v>
      </c>
      <c r="X338" s="115">
        <f t="shared" si="41"/>
        <v>711.11111111111109</v>
      </c>
      <c r="Y338" s="117" t="s">
        <v>763</v>
      </c>
      <c r="Z338" s="108" t="s">
        <v>35</v>
      </c>
      <c r="AA338" s="108" t="s">
        <v>35</v>
      </c>
      <c r="AB338" s="108" t="s">
        <v>764</v>
      </c>
      <c r="AC338" s="108">
        <v>0</v>
      </c>
      <c r="AD338" s="108">
        <v>1</v>
      </c>
      <c r="AE338" s="108" t="s">
        <v>37</v>
      </c>
      <c r="AF338" s="108" t="s">
        <v>43</v>
      </c>
      <c r="AG338" s="108" t="s">
        <v>38</v>
      </c>
      <c r="AH338" s="108" t="s">
        <v>92</v>
      </c>
    </row>
    <row r="339" spans="1:34" x14ac:dyDescent="0.3">
      <c r="A339" s="118" t="s">
        <v>764</v>
      </c>
      <c r="B339" s="119" t="s">
        <v>769</v>
      </c>
      <c r="C339" s="119" t="s">
        <v>770</v>
      </c>
      <c r="D339" s="120">
        <v>45519</v>
      </c>
      <c r="E339" s="121">
        <v>145000</v>
      </c>
      <c r="F339" s="119" t="s">
        <v>32</v>
      </c>
      <c r="G339" s="119" t="s">
        <v>33</v>
      </c>
      <c r="H339" s="121">
        <v>145000</v>
      </c>
      <c r="I339" s="121">
        <v>48000</v>
      </c>
      <c r="J339" s="122">
        <f t="shared" si="35"/>
        <v>33.103448275862071</v>
      </c>
      <c r="K339" s="121">
        <v>109502</v>
      </c>
      <c r="L339" s="121">
        <f>H339-102155</f>
        <v>42845</v>
      </c>
      <c r="M339" s="121">
        <v>7347</v>
      </c>
      <c r="N339" s="123">
        <f t="shared" si="36"/>
        <v>5.0668965517241378E-2</v>
      </c>
      <c r="O339" s="124">
        <v>41.98</v>
      </c>
      <c r="P339" s="125">
        <v>137.71</v>
      </c>
      <c r="Q339" s="126">
        <v>0.126</v>
      </c>
      <c r="R339" s="126">
        <v>0.126</v>
      </c>
      <c r="S339" s="121">
        <f t="shared" si="37"/>
        <v>1020.6050500238209</v>
      </c>
      <c r="T339" s="121">
        <f t="shared" si="38"/>
        <v>340039.68253968254</v>
      </c>
      <c r="U339" s="127">
        <f t="shared" si="39"/>
        <v>7.8062369729036396</v>
      </c>
      <c r="V339" s="126">
        <v>40</v>
      </c>
      <c r="W339" s="126">
        <f t="shared" si="40"/>
        <v>29000</v>
      </c>
      <c r="X339" s="126">
        <f t="shared" si="41"/>
        <v>725</v>
      </c>
      <c r="Y339" s="128" t="s">
        <v>763</v>
      </c>
      <c r="Z339" s="119" t="s">
        <v>35</v>
      </c>
      <c r="AA339" s="119" t="s">
        <v>35</v>
      </c>
      <c r="AB339" s="119" t="s">
        <v>764</v>
      </c>
      <c r="AC339" s="119">
        <v>0</v>
      </c>
      <c r="AD339" s="119">
        <v>1</v>
      </c>
      <c r="AE339" s="119" t="s">
        <v>37</v>
      </c>
      <c r="AF339" s="119" t="s">
        <v>43</v>
      </c>
      <c r="AG339" s="119" t="s">
        <v>38</v>
      </c>
      <c r="AH339" s="119" t="s">
        <v>92</v>
      </c>
    </row>
    <row r="340" spans="1:34" x14ac:dyDescent="0.3">
      <c r="A340" s="107" t="s">
        <v>764</v>
      </c>
      <c r="B340" s="108" t="s">
        <v>797</v>
      </c>
      <c r="C340" s="108" t="s">
        <v>798</v>
      </c>
      <c r="D340" s="109">
        <v>45344</v>
      </c>
      <c r="E340" s="110">
        <v>152000</v>
      </c>
      <c r="F340" s="108" t="s">
        <v>32</v>
      </c>
      <c r="G340" s="108" t="s">
        <v>33</v>
      </c>
      <c r="H340" s="110">
        <v>152000</v>
      </c>
      <c r="I340" s="110">
        <v>57600</v>
      </c>
      <c r="J340" s="111">
        <f t="shared" si="35"/>
        <v>37.894736842105267</v>
      </c>
      <c r="K340" s="110">
        <v>154290</v>
      </c>
      <c r="L340" s="110">
        <f>H340-146697</f>
        <v>5303</v>
      </c>
      <c r="M340" s="110">
        <v>7593</v>
      </c>
      <c r="N340" s="112">
        <f t="shared" si="36"/>
        <v>4.9953947368421056E-2</v>
      </c>
      <c r="O340" s="113">
        <v>43.38</v>
      </c>
      <c r="P340" s="114">
        <v>135</v>
      </c>
      <c r="Q340" s="115">
        <v>0.129</v>
      </c>
      <c r="R340" s="115">
        <v>0.129</v>
      </c>
      <c r="S340" s="110">
        <f t="shared" si="37"/>
        <v>122.24527431996312</v>
      </c>
      <c r="T340" s="110">
        <f t="shared" si="38"/>
        <v>41108.527131782947</v>
      </c>
      <c r="U340" s="116">
        <f t="shared" si="39"/>
        <v>0.94372192680860756</v>
      </c>
      <c r="V340" s="115">
        <v>41.75</v>
      </c>
      <c r="W340" s="115">
        <f t="shared" si="40"/>
        <v>30400</v>
      </c>
      <c r="X340" s="115">
        <f t="shared" si="41"/>
        <v>728.14371257485027</v>
      </c>
      <c r="Y340" s="117" t="s">
        <v>763</v>
      </c>
      <c r="Z340" s="108" t="s">
        <v>35</v>
      </c>
      <c r="AA340" s="108" t="s">
        <v>35</v>
      </c>
      <c r="AB340" s="108" t="s">
        <v>764</v>
      </c>
      <c r="AC340" s="108">
        <v>0</v>
      </c>
      <c r="AD340" s="108">
        <v>1</v>
      </c>
      <c r="AE340" s="108" t="s">
        <v>42</v>
      </c>
      <c r="AF340" s="108" t="s">
        <v>43</v>
      </c>
      <c r="AG340" s="108" t="s">
        <v>38</v>
      </c>
      <c r="AH340" s="108" t="s">
        <v>92</v>
      </c>
    </row>
    <row r="341" spans="1:34" x14ac:dyDescent="0.3">
      <c r="A341" s="107" t="s">
        <v>764</v>
      </c>
      <c r="B341" s="108" t="s">
        <v>765</v>
      </c>
      <c r="C341" s="108" t="s">
        <v>766</v>
      </c>
      <c r="D341" s="109">
        <v>45569</v>
      </c>
      <c r="E341" s="110">
        <v>151000</v>
      </c>
      <c r="F341" s="108" t="s">
        <v>32</v>
      </c>
      <c r="G341" s="108" t="s">
        <v>33</v>
      </c>
      <c r="H341" s="110">
        <v>151000</v>
      </c>
      <c r="I341" s="110">
        <v>56000</v>
      </c>
      <c r="J341" s="111">
        <f t="shared" si="35"/>
        <v>37.086092715231786</v>
      </c>
      <c r="K341" s="110">
        <v>127992</v>
      </c>
      <c r="L341" s="110">
        <f>H341-120703</f>
        <v>30297</v>
      </c>
      <c r="M341" s="110">
        <v>7289</v>
      </c>
      <c r="N341" s="112">
        <f t="shared" si="36"/>
        <v>4.8271523178807944E-2</v>
      </c>
      <c r="O341" s="113">
        <v>41.65</v>
      </c>
      <c r="P341" s="114">
        <v>129</v>
      </c>
      <c r="Q341" s="115">
        <v>0.121</v>
      </c>
      <c r="R341" s="115">
        <v>0.121</v>
      </c>
      <c r="S341" s="110">
        <f t="shared" si="37"/>
        <v>727.41896758703479</v>
      </c>
      <c r="T341" s="110">
        <f t="shared" si="38"/>
        <v>250388.42975206612</v>
      </c>
      <c r="U341" s="116">
        <f t="shared" si="39"/>
        <v>5.7481274047765405</v>
      </c>
      <c r="V341" s="115">
        <v>41</v>
      </c>
      <c r="W341" s="115">
        <f t="shared" si="40"/>
        <v>30200</v>
      </c>
      <c r="X341" s="115">
        <f t="shared" si="41"/>
        <v>736.58536585365857</v>
      </c>
      <c r="Y341" s="117" t="s">
        <v>763</v>
      </c>
      <c r="Z341" s="108" t="s">
        <v>35</v>
      </c>
      <c r="AA341" s="108" t="s">
        <v>35</v>
      </c>
      <c r="AB341" s="108" t="s">
        <v>764</v>
      </c>
      <c r="AC341" s="108">
        <v>0</v>
      </c>
      <c r="AD341" s="108">
        <v>1</v>
      </c>
      <c r="AE341" s="108" t="s">
        <v>37</v>
      </c>
      <c r="AF341" s="108" t="s">
        <v>35</v>
      </c>
      <c r="AG341" s="108" t="s">
        <v>38</v>
      </c>
      <c r="AH341" s="108" t="s">
        <v>92</v>
      </c>
    </row>
    <row r="342" spans="1:34" x14ac:dyDescent="0.3">
      <c r="A342" s="118" t="s">
        <v>764</v>
      </c>
      <c r="B342" s="119" t="s">
        <v>1215</v>
      </c>
      <c r="C342" s="119" t="s">
        <v>1216</v>
      </c>
      <c r="D342" s="120">
        <v>45667</v>
      </c>
      <c r="E342" s="121">
        <v>150000</v>
      </c>
      <c r="F342" s="119" t="s">
        <v>32</v>
      </c>
      <c r="G342" s="119" t="s">
        <v>33</v>
      </c>
      <c r="H342" s="121">
        <v>150000</v>
      </c>
      <c r="I342" s="121">
        <v>59300</v>
      </c>
      <c r="J342" s="122">
        <f t="shared" si="35"/>
        <v>39.533333333333331</v>
      </c>
      <c r="K342" s="121">
        <v>134815</v>
      </c>
      <c r="L342" s="121">
        <f>H342-127704</f>
        <v>22296</v>
      </c>
      <c r="M342" s="121">
        <v>7111</v>
      </c>
      <c r="N342" s="123">
        <f t="shared" si="36"/>
        <v>4.7406666666666666E-2</v>
      </c>
      <c r="O342" s="124">
        <v>40.630000000000003</v>
      </c>
      <c r="P342" s="125">
        <v>129</v>
      </c>
      <c r="Q342" s="126">
        <v>0.11799999999999999</v>
      </c>
      <c r="R342" s="126">
        <v>0.11799999999999999</v>
      </c>
      <c r="S342" s="121">
        <f t="shared" si="37"/>
        <v>548.75707605217815</v>
      </c>
      <c r="T342" s="121">
        <f t="shared" si="38"/>
        <v>188949.1525423729</v>
      </c>
      <c r="U342" s="127">
        <f t="shared" si="39"/>
        <v>4.3376756781995613</v>
      </c>
      <c r="V342" s="126">
        <v>40</v>
      </c>
      <c r="W342" s="126">
        <f t="shared" si="40"/>
        <v>30000</v>
      </c>
      <c r="X342" s="126">
        <f t="shared" si="41"/>
        <v>750</v>
      </c>
      <c r="Y342" s="128" t="s">
        <v>763</v>
      </c>
      <c r="Z342" s="119" t="s">
        <v>35</v>
      </c>
      <c r="AA342" s="119" t="s">
        <v>35</v>
      </c>
      <c r="AB342" s="119" t="s">
        <v>764</v>
      </c>
      <c r="AC342" s="119">
        <v>0</v>
      </c>
      <c r="AD342" s="119">
        <v>1</v>
      </c>
      <c r="AE342" s="119" t="s">
        <v>42</v>
      </c>
      <c r="AF342" s="119" t="s">
        <v>35</v>
      </c>
      <c r="AG342" s="119" t="s">
        <v>38</v>
      </c>
      <c r="AH342" s="119" t="s">
        <v>92</v>
      </c>
    </row>
    <row r="343" spans="1:34" x14ac:dyDescent="0.3">
      <c r="A343" s="118" t="s">
        <v>764</v>
      </c>
      <c r="B343" s="119" t="s">
        <v>785</v>
      </c>
      <c r="C343" s="119" t="s">
        <v>786</v>
      </c>
      <c r="D343" s="120">
        <v>45509</v>
      </c>
      <c r="E343" s="121">
        <v>154000</v>
      </c>
      <c r="F343" s="119" t="s">
        <v>32</v>
      </c>
      <c r="G343" s="119" t="s">
        <v>33</v>
      </c>
      <c r="H343" s="121">
        <v>154000</v>
      </c>
      <c r="I343" s="121">
        <v>55900</v>
      </c>
      <c r="J343" s="122">
        <f t="shared" si="35"/>
        <v>36.298701298701296</v>
      </c>
      <c r="K343" s="121">
        <v>126575</v>
      </c>
      <c r="L343" s="121">
        <f>H343-119844</f>
        <v>34156</v>
      </c>
      <c r="M343" s="121">
        <v>6731</v>
      </c>
      <c r="N343" s="123">
        <f t="shared" si="36"/>
        <v>4.3707792207792209E-2</v>
      </c>
      <c r="O343" s="124">
        <v>38.46</v>
      </c>
      <c r="P343" s="125">
        <v>110</v>
      </c>
      <c r="Q343" s="126">
        <v>0.104</v>
      </c>
      <c r="R343" s="126">
        <v>0.104</v>
      </c>
      <c r="S343" s="121">
        <f t="shared" si="37"/>
        <v>888.09152366094645</v>
      </c>
      <c r="T343" s="121">
        <f t="shared" si="38"/>
        <v>328423.07692307694</v>
      </c>
      <c r="U343" s="127">
        <f t="shared" si="39"/>
        <v>7.5395564031927673</v>
      </c>
      <c r="V343" s="126">
        <v>41</v>
      </c>
      <c r="W343" s="126">
        <f t="shared" si="40"/>
        <v>30800</v>
      </c>
      <c r="X343" s="126">
        <f t="shared" si="41"/>
        <v>751.21951219512198</v>
      </c>
      <c r="Y343" s="128" t="s">
        <v>763</v>
      </c>
      <c r="Z343" s="119" t="s">
        <v>35</v>
      </c>
      <c r="AA343" s="119" t="s">
        <v>35</v>
      </c>
      <c r="AB343" s="119" t="s">
        <v>764</v>
      </c>
      <c r="AC343" s="119">
        <v>0</v>
      </c>
      <c r="AD343" s="119">
        <v>1</v>
      </c>
      <c r="AE343" s="119" t="s">
        <v>37</v>
      </c>
      <c r="AF343" s="119" t="s">
        <v>43</v>
      </c>
      <c r="AG343" s="119" t="s">
        <v>38</v>
      </c>
      <c r="AH343" s="119" t="s">
        <v>92</v>
      </c>
    </row>
    <row r="344" spans="1:34" x14ac:dyDescent="0.3">
      <c r="A344" s="107" t="s">
        <v>764</v>
      </c>
      <c r="B344" s="108" t="s">
        <v>1254</v>
      </c>
      <c r="C344" s="108" t="s">
        <v>1255</v>
      </c>
      <c r="D344" s="109">
        <v>45336</v>
      </c>
      <c r="E344" s="110">
        <v>165900</v>
      </c>
      <c r="F344" s="108" t="s">
        <v>32</v>
      </c>
      <c r="G344" s="108" t="s">
        <v>33</v>
      </c>
      <c r="H344" s="110">
        <v>165900</v>
      </c>
      <c r="I344" s="110">
        <v>74500</v>
      </c>
      <c r="J344" s="111">
        <f t="shared" si="35"/>
        <v>44.906570223025923</v>
      </c>
      <c r="K344" s="110">
        <v>200830</v>
      </c>
      <c r="L344" s="110">
        <f>H344-192817</f>
        <v>-26917</v>
      </c>
      <c r="M344" s="110">
        <v>8013</v>
      </c>
      <c r="N344" s="112">
        <f t="shared" si="36"/>
        <v>4.8300180831826404E-2</v>
      </c>
      <c r="O344" s="113">
        <v>45.78</v>
      </c>
      <c r="P344" s="114">
        <v>135.35</v>
      </c>
      <c r="Q344" s="115">
        <v>0.13700000000000001</v>
      </c>
      <c r="R344" s="115">
        <v>0.13700000000000001</v>
      </c>
      <c r="S344" s="110">
        <f t="shared" si="37"/>
        <v>-587.96417649628654</v>
      </c>
      <c r="T344" s="110">
        <f t="shared" si="38"/>
        <v>-196474.45255474452</v>
      </c>
      <c r="U344" s="116">
        <f t="shared" si="39"/>
        <v>-4.5104327951043279</v>
      </c>
      <c r="V344" s="115">
        <v>44</v>
      </c>
      <c r="W344" s="115">
        <f t="shared" si="40"/>
        <v>33180</v>
      </c>
      <c r="X344" s="115">
        <f t="shared" si="41"/>
        <v>754.09090909090912</v>
      </c>
      <c r="Y344" s="117" t="s">
        <v>763</v>
      </c>
      <c r="Z344" s="108" t="s">
        <v>35</v>
      </c>
      <c r="AA344" s="108" t="s">
        <v>35</v>
      </c>
      <c r="AB344" s="108" t="s">
        <v>764</v>
      </c>
      <c r="AC344" s="108">
        <v>0</v>
      </c>
      <c r="AD344" s="108">
        <v>1</v>
      </c>
      <c r="AE344" s="108" t="s">
        <v>42</v>
      </c>
      <c r="AF344" s="108" t="s">
        <v>43</v>
      </c>
      <c r="AG344" s="108" t="s">
        <v>38</v>
      </c>
      <c r="AH344" s="108" t="s">
        <v>92</v>
      </c>
    </row>
    <row r="345" spans="1:34" x14ac:dyDescent="0.3">
      <c r="A345" s="107" t="s">
        <v>764</v>
      </c>
      <c r="B345" s="108" t="s">
        <v>1235</v>
      </c>
      <c r="C345" s="108" t="s">
        <v>1236</v>
      </c>
      <c r="D345" s="109">
        <v>45590</v>
      </c>
      <c r="E345" s="110">
        <v>152000</v>
      </c>
      <c r="F345" s="108" t="s">
        <v>32</v>
      </c>
      <c r="G345" s="108" t="s">
        <v>33</v>
      </c>
      <c r="H345" s="110">
        <v>152000</v>
      </c>
      <c r="I345" s="110">
        <v>59800</v>
      </c>
      <c r="J345" s="111">
        <f t="shared" si="35"/>
        <v>39.342105263157897</v>
      </c>
      <c r="K345" s="110">
        <v>136382</v>
      </c>
      <c r="L345" s="110">
        <f>H345-129815</f>
        <v>22185</v>
      </c>
      <c r="M345" s="110">
        <v>6567</v>
      </c>
      <c r="N345" s="112">
        <f t="shared" si="36"/>
        <v>4.320394736842105E-2</v>
      </c>
      <c r="O345" s="113">
        <v>37.520000000000003</v>
      </c>
      <c r="P345" s="114">
        <v>110</v>
      </c>
      <c r="Q345" s="115">
        <v>0.10100000000000001</v>
      </c>
      <c r="R345" s="115">
        <v>0.10100000000000001</v>
      </c>
      <c r="S345" s="110">
        <f t="shared" si="37"/>
        <v>591.28464818763325</v>
      </c>
      <c r="T345" s="110">
        <f t="shared" si="38"/>
        <v>219653.46534653465</v>
      </c>
      <c r="U345" s="116">
        <f t="shared" si="39"/>
        <v>5.0425497095164058</v>
      </c>
      <c r="V345" s="115">
        <v>40</v>
      </c>
      <c r="W345" s="115">
        <f t="shared" si="40"/>
        <v>30400</v>
      </c>
      <c r="X345" s="115">
        <f t="shared" si="41"/>
        <v>760</v>
      </c>
      <c r="Y345" s="117" t="s">
        <v>763</v>
      </c>
      <c r="Z345" s="108" t="s">
        <v>35</v>
      </c>
      <c r="AA345" s="108" t="s">
        <v>35</v>
      </c>
      <c r="AB345" s="108" t="s">
        <v>764</v>
      </c>
      <c r="AC345" s="108">
        <v>0</v>
      </c>
      <c r="AD345" s="108">
        <v>1</v>
      </c>
      <c r="AE345" s="108" t="s">
        <v>37</v>
      </c>
      <c r="AF345" s="108" t="s">
        <v>35</v>
      </c>
      <c r="AG345" s="108" t="s">
        <v>38</v>
      </c>
      <c r="AH345" s="108" t="s">
        <v>92</v>
      </c>
    </row>
    <row r="346" spans="1:34" x14ac:dyDescent="0.3">
      <c r="A346" s="107" t="s">
        <v>764</v>
      </c>
      <c r="B346" s="108" t="s">
        <v>775</v>
      </c>
      <c r="C346" s="108" t="s">
        <v>776</v>
      </c>
      <c r="D346" s="109">
        <v>45243</v>
      </c>
      <c r="E346" s="110">
        <v>163000</v>
      </c>
      <c r="F346" s="108" t="s">
        <v>32</v>
      </c>
      <c r="G346" s="108" t="s">
        <v>33</v>
      </c>
      <c r="H346" s="110">
        <v>163000</v>
      </c>
      <c r="I346" s="110">
        <v>55900</v>
      </c>
      <c r="J346" s="111">
        <f t="shared" si="35"/>
        <v>34.294478527607367</v>
      </c>
      <c r="K346" s="110">
        <v>151139</v>
      </c>
      <c r="L346" s="110">
        <f>H346-143850</f>
        <v>19150</v>
      </c>
      <c r="M346" s="110">
        <v>7289</v>
      </c>
      <c r="N346" s="112">
        <f t="shared" si="36"/>
        <v>4.4717791411042943E-2</v>
      </c>
      <c r="O346" s="113">
        <v>41.65</v>
      </c>
      <c r="P346" s="114">
        <v>129</v>
      </c>
      <c r="Q346" s="115">
        <v>0.121</v>
      </c>
      <c r="R346" s="115">
        <v>0.121</v>
      </c>
      <c r="S346" s="110">
        <f t="shared" si="37"/>
        <v>459.78391356542619</v>
      </c>
      <c r="T346" s="110">
        <f t="shared" si="38"/>
        <v>158264.46280991737</v>
      </c>
      <c r="U346" s="116">
        <f t="shared" si="39"/>
        <v>3.6332521306225294</v>
      </c>
      <c r="V346" s="115">
        <v>41</v>
      </c>
      <c r="W346" s="115">
        <f t="shared" si="40"/>
        <v>32600</v>
      </c>
      <c r="X346" s="115">
        <f t="shared" si="41"/>
        <v>795.1219512195122</v>
      </c>
      <c r="Y346" s="117" t="s">
        <v>763</v>
      </c>
      <c r="Z346" s="108" t="s">
        <v>35</v>
      </c>
      <c r="AA346" s="108" t="s">
        <v>35</v>
      </c>
      <c r="AB346" s="108" t="s">
        <v>764</v>
      </c>
      <c r="AC346" s="108">
        <v>0</v>
      </c>
      <c r="AD346" s="108">
        <v>1</v>
      </c>
      <c r="AE346" s="108" t="s">
        <v>42</v>
      </c>
      <c r="AF346" s="108" t="s">
        <v>43</v>
      </c>
      <c r="AG346" s="108" t="s">
        <v>38</v>
      </c>
      <c r="AH346" s="108" t="s">
        <v>92</v>
      </c>
    </row>
    <row r="347" spans="1:34" x14ac:dyDescent="0.3">
      <c r="A347" s="107" t="s">
        <v>764</v>
      </c>
      <c r="B347" s="108" t="s">
        <v>1233</v>
      </c>
      <c r="C347" s="108" t="s">
        <v>1234</v>
      </c>
      <c r="D347" s="109">
        <v>45415</v>
      </c>
      <c r="E347" s="110">
        <v>168000</v>
      </c>
      <c r="F347" s="108" t="s">
        <v>32</v>
      </c>
      <c r="G347" s="108" t="s">
        <v>33</v>
      </c>
      <c r="H347" s="110">
        <v>168000</v>
      </c>
      <c r="I347" s="110">
        <v>62500</v>
      </c>
      <c r="J347" s="111">
        <f t="shared" si="35"/>
        <v>37.202380952380956</v>
      </c>
      <c r="K347" s="110">
        <v>142347</v>
      </c>
      <c r="L347" s="110">
        <f>H347-135452</f>
        <v>32548</v>
      </c>
      <c r="M347" s="110">
        <v>6895</v>
      </c>
      <c r="N347" s="112">
        <f t="shared" si="36"/>
        <v>4.1041666666666664E-2</v>
      </c>
      <c r="O347" s="113">
        <v>39.39</v>
      </c>
      <c r="P347" s="114">
        <v>110</v>
      </c>
      <c r="Q347" s="115">
        <v>0.106</v>
      </c>
      <c r="R347" s="115">
        <v>0.106</v>
      </c>
      <c r="S347" s="110">
        <f t="shared" si="37"/>
        <v>826.30109164762632</v>
      </c>
      <c r="T347" s="110">
        <f t="shared" si="38"/>
        <v>307056.60377358494</v>
      </c>
      <c r="U347" s="116">
        <f t="shared" si="39"/>
        <v>7.0490496734064498</v>
      </c>
      <c r="V347" s="115">
        <v>42</v>
      </c>
      <c r="W347" s="115">
        <f t="shared" si="40"/>
        <v>33600</v>
      </c>
      <c r="X347" s="115">
        <f t="shared" si="41"/>
        <v>800</v>
      </c>
      <c r="Y347" s="117" t="s">
        <v>763</v>
      </c>
      <c r="Z347" s="108" t="s">
        <v>35</v>
      </c>
      <c r="AA347" s="108" t="s">
        <v>35</v>
      </c>
      <c r="AB347" s="108" t="s">
        <v>764</v>
      </c>
      <c r="AC347" s="108">
        <v>0</v>
      </c>
      <c r="AD347" s="108">
        <v>1</v>
      </c>
      <c r="AE347" s="108" t="s">
        <v>37</v>
      </c>
      <c r="AF347" s="108" t="s">
        <v>43</v>
      </c>
      <c r="AG347" s="108" t="s">
        <v>38</v>
      </c>
      <c r="AH347" s="108" t="s">
        <v>92</v>
      </c>
    </row>
    <row r="348" spans="1:34" x14ac:dyDescent="0.3">
      <c r="A348" s="107" t="s">
        <v>764</v>
      </c>
      <c r="B348" s="108" t="s">
        <v>795</v>
      </c>
      <c r="C348" s="108" t="s">
        <v>796</v>
      </c>
      <c r="D348" s="109">
        <v>45503</v>
      </c>
      <c r="E348" s="110">
        <v>164900</v>
      </c>
      <c r="F348" s="108" t="s">
        <v>32</v>
      </c>
      <c r="G348" s="108" t="s">
        <v>33</v>
      </c>
      <c r="H348" s="110">
        <v>164900</v>
      </c>
      <c r="I348" s="110">
        <v>61800</v>
      </c>
      <c r="J348" s="111">
        <f t="shared" si="35"/>
        <v>37.477258944815041</v>
      </c>
      <c r="K348" s="110">
        <v>140467</v>
      </c>
      <c r="L348" s="110">
        <f>H348-133011</f>
        <v>31889</v>
      </c>
      <c r="M348" s="110">
        <v>7456</v>
      </c>
      <c r="N348" s="112">
        <f t="shared" si="36"/>
        <v>4.5215281989084297E-2</v>
      </c>
      <c r="O348" s="113">
        <v>42.6</v>
      </c>
      <c r="P348" s="114">
        <v>135</v>
      </c>
      <c r="Q348" s="115">
        <v>0.127</v>
      </c>
      <c r="R348" s="115">
        <v>0.127</v>
      </c>
      <c r="S348" s="110">
        <f t="shared" si="37"/>
        <v>748.56807511737088</v>
      </c>
      <c r="T348" s="110">
        <f t="shared" si="38"/>
        <v>251094.48818897636</v>
      </c>
      <c r="U348" s="116">
        <f t="shared" si="39"/>
        <v>5.7643362761472998</v>
      </c>
      <c r="V348" s="115">
        <v>41</v>
      </c>
      <c r="W348" s="115">
        <f t="shared" si="40"/>
        <v>32980</v>
      </c>
      <c r="X348" s="115">
        <f t="shared" si="41"/>
        <v>804.39024390243901</v>
      </c>
      <c r="Y348" s="117" t="s">
        <v>763</v>
      </c>
      <c r="Z348" s="108" t="s">
        <v>35</v>
      </c>
      <c r="AA348" s="108" t="s">
        <v>35</v>
      </c>
      <c r="AB348" s="108" t="s">
        <v>764</v>
      </c>
      <c r="AC348" s="108">
        <v>0</v>
      </c>
      <c r="AD348" s="108">
        <v>1</v>
      </c>
      <c r="AE348" s="108" t="s">
        <v>37</v>
      </c>
      <c r="AF348" s="108" t="s">
        <v>43</v>
      </c>
      <c r="AG348" s="108" t="s">
        <v>38</v>
      </c>
      <c r="AH348" s="108" t="s">
        <v>92</v>
      </c>
    </row>
    <row r="349" spans="1:34" x14ac:dyDescent="0.3">
      <c r="A349" s="118" t="s">
        <v>764</v>
      </c>
      <c r="B349" s="119" t="s">
        <v>791</v>
      </c>
      <c r="C349" s="119" t="s">
        <v>792</v>
      </c>
      <c r="D349" s="120">
        <v>45672</v>
      </c>
      <c r="E349" s="121">
        <v>170000</v>
      </c>
      <c r="F349" s="119" t="s">
        <v>32</v>
      </c>
      <c r="G349" s="119" t="s">
        <v>33</v>
      </c>
      <c r="H349" s="121">
        <v>170000</v>
      </c>
      <c r="I349" s="121">
        <v>62300</v>
      </c>
      <c r="J349" s="122">
        <f t="shared" si="35"/>
        <v>36.647058823529413</v>
      </c>
      <c r="K349" s="121">
        <v>141894</v>
      </c>
      <c r="L349" s="121">
        <f>H349-134256</f>
        <v>35744</v>
      </c>
      <c r="M349" s="121">
        <v>7638</v>
      </c>
      <c r="N349" s="123">
        <f t="shared" si="36"/>
        <v>4.4929411764705884E-2</v>
      </c>
      <c r="O349" s="124">
        <v>43.64</v>
      </c>
      <c r="P349" s="125">
        <v>135</v>
      </c>
      <c r="Q349" s="126">
        <v>0.13</v>
      </c>
      <c r="R349" s="126">
        <v>0.13</v>
      </c>
      <c r="S349" s="121">
        <f t="shared" si="37"/>
        <v>819.06507791017418</v>
      </c>
      <c r="T349" s="121">
        <f t="shared" si="38"/>
        <v>274953.84615384613</v>
      </c>
      <c r="U349" s="127">
        <f t="shared" si="39"/>
        <v>6.3120717666172208</v>
      </c>
      <c r="V349" s="126">
        <v>42</v>
      </c>
      <c r="W349" s="126">
        <f t="shared" si="40"/>
        <v>34000</v>
      </c>
      <c r="X349" s="126">
        <f t="shared" si="41"/>
        <v>809.52380952380952</v>
      </c>
      <c r="Y349" s="128" t="s">
        <v>763</v>
      </c>
      <c r="Z349" s="119" t="s">
        <v>35</v>
      </c>
      <c r="AA349" s="119" t="s">
        <v>35</v>
      </c>
      <c r="AB349" s="119" t="s">
        <v>764</v>
      </c>
      <c r="AC349" s="119">
        <v>0</v>
      </c>
      <c r="AD349" s="119">
        <v>1</v>
      </c>
      <c r="AE349" s="119" t="s">
        <v>42</v>
      </c>
      <c r="AF349" s="119" t="s">
        <v>35</v>
      </c>
      <c r="AG349" s="119" t="s">
        <v>38</v>
      </c>
      <c r="AH349" s="119" t="s">
        <v>92</v>
      </c>
    </row>
    <row r="350" spans="1:34" x14ac:dyDescent="0.3">
      <c r="A350" s="107" t="s">
        <v>764</v>
      </c>
      <c r="B350" s="108" t="s">
        <v>1201</v>
      </c>
      <c r="C350" s="108" t="s">
        <v>1202</v>
      </c>
      <c r="D350" s="109">
        <v>45468</v>
      </c>
      <c r="E350" s="110">
        <v>163000</v>
      </c>
      <c r="F350" s="108" t="s">
        <v>32</v>
      </c>
      <c r="G350" s="108" t="s">
        <v>33</v>
      </c>
      <c r="H350" s="110">
        <v>163000</v>
      </c>
      <c r="I350" s="110">
        <v>69700</v>
      </c>
      <c r="J350" s="111">
        <f t="shared" si="35"/>
        <v>42.760736196319016</v>
      </c>
      <c r="K350" s="110">
        <v>152032</v>
      </c>
      <c r="L350" s="110">
        <f>H350-145465</f>
        <v>17535</v>
      </c>
      <c r="M350" s="110">
        <v>6567</v>
      </c>
      <c r="N350" s="112">
        <f t="shared" si="36"/>
        <v>4.0288343558282209E-2</v>
      </c>
      <c r="O350" s="113">
        <v>37.520000000000003</v>
      </c>
      <c r="P350" s="114">
        <v>110</v>
      </c>
      <c r="Q350" s="115">
        <v>0.10100000000000001</v>
      </c>
      <c r="R350" s="115">
        <v>0.10100000000000001</v>
      </c>
      <c r="S350" s="110">
        <f t="shared" si="37"/>
        <v>467.35074626865668</v>
      </c>
      <c r="T350" s="110">
        <f t="shared" si="38"/>
        <v>173613.8613861386</v>
      </c>
      <c r="U350" s="116">
        <f t="shared" si="39"/>
        <v>3.9856258353108034</v>
      </c>
      <c r="V350" s="115">
        <v>40</v>
      </c>
      <c r="W350" s="115">
        <f t="shared" si="40"/>
        <v>32600</v>
      </c>
      <c r="X350" s="115">
        <f t="shared" si="41"/>
        <v>815</v>
      </c>
      <c r="Y350" s="117" t="s">
        <v>763</v>
      </c>
      <c r="Z350" s="108" t="s">
        <v>35</v>
      </c>
      <c r="AA350" s="108" t="s">
        <v>35</v>
      </c>
      <c r="AB350" s="108" t="s">
        <v>764</v>
      </c>
      <c r="AC350" s="108">
        <v>0</v>
      </c>
      <c r="AD350" s="108">
        <v>1</v>
      </c>
      <c r="AE350" s="108" t="s">
        <v>42</v>
      </c>
      <c r="AF350" s="108" t="s">
        <v>43</v>
      </c>
      <c r="AG350" s="108" t="s">
        <v>38</v>
      </c>
      <c r="AH350" s="108" t="s">
        <v>92</v>
      </c>
    </row>
    <row r="351" spans="1:34" x14ac:dyDescent="0.3">
      <c r="A351" s="118" t="s">
        <v>764</v>
      </c>
      <c r="B351" s="119" t="s">
        <v>1231</v>
      </c>
      <c r="C351" s="119" t="s">
        <v>1232</v>
      </c>
      <c r="D351" s="120">
        <v>45594</v>
      </c>
      <c r="E351" s="121">
        <v>172500</v>
      </c>
      <c r="F351" s="119" t="s">
        <v>32</v>
      </c>
      <c r="G351" s="119" t="s">
        <v>33</v>
      </c>
      <c r="H351" s="121">
        <v>172500</v>
      </c>
      <c r="I351" s="121">
        <v>73500</v>
      </c>
      <c r="J351" s="122">
        <f t="shared" si="35"/>
        <v>42.608695652173914</v>
      </c>
      <c r="K351" s="121">
        <v>167989</v>
      </c>
      <c r="L351" s="121">
        <f>H351-160493</f>
        <v>12007</v>
      </c>
      <c r="M351" s="121">
        <v>7496</v>
      </c>
      <c r="N351" s="123">
        <f t="shared" si="36"/>
        <v>4.3455072463768118E-2</v>
      </c>
      <c r="O351" s="124">
        <v>42.83</v>
      </c>
      <c r="P351" s="125">
        <v>130</v>
      </c>
      <c r="Q351" s="126">
        <v>0.125</v>
      </c>
      <c r="R351" s="126">
        <v>0.125</v>
      </c>
      <c r="S351" s="121">
        <f t="shared" si="37"/>
        <v>280.34088255895404</v>
      </c>
      <c r="T351" s="121">
        <f t="shared" si="38"/>
        <v>96056</v>
      </c>
      <c r="U351" s="127">
        <f t="shared" si="39"/>
        <v>2.2051423324150599</v>
      </c>
      <c r="V351" s="126">
        <v>42</v>
      </c>
      <c r="W351" s="126">
        <f t="shared" si="40"/>
        <v>34500</v>
      </c>
      <c r="X351" s="126">
        <f t="shared" si="41"/>
        <v>821.42857142857144</v>
      </c>
      <c r="Y351" s="128" t="s">
        <v>763</v>
      </c>
      <c r="Z351" s="119" t="s">
        <v>35</v>
      </c>
      <c r="AA351" s="119" t="s">
        <v>35</v>
      </c>
      <c r="AB351" s="119" t="s">
        <v>764</v>
      </c>
      <c r="AC351" s="119">
        <v>0</v>
      </c>
      <c r="AD351" s="119">
        <v>1</v>
      </c>
      <c r="AE351" s="119" t="s">
        <v>37</v>
      </c>
      <c r="AF351" s="119" t="s">
        <v>35</v>
      </c>
      <c r="AG351" s="119" t="s">
        <v>38</v>
      </c>
      <c r="AH351" s="119" t="s">
        <v>92</v>
      </c>
    </row>
    <row r="352" spans="1:34" x14ac:dyDescent="0.3">
      <c r="A352" s="107" t="s">
        <v>764</v>
      </c>
      <c r="B352" s="108" t="s">
        <v>781</v>
      </c>
      <c r="C352" s="108" t="s">
        <v>782</v>
      </c>
      <c r="D352" s="109">
        <v>45566</v>
      </c>
      <c r="E352" s="110">
        <v>175000</v>
      </c>
      <c r="F352" s="108" t="s">
        <v>32</v>
      </c>
      <c r="G352" s="108" t="s">
        <v>33</v>
      </c>
      <c r="H352" s="110">
        <v>175000</v>
      </c>
      <c r="I352" s="110">
        <v>60900</v>
      </c>
      <c r="J352" s="111">
        <f t="shared" si="35"/>
        <v>34.799999999999997</v>
      </c>
      <c r="K352" s="110">
        <v>138556</v>
      </c>
      <c r="L352" s="110">
        <f>H352-131661</f>
        <v>43339</v>
      </c>
      <c r="M352" s="110">
        <v>6895</v>
      </c>
      <c r="N352" s="112">
        <f t="shared" si="36"/>
        <v>3.9399999999999998E-2</v>
      </c>
      <c r="O352" s="113">
        <v>39.39</v>
      </c>
      <c r="P352" s="114">
        <v>110</v>
      </c>
      <c r="Q352" s="115">
        <v>0.106</v>
      </c>
      <c r="R352" s="115">
        <v>0.106</v>
      </c>
      <c r="S352" s="110">
        <f t="shared" si="37"/>
        <v>1100.2538715410003</v>
      </c>
      <c r="T352" s="110">
        <f t="shared" si="38"/>
        <v>408858.49056603777</v>
      </c>
      <c r="U352" s="116">
        <f t="shared" si="39"/>
        <v>9.3860994161165703</v>
      </c>
      <c r="V352" s="115">
        <v>42</v>
      </c>
      <c r="W352" s="115">
        <f t="shared" si="40"/>
        <v>35000</v>
      </c>
      <c r="X352" s="115">
        <f t="shared" si="41"/>
        <v>833.33333333333337</v>
      </c>
      <c r="Y352" s="117" t="s">
        <v>763</v>
      </c>
      <c r="Z352" s="108" t="s">
        <v>35</v>
      </c>
      <c r="AA352" s="108" t="s">
        <v>35</v>
      </c>
      <c r="AB352" s="108" t="s">
        <v>764</v>
      </c>
      <c r="AC352" s="108">
        <v>0</v>
      </c>
      <c r="AD352" s="108">
        <v>1</v>
      </c>
      <c r="AE352" s="108" t="s">
        <v>37</v>
      </c>
      <c r="AF352" s="108" t="s">
        <v>43</v>
      </c>
      <c r="AG352" s="108" t="s">
        <v>38</v>
      </c>
      <c r="AH352" s="108" t="s">
        <v>92</v>
      </c>
    </row>
    <row r="353" spans="1:34" x14ac:dyDescent="0.3">
      <c r="A353" s="107" t="s">
        <v>764</v>
      </c>
      <c r="B353" s="108" t="s">
        <v>1217</v>
      </c>
      <c r="C353" s="108" t="s">
        <v>1218</v>
      </c>
      <c r="D353" s="109">
        <v>45667</v>
      </c>
      <c r="E353" s="110">
        <v>188000</v>
      </c>
      <c r="F353" s="108" t="s">
        <v>32</v>
      </c>
      <c r="G353" s="108" t="s">
        <v>33</v>
      </c>
      <c r="H353" s="110">
        <v>188000</v>
      </c>
      <c r="I353" s="110">
        <v>65500</v>
      </c>
      <c r="J353" s="111">
        <f t="shared" si="35"/>
        <v>34.840425531914896</v>
      </c>
      <c r="K353" s="110">
        <v>142705</v>
      </c>
      <c r="L353" s="110">
        <f>H353-134705</f>
        <v>53295</v>
      </c>
      <c r="M353" s="110">
        <v>8000</v>
      </c>
      <c r="N353" s="112">
        <f t="shared" si="36"/>
        <v>4.2553191489361701E-2</v>
      </c>
      <c r="O353" s="113">
        <v>45.71</v>
      </c>
      <c r="P353" s="114">
        <v>129</v>
      </c>
      <c r="Q353" s="115">
        <v>0.13300000000000001</v>
      </c>
      <c r="R353" s="115">
        <v>0.13300000000000001</v>
      </c>
      <c r="S353" s="110">
        <f t="shared" si="37"/>
        <v>1165.9374316342157</v>
      </c>
      <c r="T353" s="110">
        <f t="shared" si="38"/>
        <v>400714.28571428568</v>
      </c>
      <c r="U353" s="116">
        <f t="shared" si="39"/>
        <v>9.1991341991341979</v>
      </c>
      <c r="V353" s="115">
        <v>45</v>
      </c>
      <c r="W353" s="115">
        <f t="shared" si="40"/>
        <v>37600</v>
      </c>
      <c r="X353" s="115">
        <f t="shared" si="41"/>
        <v>835.55555555555554</v>
      </c>
      <c r="Y353" s="117" t="s">
        <v>763</v>
      </c>
      <c r="Z353" s="108" t="s">
        <v>35</v>
      </c>
      <c r="AA353" s="108" t="s">
        <v>35</v>
      </c>
      <c r="AB353" s="108" t="s">
        <v>764</v>
      </c>
      <c r="AC353" s="108">
        <v>0</v>
      </c>
      <c r="AD353" s="108">
        <v>1</v>
      </c>
      <c r="AE353" s="108" t="s">
        <v>42</v>
      </c>
      <c r="AF353" s="108" t="s">
        <v>35</v>
      </c>
      <c r="AG353" s="108" t="s">
        <v>38</v>
      </c>
      <c r="AH353" s="108" t="s">
        <v>92</v>
      </c>
    </row>
    <row r="354" spans="1:34" x14ac:dyDescent="0.3">
      <c r="A354" s="118" t="s">
        <v>764</v>
      </c>
      <c r="B354" s="119" t="s">
        <v>1229</v>
      </c>
      <c r="C354" s="119" t="s">
        <v>1230</v>
      </c>
      <c r="D354" s="120">
        <v>45184</v>
      </c>
      <c r="E354" s="121">
        <v>150000</v>
      </c>
      <c r="F354" s="119" t="s">
        <v>32</v>
      </c>
      <c r="G354" s="119" t="s">
        <v>33</v>
      </c>
      <c r="H354" s="121">
        <v>150000</v>
      </c>
      <c r="I354" s="121">
        <v>57400</v>
      </c>
      <c r="J354" s="122">
        <f t="shared" si="35"/>
        <v>38.266666666666666</v>
      </c>
      <c r="K354" s="121">
        <v>148081</v>
      </c>
      <c r="L354" s="121">
        <f>H354-141835</f>
        <v>8165</v>
      </c>
      <c r="M354" s="121">
        <v>6246</v>
      </c>
      <c r="N354" s="123">
        <f t="shared" si="36"/>
        <v>4.1640000000000003E-2</v>
      </c>
      <c r="O354" s="124">
        <v>35.69</v>
      </c>
      <c r="P354" s="125">
        <v>130</v>
      </c>
      <c r="Q354" s="126">
        <v>0.104</v>
      </c>
      <c r="R354" s="126">
        <v>0.104</v>
      </c>
      <c r="S354" s="121">
        <f t="shared" si="37"/>
        <v>228.77556738582237</v>
      </c>
      <c r="T354" s="121">
        <f t="shared" si="38"/>
        <v>78509.61538461539</v>
      </c>
      <c r="U354" s="127">
        <f t="shared" si="39"/>
        <v>1.8023327682418593</v>
      </c>
      <c r="V354" s="126">
        <v>35</v>
      </c>
      <c r="W354" s="126">
        <f t="shared" si="40"/>
        <v>30000</v>
      </c>
      <c r="X354" s="126">
        <f t="shared" si="41"/>
        <v>857.14285714285711</v>
      </c>
      <c r="Y354" s="128" t="s">
        <v>763</v>
      </c>
      <c r="Z354" s="119" t="s">
        <v>35</v>
      </c>
      <c r="AA354" s="119" t="s">
        <v>35</v>
      </c>
      <c r="AB354" s="119" t="s">
        <v>764</v>
      </c>
      <c r="AC354" s="119">
        <v>0</v>
      </c>
      <c r="AD354" s="119">
        <v>1</v>
      </c>
      <c r="AE354" s="119" t="s">
        <v>42</v>
      </c>
      <c r="AF354" s="119" t="s">
        <v>43</v>
      </c>
      <c r="AG354" s="119" t="s">
        <v>38</v>
      </c>
      <c r="AH354" s="119" t="s">
        <v>92</v>
      </c>
    </row>
    <row r="355" spans="1:34" x14ac:dyDescent="0.3">
      <c r="A355" s="118" t="s">
        <v>764</v>
      </c>
      <c r="B355" s="119" t="s">
        <v>1199</v>
      </c>
      <c r="C355" s="119" t="s">
        <v>1200</v>
      </c>
      <c r="D355" s="120">
        <v>45441</v>
      </c>
      <c r="E355" s="121">
        <v>174995</v>
      </c>
      <c r="F355" s="119" t="s">
        <v>32</v>
      </c>
      <c r="G355" s="119" t="s">
        <v>33</v>
      </c>
      <c r="H355" s="121">
        <v>174995</v>
      </c>
      <c r="I355" s="121">
        <v>62700</v>
      </c>
      <c r="J355" s="122">
        <f t="shared" si="35"/>
        <v>35.829595131289466</v>
      </c>
      <c r="K355" s="121">
        <v>136717</v>
      </c>
      <c r="L355" s="121">
        <f>H355-129415</f>
        <v>45580</v>
      </c>
      <c r="M355" s="121">
        <v>7302</v>
      </c>
      <c r="N355" s="123">
        <f t="shared" si="36"/>
        <v>4.1726906483042371E-2</v>
      </c>
      <c r="O355" s="124">
        <v>41.72</v>
      </c>
      <c r="P355" s="125">
        <v>136</v>
      </c>
      <c r="Q355" s="126">
        <v>0.125</v>
      </c>
      <c r="R355" s="126">
        <v>0.125</v>
      </c>
      <c r="S355" s="121">
        <f t="shared" si="37"/>
        <v>1092.5215723873441</v>
      </c>
      <c r="T355" s="121">
        <f t="shared" si="38"/>
        <v>364640</v>
      </c>
      <c r="U355" s="127">
        <f t="shared" si="39"/>
        <v>8.3709825528007347</v>
      </c>
      <c r="V355" s="126">
        <v>40</v>
      </c>
      <c r="W355" s="126">
        <f t="shared" si="40"/>
        <v>34999</v>
      </c>
      <c r="X355" s="126">
        <f t="shared" si="41"/>
        <v>874.97500000000002</v>
      </c>
      <c r="Y355" s="128" t="s">
        <v>763</v>
      </c>
      <c r="Z355" s="119" t="s">
        <v>35</v>
      </c>
      <c r="AA355" s="119" t="s">
        <v>35</v>
      </c>
      <c r="AB355" s="119" t="s">
        <v>764</v>
      </c>
      <c r="AC355" s="119">
        <v>0</v>
      </c>
      <c r="AD355" s="119">
        <v>1</v>
      </c>
      <c r="AE355" s="119" t="s">
        <v>42</v>
      </c>
      <c r="AF355" s="119" t="s">
        <v>43</v>
      </c>
      <c r="AG355" s="119" t="s">
        <v>38</v>
      </c>
      <c r="AH355" s="119" t="s">
        <v>92</v>
      </c>
    </row>
    <row r="356" spans="1:34" x14ac:dyDescent="0.3">
      <c r="A356" s="107" t="s">
        <v>764</v>
      </c>
      <c r="B356" s="108" t="s">
        <v>1203</v>
      </c>
      <c r="C356" s="108" t="s">
        <v>1204</v>
      </c>
      <c r="D356" s="109">
        <v>45310</v>
      </c>
      <c r="E356" s="110">
        <v>175000</v>
      </c>
      <c r="F356" s="108" t="s">
        <v>32</v>
      </c>
      <c r="G356" s="108" t="s">
        <v>33</v>
      </c>
      <c r="H356" s="110">
        <v>175000</v>
      </c>
      <c r="I356" s="110">
        <v>65300</v>
      </c>
      <c r="J356" s="111">
        <f t="shared" si="35"/>
        <v>37.314285714285717</v>
      </c>
      <c r="K356" s="110">
        <v>171407</v>
      </c>
      <c r="L356" s="110">
        <f>H356-164840</f>
        <v>10160</v>
      </c>
      <c r="M356" s="110">
        <v>6567</v>
      </c>
      <c r="N356" s="112">
        <f t="shared" si="36"/>
        <v>3.7525714285714287E-2</v>
      </c>
      <c r="O356" s="113">
        <v>37.520000000000003</v>
      </c>
      <c r="P356" s="114">
        <v>110</v>
      </c>
      <c r="Q356" s="115">
        <v>0.10100000000000001</v>
      </c>
      <c r="R356" s="115">
        <v>0.10100000000000001</v>
      </c>
      <c r="S356" s="110">
        <f t="shared" si="37"/>
        <v>270.78891257995735</v>
      </c>
      <c r="T356" s="110">
        <f t="shared" si="38"/>
        <v>100594.05940594058</v>
      </c>
      <c r="U356" s="116">
        <f t="shared" si="39"/>
        <v>2.3093218412750365</v>
      </c>
      <c r="V356" s="115">
        <v>40</v>
      </c>
      <c r="W356" s="115">
        <f t="shared" si="40"/>
        <v>35000</v>
      </c>
      <c r="X356" s="115">
        <f t="shared" si="41"/>
        <v>875</v>
      </c>
      <c r="Y356" s="117" t="s">
        <v>763</v>
      </c>
      <c r="Z356" s="108" t="s">
        <v>35</v>
      </c>
      <c r="AA356" s="108" t="s">
        <v>35</v>
      </c>
      <c r="AB356" s="108" t="s">
        <v>764</v>
      </c>
      <c r="AC356" s="108">
        <v>0</v>
      </c>
      <c r="AD356" s="108">
        <v>1</v>
      </c>
      <c r="AE356" s="108" t="s">
        <v>42</v>
      </c>
      <c r="AF356" s="108" t="s">
        <v>43</v>
      </c>
      <c r="AG356" s="108" t="s">
        <v>38</v>
      </c>
      <c r="AH356" s="108" t="s">
        <v>92</v>
      </c>
    </row>
    <row r="357" spans="1:34" x14ac:dyDescent="0.3">
      <c r="A357" s="118" t="s">
        <v>764</v>
      </c>
      <c r="B357" s="119" t="s">
        <v>1189</v>
      </c>
      <c r="C357" s="119" t="s">
        <v>1190</v>
      </c>
      <c r="D357" s="120">
        <v>45614</v>
      </c>
      <c r="E357" s="121">
        <v>180000</v>
      </c>
      <c r="F357" s="119" t="s">
        <v>32</v>
      </c>
      <c r="G357" s="119" t="s">
        <v>33</v>
      </c>
      <c r="H357" s="121">
        <v>180000</v>
      </c>
      <c r="I357" s="121">
        <v>72300</v>
      </c>
      <c r="J357" s="122">
        <f t="shared" si="35"/>
        <v>40.166666666666664</v>
      </c>
      <c r="K357" s="121">
        <v>158142</v>
      </c>
      <c r="L357" s="121">
        <f>H357-150945</f>
        <v>29055</v>
      </c>
      <c r="M357" s="121">
        <v>7197</v>
      </c>
      <c r="N357" s="123">
        <f t="shared" si="36"/>
        <v>3.9983333333333336E-2</v>
      </c>
      <c r="O357" s="124">
        <v>41.12</v>
      </c>
      <c r="P357" s="125">
        <v>132.15</v>
      </c>
      <c r="Q357" s="126">
        <v>0.121</v>
      </c>
      <c r="R357" s="126">
        <v>0.121</v>
      </c>
      <c r="S357" s="121">
        <f t="shared" si="37"/>
        <v>706.59046692607012</v>
      </c>
      <c r="T357" s="121">
        <f t="shared" si="38"/>
        <v>240123.96694214878</v>
      </c>
      <c r="U357" s="127">
        <f t="shared" si="39"/>
        <v>5.5124877626755922</v>
      </c>
      <c r="V357" s="126">
        <v>40</v>
      </c>
      <c r="W357" s="126">
        <f t="shared" si="40"/>
        <v>36000</v>
      </c>
      <c r="X357" s="126">
        <f t="shared" si="41"/>
        <v>900</v>
      </c>
      <c r="Y357" s="128" t="s">
        <v>763</v>
      </c>
      <c r="Z357" s="119" t="s">
        <v>35</v>
      </c>
      <c r="AA357" s="119" t="s">
        <v>35</v>
      </c>
      <c r="AB357" s="119" t="s">
        <v>764</v>
      </c>
      <c r="AC357" s="119">
        <v>0</v>
      </c>
      <c r="AD357" s="119">
        <v>1</v>
      </c>
      <c r="AE357" s="119" t="s">
        <v>42</v>
      </c>
      <c r="AF357" s="119" t="s">
        <v>35</v>
      </c>
      <c r="AG357" s="119" t="s">
        <v>38</v>
      </c>
      <c r="AH357" s="119" t="s">
        <v>92</v>
      </c>
    </row>
    <row r="358" spans="1:34" x14ac:dyDescent="0.3">
      <c r="A358" s="107" t="s">
        <v>764</v>
      </c>
      <c r="B358" s="108" t="s">
        <v>787</v>
      </c>
      <c r="C358" s="108" t="s">
        <v>788</v>
      </c>
      <c r="D358" s="109">
        <v>45197</v>
      </c>
      <c r="E358" s="110">
        <v>195000</v>
      </c>
      <c r="F358" s="108" t="s">
        <v>32</v>
      </c>
      <c r="G358" s="108" t="s">
        <v>33</v>
      </c>
      <c r="H358" s="110">
        <v>195000</v>
      </c>
      <c r="I358" s="110">
        <v>87000</v>
      </c>
      <c r="J358" s="111">
        <f t="shared" si="35"/>
        <v>44.61538461538462</v>
      </c>
      <c r="K358" s="110">
        <v>211217</v>
      </c>
      <c r="L358" s="110">
        <f>H358-204322</f>
        <v>-9322</v>
      </c>
      <c r="M358" s="110">
        <v>6895</v>
      </c>
      <c r="N358" s="112">
        <f t="shared" si="36"/>
        <v>3.5358974358974359E-2</v>
      </c>
      <c r="O358" s="113">
        <v>39.39</v>
      </c>
      <c r="P358" s="114">
        <v>110</v>
      </c>
      <c r="Q358" s="115">
        <v>0.106</v>
      </c>
      <c r="R358" s="115">
        <v>0.106</v>
      </c>
      <c r="S358" s="110">
        <f t="shared" si="37"/>
        <v>-236.65905052043667</v>
      </c>
      <c r="T358" s="110">
        <f t="shared" si="38"/>
        <v>-87943.39622641509</v>
      </c>
      <c r="U358" s="116">
        <f t="shared" si="39"/>
        <v>-2.018902576363983</v>
      </c>
      <c r="V358" s="115">
        <v>42</v>
      </c>
      <c r="W358" s="115">
        <f t="shared" si="40"/>
        <v>39000</v>
      </c>
      <c r="X358" s="115">
        <f t="shared" si="41"/>
        <v>928.57142857142856</v>
      </c>
      <c r="Y358" s="117" t="s">
        <v>763</v>
      </c>
      <c r="Z358" s="108" t="s">
        <v>35</v>
      </c>
      <c r="AA358" s="108" t="s">
        <v>35</v>
      </c>
      <c r="AB358" s="108" t="s">
        <v>764</v>
      </c>
      <c r="AC358" s="108">
        <v>0</v>
      </c>
      <c r="AD358" s="108">
        <v>1</v>
      </c>
      <c r="AE358" s="108" t="s">
        <v>42</v>
      </c>
      <c r="AF358" s="108" t="s">
        <v>43</v>
      </c>
      <c r="AG358" s="108" t="s">
        <v>38</v>
      </c>
      <c r="AH358" s="108" t="s">
        <v>92</v>
      </c>
    </row>
    <row r="359" spans="1:34" x14ac:dyDescent="0.3">
      <c r="A359" s="107" t="s">
        <v>764</v>
      </c>
      <c r="B359" s="108" t="s">
        <v>1209</v>
      </c>
      <c r="C359" s="108" t="s">
        <v>1210</v>
      </c>
      <c r="D359" s="109">
        <v>45408</v>
      </c>
      <c r="E359" s="110">
        <v>205000</v>
      </c>
      <c r="F359" s="108" t="s">
        <v>32</v>
      </c>
      <c r="G359" s="108" t="s">
        <v>33</v>
      </c>
      <c r="H359" s="110">
        <v>205000</v>
      </c>
      <c r="I359" s="110">
        <v>75800</v>
      </c>
      <c r="J359" s="111">
        <f t="shared" si="35"/>
        <v>36.975609756097562</v>
      </c>
      <c r="K359" s="110">
        <v>164438</v>
      </c>
      <c r="L359" s="110">
        <f>H359-156764</f>
        <v>48236</v>
      </c>
      <c r="M359" s="110">
        <v>7674</v>
      </c>
      <c r="N359" s="112">
        <f t="shared" si="36"/>
        <v>3.7434146341463415E-2</v>
      </c>
      <c r="O359" s="113">
        <v>43.85</v>
      </c>
      <c r="P359" s="114">
        <v>130</v>
      </c>
      <c r="Q359" s="115">
        <v>0.128</v>
      </c>
      <c r="R359" s="115">
        <v>0.128</v>
      </c>
      <c r="S359" s="110">
        <f t="shared" si="37"/>
        <v>1100.0228050171038</v>
      </c>
      <c r="T359" s="110">
        <f t="shared" si="38"/>
        <v>376843.75</v>
      </c>
      <c r="U359" s="116">
        <f t="shared" si="39"/>
        <v>8.6511421028466486</v>
      </c>
      <c r="V359" s="115">
        <v>43</v>
      </c>
      <c r="W359" s="115">
        <f t="shared" si="40"/>
        <v>41000</v>
      </c>
      <c r="X359" s="115">
        <f t="shared" si="41"/>
        <v>953.48837209302326</v>
      </c>
      <c r="Y359" s="117" t="s">
        <v>763</v>
      </c>
      <c r="Z359" s="108" t="s">
        <v>35</v>
      </c>
      <c r="AA359" s="108" t="s">
        <v>35</v>
      </c>
      <c r="AB359" s="108" t="s">
        <v>764</v>
      </c>
      <c r="AC359" s="108">
        <v>0</v>
      </c>
      <c r="AD359" s="108">
        <v>1</v>
      </c>
      <c r="AE359" s="108" t="s">
        <v>42</v>
      </c>
      <c r="AF359" s="108" t="s">
        <v>43</v>
      </c>
      <c r="AG359" s="108" t="s">
        <v>38</v>
      </c>
      <c r="AH359" s="108" t="s">
        <v>92</v>
      </c>
    </row>
    <row r="360" spans="1:34" x14ac:dyDescent="0.3">
      <c r="A360" s="118" t="s">
        <v>764</v>
      </c>
      <c r="B360" s="119" t="s">
        <v>1187</v>
      </c>
      <c r="C360" s="119" t="s">
        <v>1188</v>
      </c>
      <c r="D360" s="120">
        <v>45604</v>
      </c>
      <c r="E360" s="121">
        <v>198000</v>
      </c>
      <c r="F360" s="119" t="s">
        <v>32</v>
      </c>
      <c r="G360" s="119" t="s">
        <v>33</v>
      </c>
      <c r="H360" s="121">
        <v>198000</v>
      </c>
      <c r="I360" s="121">
        <v>72400</v>
      </c>
      <c r="J360" s="122">
        <f t="shared" si="35"/>
        <v>36.565656565656568</v>
      </c>
      <c r="K360" s="121">
        <v>158086</v>
      </c>
      <c r="L360" s="121">
        <f>H360-150840</f>
        <v>47160</v>
      </c>
      <c r="M360" s="121">
        <v>7246</v>
      </c>
      <c r="N360" s="123">
        <f t="shared" si="36"/>
        <v>3.6595959595959598E-2</v>
      </c>
      <c r="O360" s="124">
        <v>41.4</v>
      </c>
      <c r="P360" s="125">
        <v>133.94999999999999</v>
      </c>
      <c r="Q360" s="126">
        <v>0.123</v>
      </c>
      <c r="R360" s="126">
        <v>0.123</v>
      </c>
      <c r="S360" s="121">
        <f t="shared" si="37"/>
        <v>1139.1304347826087</v>
      </c>
      <c r="T360" s="121">
        <f t="shared" si="38"/>
        <v>383414.63414634147</v>
      </c>
      <c r="U360" s="127">
        <f t="shared" si="39"/>
        <v>8.8019888463347442</v>
      </c>
      <c r="V360" s="126">
        <v>40</v>
      </c>
      <c r="W360" s="126">
        <f t="shared" si="40"/>
        <v>39600</v>
      </c>
      <c r="X360" s="126">
        <f t="shared" si="41"/>
        <v>990</v>
      </c>
      <c r="Y360" s="128" t="s">
        <v>763</v>
      </c>
      <c r="Z360" s="119" t="s">
        <v>35</v>
      </c>
      <c r="AA360" s="119" t="s">
        <v>35</v>
      </c>
      <c r="AB360" s="119" t="s">
        <v>764</v>
      </c>
      <c r="AC360" s="119">
        <v>0</v>
      </c>
      <c r="AD360" s="119">
        <v>1</v>
      </c>
      <c r="AE360" s="119" t="s">
        <v>42</v>
      </c>
      <c r="AF360" s="119" t="s">
        <v>35</v>
      </c>
      <c r="AG360" s="119" t="s">
        <v>38</v>
      </c>
      <c r="AH360" s="119" t="s">
        <v>92</v>
      </c>
    </row>
    <row r="361" spans="1:34" x14ac:dyDescent="0.3">
      <c r="A361" s="118" t="s">
        <v>764</v>
      </c>
      <c r="B361" s="119" t="s">
        <v>1221</v>
      </c>
      <c r="C361" s="119" t="s">
        <v>1222</v>
      </c>
      <c r="D361" s="120">
        <v>45544</v>
      </c>
      <c r="E361" s="121">
        <v>203000</v>
      </c>
      <c r="F361" s="119" t="s">
        <v>32</v>
      </c>
      <c r="G361" s="119" t="s">
        <v>33</v>
      </c>
      <c r="H361" s="121">
        <v>203000</v>
      </c>
      <c r="I361" s="121">
        <v>71000</v>
      </c>
      <c r="J361" s="122">
        <f t="shared" si="35"/>
        <v>34.975369458128078</v>
      </c>
      <c r="K361" s="121">
        <v>155479</v>
      </c>
      <c r="L361" s="121">
        <f>H361-148405</f>
        <v>54595</v>
      </c>
      <c r="M361" s="121">
        <v>7074</v>
      </c>
      <c r="N361" s="123">
        <f t="shared" si="36"/>
        <v>3.4847290640394088E-2</v>
      </c>
      <c r="O361" s="124">
        <v>40.42</v>
      </c>
      <c r="P361" s="125">
        <v>127.66</v>
      </c>
      <c r="Q361" s="126">
        <v>0.11700000000000001</v>
      </c>
      <c r="R361" s="126">
        <v>0.11700000000000001</v>
      </c>
      <c r="S361" s="121">
        <f t="shared" si="37"/>
        <v>1350.6927263730827</v>
      </c>
      <c r="T361" s="121">
        <f t="shared" si="38"/>
        <v>466623.93162393162</v>
      </c>
      <c r="U361" s="127">
        <f t="shared" si="39"/>
        <v>10.712211469787228</v>
      </c>
      <c r="V361" s="126">
        <v>40</v>
      </c>
      <c r="W361" s="126">
        <f t="shared" si="40"/>
        <v>40600</v>
      </c>
      <c r="X361" s="126">
        <f t="shared" si="41"/>
        <v>1015</v>
      </c>
      <c r="Y361" s="128" t="s">
        <v>763</v>
      </c>
      <c r="Z361" s="119" t="s">
        <v>35</v>
      </c>
      <c r="AA361" s="119" t="s">
        <v>35</v>
      </c>
      <c r="AB361" s="119" t="s">
        <v>764</v>
      </c>
      <c r="AC361" s="119">
        <v>0</v>
      </c>
      <c r="AD361" s="119">
        <v>1</v>
      </c>
      <c r="AE361" s="119" t="s">
        <v>42</v>
      </c>
      <c r="AF361" s="119" t="s">
        <v>43</v>
      </c>
      <c r="AG361" s="119" t="s">
        <v>38</v>
      </c>
      <c r="AH361" s="119" t="s">
        <v>92</v>
      </c>
    </row>
    <row r="362" spans="1:34" x14ac:dyDescent="0.3">
      <c r="A362" s="107" t="s">
        <v>764</v>
      </c>
      <c r="B362" s="108" t="s">
        <v>1211</v>
      </c>
      <c r="C362" s="108" t="s">
        <v>1212</v>
      </c>
      <c r="D362" s="109">
        <v>45210</v>
      </c>
      <c r="E362" s="110">
        <v>180000</v>
      </c>
      <c r="F362" s="108" t="s">
        <v>32</v>
      </c>
      <c r="G362" s="108" t="s">
        <v>33</v>
      </c>
      <c r="H362" s="110">
        <v>180000</v>
      </c>
      <c r="I362" s="110">
        <v>59000</v>
      </c>
      <c r="J362" s="111">
        <f t="shared" si="35"/>
        <v>32.777777777777779</v>
      </c>
      <c r="K362" s="110">
        <v>152219</v>
      </c>
      <c r="L362" s="110">
        <f>H362-145973</f>
        <v>34027</v>
      </c>
      <c r="M362" s="110">
        <v>6246</v>
      </c>
      <c r="N362" s="112">
        <f t="shared" si="36"/>
        <v>3.4700000000000002E-2</v>
      </c>
      <c r="O362" s="113">
        <v>35.69</v>
      </c>
      <c r="P362" s="114">
        <v>130</v>
      </c>
      <c r="Q362" s="115">
        <v>0.104</v>
      </c>
      <c r="R362" s="115">
        <v>0.104</v>
      </c>
      <c r="S362" s="110">
        <f t="shared" si="37"/>
        <v>953.40431493415531</v>
      </c>
      <c r="T362" s="110">
        <f t="shared" si="38"/>
        <v>327182.69230769231</v>
      </c>
      <c r="U362" s="116">
        <f t="shared" si="39"/>
        <v>7.5110810906265453</v>
      </c>
      <c r="V362" s="115">
        <v>35</v>
      </c>
      <c r="W362" s="115">
        <f t="shared" si="40"/>
        <v>36000</v>
      </c>
      <c r="X362" s="115">
        <f t="shared" si="41"/>
        <v>1028.5714285714287</v>
      </c>
      <c r="Y362" s="117" t="s">
        <v>763</v>
      </c>
      <c r="Z362" s="108" t="s">
        <v>35</v>
      </c>
      <c r="AA362" s="108" t="s">
        <v>35</v>
      </c>
      <c r="AB362" s="108" t="s">
        <v>764</v>
      </c>
      <c r="AC362" s="108">
        <v>0</v>
      </c>
      <c r="AD362" s="108">
        <v>1</v>
      </c>
      <c r="AE362" s="108" t="s">
        <v>42</v>
      </c>
      <c r="AF362" s="108" t="s">
        <v>43</v>
      </c>
      <c r="AG362" s="108" t="s">
        <v>38</v>
      </c>
      <c r="AH362" s="108" t="s">
        <v>92</v>
      </c>
    </row>
    <row r="363" spans="1:34" x14ac:dyDescent="0.3">
      <c r="A363" s="118" t="s">
        <v>1016</v>
      </c>
      <c r="B363" s="119" t="s">
        <v>1021</v>
      </c>
      <c r="C363" s="119" t="s">
        <v>1022</v>
      </c>
      <c r="D363" s="120">
        <v>45359</v>
      </c>
      <c r="E363" s="121">
        <v>120000</v>
      </c>
      <c r="F363" s="119" t="s">
        <v>32</v>
      </c>
      <c r="G363" s="119" t="s">
        <v>66</v>
      </c>
      <c r="H363" s="121">
        <v>120000</v>
      </c>
      <c r="I363" s="121">
        <v>59900</v>
      </c>
      <c r="J363" s="122">
        <f t="shared" si="35"/>
        <v>49.916666666666664</v>
      </c>
      <c r="K363" s="121">
        <v>155093</v>
      </c>
      <c r="L363" s="121">
        <f>H363-138820</f>
        <v>-18820</v>
      </c>
      <c r="M363" s="121">
        <v>16273</v>
      </c>
      <c r="N363" s="123">
        <f t="shared" si="36"/>
        <v>0.13560833333333333</v>
      </c>
      <c r="O363" s="124">
        <v>96.86</v>
      </c>
      <c r="P363" s="125">
        <v>278</v>
      </c>
      <c r="Q363" s="126">
        <v>0.28799999999999998</v>
      </c>
      <c r="R363" s="126">
        <v>0.128</v>
      </c>
      <c r="S363" s="121">
        <f t="shared" si="37"/>
        <v>-194.30105306628124</v>
      </c>
      <c r="T363" s="121">
        <f t="shared" si="38"/>
        <v>-65347.222222222226</v>
      </c>
      <c r="U363" s="127">
        <f t="shared" si="39"/>
        <v>-1.5001657994082238</v>
      </c>
      <c r="V363" s="126">
        <v>90</v>
      </c>
      <c r="W363" s="126">
        <f t="shared" si="40"/>
        <v>24000</v>
      </c>
      <c r="X363" s="126">
        <f t="shared" si="41"/>
        <v>266.66666666666669</v>
      </c>
      <c r="Y363" s="128" t="s">
        <v>1015</v>
      </c>
      <c r="Z363" s="119" t="s">
        <v>35</v>
      </c>
      <c r="AA363" s="119" t="s">
        <v>1023</v>
      </c>
      <c r="AB363" s="119" t="s">
        <v>1016</v>
      </c>
      <c r="AC363" s="119">
        <v>0</v>
      </c>
      <c r="AD363" s="119">
        <v>1</v>
      </c>
      <c r="AE363" s="119" t="s">
        <v>37</v>
      </c>
      <c r="AF363" s="119" t="s">
        <v>43</v>
      </c>
      <c r="AG363" s="119" t="s">
        <v>38</v>
      </c>
      <c r="AH363" s="119" t="s">
        <v>92</v>
      </c>
    </row>
    <row r="364" spans="1:34" x14ac:dyDescent="0.3">
      <c r="A364" s="118" t="s">
        <v>1016</v>
      </c>
      <c r="B364" s="119" t="s">
        <v>1019</v>
      </c>
      <c r="C364" s="119" t="s">
        <v>1020</v>
      </c>
      <c r="D364" s="120">
        <v>45464</v>
      </c>
      <c r="E364" s="121">
        <v>215000</v>
      </c>
      <c r="F364" s="119" t="s">
        <v>32</v>
      </c>
      <c r="G364" s="119" t="s">
        <v>33</v>
      </c>
      <c r="H364" s="121">
        <v>215000</v>
      </c>
      <c r="I364" s="121">
        <v>93000</v>
      </c>
      <c r="J364" s="122">
        <f t="shared" si="35"/>
        <v>43.255813953488371</v>
      </c>
      <c r="K364" s="121">
        <v>226671</v>
      </c>
      <c r="L364" s="121">
        <f>H364-204896</f>
        <v>10104</v>
      </c>
      <c r="M364" s="121">
        <v>21775</v>
      </c>
      <c r="N364" s="123">
        <f t="shared" si="36"/>
        <v>0.10127906976744186</v>
      </c>
      <c r="O364" s="124">
        <v>129.61000000000001</v>
      </c>
      <c r="P364" s="125">
        <v>140</v>
      </c>
      <c r="Q364" s="126">
        <v>0.38600000000000001</v>
      </c>
      <c r="R364" s="126">
        <v>0.38600000000000001</v>
      </c>
      <c r="S364" s="121">
        <f t="shared" si="37"/>
        <v>77.956947766376047</v>
      </c>
      <c r="T364" s="121">
        <f t="shared" si="38"/>
        <v>26176.165803108808</v>
      </c>
      <c r="U364" s="127">
        <f t="shared" si="39"/>
        <v>0.60092207996117553</v>
      </c>
      <c r="V364" s="126">
        <v>120</v>
      </c>
      <c r="W364" s="126">
        <f t="shared" si="40"/>
        <v>43000</v>
      </c>
      <c r="X364" s="126">
        <f t="shared" si="41"/>
        <v>358.33333333333331</v>
      </c>
      <c r="Y364" s="128" t="s">
        <v>1015</v>
      </c>
      <c r="Z364" s="119" t="s">
        <v>35</v>
      </c>
      <c r="AA364" s="119" t="s">
        <v>35</v>
      </c>
      <c r="AB364" s="119" t="s">
        <v>1016</v>
      </c>
      <c r="AC364" s="119">
        <v>0</v>
      </c>
      <c r="AD364" s="119">
        <v>1</v>
      </c>
      <c r="AE364" s="119" t="s">
        <v>42</v>
      </c>
      <c r="AF364" s="119" t="s">
        <v>43</v>
      </c>
      <c r="AG364" s="119" t="s">
        <v>38</v>
      </c>
      <c r="AH364" s="119" t="s">
        <v>92</v>
      </c>
    </row>
    <row r="365" spans="1:34" x14ac:dyDescent="0.3">
      <c r="A365" s="107" t="s">
        <v>1016</v>
      </c>
      <c r="B365" s="108" t="s">
        <v>1660</v>
      </c>
      <c r="C365" s="108" t="s">
        <v>1661</v>
      </c>
      <c r="D365" s="109">
        <v>45226</v>
      </c>
      <c r="E365" s="110">
        <v>148000</v>
      </c>
      <c r="F365" s="108" t="s">
        <v>32</v>
      </c>
      <c r="G365" s="108" t="s">
        <v>33</v>
      </c>
      <c r="H365" s="110">
        <v>148000</v>
      </c>
      <c r="I365" s="110">
        <v>59100</v>
      </c>
      <c r="J365" s="111">
        <f t="shared" si="35"/>
        <v>39.932432432432428</v>
      </c>
      <c r="K365" s="110">
        <v>168173</v>
      </c>
      <c r="L365" s="110">
        <f>H365-159327</f>
        <v>-11327</v>
      </c>
      <c r="M365" s="110">
        <v>8846</v>
      </c>
      <c r="N365" s="112">
        <f t="shared" si="36"/>
        <v>5.9770270270270272E-2</v>
      </c>
      <c r="O365" s="113">
        <v>52.65</v>
      </c>
      <c r="P365" s="114">
        <v>108</v>
      </c>
      <c r="Q365" s="115">
        <v>0.13800000000000001</v>
      </c>
      <c r="R365" s="115">
        <v>0.13800000000000001</v>
      </c>
      <c r="S365" s="110">
        <f t="shared" si="37"/>
        <v>-215.13770180436848</v>
      </c>
      <c r="T365" s="110">
        <f t="shared" si="38"/>
        <v>-82079.710144927536</v>
      </c>
      <c r="U365" s="116">
        <f t="shared" si="39"/>
        <v>-1.8842908665043052</v>
      </c>
      <c r="V365" s="115">
        <v>55.5</v>
      </c>
      <c r="W365" s="115">
        <f t="shared" si="40"/>
        <v>29600</v>
      </c>
      <c r="X365" s="115">
        <f t="shared" si="41"/>
        <v>533.33333333333337</v>
      </c>
      <c r="Y365" s="117" t="s">
        <v>1015</v>
      </c>
      <c r="Z365" s="108" t="s">
        <v>35</v>
      </c>
      <c r="AA365" s="108" t="s">
        <v>35</v>
      </c>
      <c r="AB365" s="108" t="s">
        <v>1016</v>
      </c>
      <c r="AC365" s="108">
        <v>0</v>
      </c>
      <c r="AD365" s="108">
        <v>1</v>
      </c>
      <c r="AE365" s="108" t="s">
        <v>37</v>
      </c>
      <c r="AF365" s="108" t="s">
        <v>43</v>
      </c>
      <c r="AG365" s="108" t="s">
        <v>38</v>
      </c>
      <c r="AH365" s="108" t="s">
        <v>92</v>
      </c>
    </row>
    <row r="366" spans="1:34" x14ac:dyDescent="0.3">
      <c r="A366" s="107" t="s">
        <v>1016</v>
      </c>
      <c r="B366" s="108" t="s">
        <v>1024</v>
      </c>
      <c r="C366" s="108" t="s">
        <v>1025</v>
      </c>
      <c r="D366" s="109">
        <v>45149</v>
      </c>
      <c r="E366" s="110">
        <v>107000</v>
      </c>
      <c r="F366" s="108" t="s">
        <v>32</v>
      </c>
      <c r="G366" s="108" t="s">
        <v>33</v>
      </c>
      <c r="H366" s="110">
        <v>107000</v>
      </c>
      <c r="I366" s="110">
        <v>41400</v>
      </c>
      <c r="J366" s="111">
        <f t="shared" si="35"/>
        <v>38.691588785046726</v>
      </c>
      <c r="K366" s="110">
        <v>114675</v>
      </c>
      <c r="L366" s="110">
        <f>H366-107443</f>
        <v>-443</v>
      </c>
      <c r="M366" s="110">
        <v>7232</v>
      </c>
      <c r="N366" s="112">
        <f t="shared" si="36"/>
        <v>6.7588785046728966E-2</v>
      </c>
      <c r="O366" s="113">
        <v>43.05</v>
      </c>
      <c r="P366" s="114">
        <v>139</v>
      </c>
      <c r="Q366" s="115">
        <v>0.128</v>
      </c>
      <c r="R366" s="115">
        <v>0.128</v>
      </c>
      <c r="S366" s="110">
        <f t="shared" si="37"/>
        <v>-10.290360046457607</v>
      </c>
      <c r="T366" s="110">
        <f t="shared" si="38"/>
        <v>-3460.9375</v>
      </c>
      <c r="U366" s="116">
        <f t="shared" si="39"/>
        <v>-7.9452192378328748E-2</v>
      </c>
      <c r="V366" s="115">
        <v>40</v>
      </c>
      <c r="W366" s="115">
        <f t="shared" si="40"/>
        <v>21400</v>
      </c>
      <c r="X366" s="115">
        <f t="shared" si="41"/>
        <v>535</v>
      </c>
      <c r="Y366" s="117" t="s">
        <v>1015</v>
      </c>
      <c r="Z366" s="108" t="s">
        <v>35</v>
      </c>
      <c r="AA366" s="108" t="s">
        <v>35</v>
      </c>
      <c r="AB366" s="108" t="s">
        <v>1016</v>
      </c>
      <c r="AC366" s="108">
        <v>0</v>
      </c>
      <c r="AD366" s="108">
        <v>1</v>
      </c>
      <c r="AE366" s="108" t="s">
        <v>42</v>
      </c>
      <c r="AF366" s="108" t="s">
        <v>43</v>
      </c>
      <c r="AG366" s="108" t="s">
        <v>38</v>
      </c>
      <c r="AH366" s="108" t="s">
        <v>92</v>
      </c>
    </row>
    <row r="367" spans="1:34" x14ac:dyDescent="0.3">
      <c r="A367" s="107" t="s">
        <v>1016</v>
      </c>
      <c r="B367" s="108" t="s">
        <v>1652</v>
      </c>
      <c r="C367" s="108" t="s">
        <v>1653</v>
      </c>
      <c r="D367" s="109">
        <v>45376</v>
      </c>
      <c r="E367" s="110">
        <v>135000</v>
      </c>
      <c r="F367" s="108" t="s">
        <v>32</v>
      </c>
      <c r="G367" s="108" t="s">
        <v>33</v>
      </c>
      <c r="H367" s="110">
        <v>135000</v>
      </c>
      <c r="I367" s="110">
        <v>58800</v>
      </c>
      <c r="J367" s="111">
        <f t="shared" si="35"/>
        <v>43.55555555555555</v>
      </c>
      <c r="K367" s="110">
        <v>163364</v>
      </c>
      <c r="L367" s="110">
        <f>H367-155395</f>
        <v>-20395</v>
      </c>
      <c r="M367" s="110">
        <v>7969</v>
      </c>
      <c r="N367" s="112">
        <f t="shared" si="36"/>
        <v>5.9029629629629626E-2</v>
      </c>
      <c r="O367" s="113">
        <v>47.43</v>
      </c>
      <c r="P367" s="114">
        <v>108</v>
      </c>
      <c r="Q367" s="115">
        <v>0.124</v>
      </c>
      <c r="R367" s="115">
        <v>0.124</v>
      </c>
      <c r="S367" s="110">
        <f t="shared" si="37"/>
        <v>-430.00210837022979</v>
      </c>
      <c r="T367" s="110">
        <f t="shared" si="38"/>
        <v>-164475.80645161291</v>
      </c>
      <c r="U367" s="116">
        <f t="shared" si="39"/>
        <v>-3.7758449598625554</v>
      </c>
      <c r="V367" s="115">
        <v>50</v>
      </c>
      <c r="W367" s="115">
        <f t="shared" si="40"/>
        <v>27000</v>
      </c>
      <c r="X367" s="115">
        <f t="shared" si="41"/>
        <v>540</v>
      </c>
      <c r="Y367" s="117" t="s">
        <v>1015</v>
      </c>
      <c r="Z367" s="108" t="s">
        <v>35</v>
      </c>
      <c r="AA367" s="108" t="s">
        <v>35</v>
      </c>
      <c r="AB367" s="108" t="s">
        <v>1016</v>
      </c>
      <c r="AC367" s="108">
        <v>0</v>
      </c>
      <c r="AD367" s="108">
        <v>1</v>
      </c>
      <c r="AE367" s="108" t="s">
        <v>42</v>
      </c>
      <c r="AF367" s="108" t="s">
        <v>43</v>
      </c>
      <c r="AG367" s="108" t="s">
        <v>38</v>
      </c>
      <c r="AH367" s="108" t="s">
        <v>92</v>
      </c>
    </row>
    <row r="368" spans="1:34" x14ac:dyDescent="0.3">
      <c r="A368" s="107" t="s">
        <v>1016</v>
      </c>
      <c r="B368" s="108" t="s">
        <v>1017</v>
      </c>
      <c r="C368" s="108" t="s">
        <v>1018</v>
      </c>
      <c r="D368" s="109">
        <v>45602</v>
      </c>
      <c r="E368" s="110">
        <v>143000</v>
      </c>
      <c r="F368" s="108" t="s">
        <v>32</v>
      </c>
      <c r="G368" s="108" t="s">
        <v>33</v>
      </c>
      <c r="H368" s="110">
        <v>143000</v>
      </c>
      <c r="I368" s="110">
        <v>62100</v>
      </c>
      <c r="J368" s="111">
        <f t="shared" si="35"/>
        <v>43.426573426573427</v>
      </c>
      <c r="K368" s="110">
        <v>145520</v>
      </c>
      <c r="L368" s="110">
        <f>H368-137120</f>
        <v>5880</v>
      </c>
      <c r="M368" s="110">
        <v>8400</v>
      </c>
      <c r="N368" s="112">
        <f t="shared" si="36"/>
        <v>5.8741258741258739E-2</v>
      </c>
      <c r="O368" s="113">
        <v>50</v>
      </c>
      <c r="P368" s="114">
        <v>120</v>
      </c>
      <c r="Q368" s="115">
        <v>0.13800000000000001</v>
      </c>
      <c r="R368" s="115">
        <v>0.13800000000000001</v>
      </c>
      <c r="S368" s="110">
        <f t="shared" si="37"/>
        <v>117.6</v>
      </c>
      <c r="T368" s="110">
        <f t="shared" si="38"/>
        <v>42608.695652173912</v>
      </c>
      <c r="U368" s="116">
        <f t="shared" si="39"/>
        <v>0.97816105721244062</v>
      </c>
      <c r="V368" s="115">
        <v>50</v>
      </c>
      <c r="W368" s="115">
        <f t="shared" si="40"/>
        <v>28600</v>
      </c>
      <c r="X368" s="115">
        <f t="shared" si="41"/>
        <v>572</v>
      </c>
      <c r="Y368" s="117" t="s">
        <v>1015</v>
      </c>
      <c r="Z368" s="108" t="s">
        <v>35</v>
      </c>
      <c r="AA368" s="108" t="s">
        <v>35</v>
      </c>
      <c r="AB368" s="108" t="s">
        <v>1016</v>
      </c>
      <c r="AC368" s="108">
        <v>0</v>
      </c>
      <c r="AD368" s="108">
        <v>1</v>
      </c>
      <c r="AE368" s="108" t="s">
        <v>37</v>
      </c>
      <c r="AF368" s="108" t="s">
        <v>35</v>
      </c>
      <c r="AG368" s="108" t="s">
        <v>38</v>
      </c>
      <c r="AH368" s="108" t="s">
        <v>92</v>
      </c>
    </row>
    <row r="369" spans="1:34" x14ac:dyDescent="0.3">
      <c r="A369" s="107" t="s">
        <v>1016</v>
      </c>
      <c r="B369" s="108" t="s">
        <v>1017</v>
      </c>
      <c r="C369" s="108" t="s">
        <v>1018</v>
      </c>
      <c r="D369" s="109">
        <v>45743</v>
      </c>
      <c r="E369" s="110">
        <v>156000</v>
      </c>
      <c r="F369" s="108" t="s">
        <v>32</v>
      </c>
      <c r="G369" s="108" t="s">
        <v>33</v>
      </c>
      <c r="H369" s="110">
        <v>156000</v>
      </c>
      <c r="I369" s="110">
        <v>62100</v>
      </c>
      <c r="J369" s="111">
        <f t="shared" si="35"/>
        <v>39.807692307692307</v>
      </c>
      <c r="K369" s="110">
        <v>145520</v>
      </c>
      <c r="L369" s="110">
        <f>H369-137120</f>
        <v>18880</v>
      </c>
      <c r="M369" s="110">
        <v>8400</v>
      </c>
      <c r="N369" s="112">
        <f t="shared" si="36"/>
        <v>5.3846153846153849E-2</v>
      </c>
      <c r="O369" s="113">
        <v>50</v>
      </c>
      <c r="P369" s="114">
        <v>120</v>
      </c>
      <c r="Q369" s="115">
        <v>0.13800000000000001</v>
      </c>
      <c r="R369" s="115">
        <v>0.13800000000000001</v>
      </c>
      <c r="S369" s="110">
        <f t="shared" si="37"/>
        <v>377.6</v>
      </c>
      <c r="T369" s="110">
        <f t="shared" si="38"/>
        <v>136811.59420289853</v>
      </c>
      <c r="U369" s="116">
        <f t="shared" si="39"/>
        <v>3.1407620340426661</v>
      </c>
      <c r="V369" s="115">
        <v>50</v>
      </c>
      <c r="W369" s="115">
        <f t="shared" si="40"/>
        <v>31200</v>
      </c>
      <c r="X369" s="115">
        <f t="shared" si="41"/>
        <v>624</v>
      </c>
      <c r="Y369" s="117" t="s">
        <v>1015</v>
      </c>
      <c r="Z369" s="108" t="s">
        <v>35</v>
      </c>
      <c r="AA369" s="108" t="s">
        <v>35</v>
      </c>
      <c r="AB369" s="108" t="s">
        <v>1016</v>
      </c>
      <c r="AC369" s="108">
        <v>0</v>
      </c>
      <c r="AD369" s="108">
        <v>1</v>
      </c>
      <c r="AE369" s="108" t="s">
        <v>37</v>
      </c>
      <c r="AF369" s="108" t="s">
        <v>35</v>
      </c>
      <c r="AG369" s="108" t="s">
        <v>38</v>
      </c>
      <c r="AH369" s="108" t="s">
        <v>92</v>
      </c>
    </row>
    <row r="370" spans="1:34" x14ac:dyDescent="0.3">
      <c r="A370" s="118" t="s">
        <v>1016</v>
      </c>
      <c r="B370" s="119" t="s">
        <v>1656</v>
      </c>
      <c r="C370" s="119" t="s">
        <v>1657</v>
      </c>
      <c r="D370" s="120">
        <v>45121</v>
      </c>
      <c r="E370" s="121">
        <v>157000</v>
      </c>
      <c r="F370" s="119" t="s">
        <v>32</v>
      </c>
      <c r="G370" s="119" t="s">
        <v>33</v>
      </c>
      <c r="H370" s="121">
        <v>157000</v>
      </c>
      <c r="I370" s="121">
        <v>58500</v>
      </c>
      <c r="J370" s="122">
        <f t="shared" si="35"/>
        <v>37.261146496815286</v>
      </c>
      <c r="K370" s="121">
        <v>162667</v>
      </c>
      <c r="L370" s="121">
        <f>H370-154698</f>
        <v>2302</v>
      </c>
      <c r="M370" s="121">
        <v>7969</v>
      </c>
      <c r="N370" s="123">
        <f t="shared" si="36"/>
        <v>5.0757961783439491E-2</v>
      </c>
      <c r="O370" s="124">
        <v>47.43</v>
      </c>
      <c r="P370" s="125">
        <v>108</v>
      </c>
      <c r="Q370" s="126">
        <v>0.124</v>
      </c>
      <c r="R370" s="126">
        <v>0.124</v>
      </c>
      <c r="S370" s="121">
        <f t="shared" si="37"/>
        <v>48.534682690280412</v>
      </c>
      <c r="T370" s="121">
        <f t="shared" si="38"/>
        <v>18564.516129032258</v>
      </c>
      <c r="U370" s="127">
        <f t="shared" si="39"/>
        <v>0.42618264759027219</v>
      </c>
      <c r="V370" s="126">
        <v>50</v>
      </c>
      <c r="W370" s="126">
        <f t="shared" si="40"/>
        <v>31400</v>
      </c>
      <c r="X370" s="126">
        <f t="shared" si="41"/>
        <v>628</v>
      </c>
      <c r="Y370" s="128" t="s">
        <v>1015</v>
      </c>
      <c r="Z370" s="119" t="s">
        <v>35</v>
      </c>
      <c r="AA370" s="119" t="s">
        <v>35</v>
      </c>
      <c r="AB370" s="119" t="s">
        <v>1016</v>
      </c>
      <c r="AC370" s="119">
        <v>0</v>
      </c>
      <c r="AD370" s="119">
        <v>1</v>
      </c>
      <c r="AE370" s="119" t="s">
        <v>37</v>
      </c>
      <c r="AF370" s="119" t="s">
        <v>43</v>
      </c>
      <c r="AG370" s="119" t="s">
        <v>38</v>
      </c>
      <c r="AH370" s="119" t="s">
        <v>92</v>
      </c>
    </row>
    <row r="371" spans="1:34" x14ac:dyDescent="0.3">
      <c r="A371" s="118" t="s">
        <v>1016</v>
      </c>
      <c r="B371" s="119" t="s">
        <v>1658</v>
      </c>
      <c r="C371" s="119" t="s">
        <v>1659</v>
      </c>
      <c r="D371" s="120">
        <v>45182</v>
      </c>
      <c r="E371" s="121">
        <v>162000</v>
      </c>
      <c r="F371" s="119" t="s">
        <v>32</v>
      </c>
      <c r="G371" s="119" t="s">
        <v>33</v>
      </c>
      <c r="H371" s="121">
        <v>162000</v>
      </c>
      <c r="I371" s="121">
        <v>63300</v>
      </c>
      <c r="J371" s="122">
        <f t="shared" si="35"/>
        <v>39.074074074074069</v>
      </c>
      <c r="K371" s="121">
        <v>175627</v>
      </c>
      <c r="L371" s="121">
        <f>H371-167658</f>
        <v>-5658</v>
      </c>
      <c r="M371" s="121">
        <v>7969</v>
      </c>
      <c r="N371" s="123">
        <f t="shared" si="36"/>
        <v>4.9191358024691358E-2</v>
      </c>
      <c r="O371" s="124">
        <v>47.43</v>
      </c>
      <c r="P371" s="125">
        <v>108</v>
      </c>
      <c r="Q371" s="126">
        <v>0.124</v>
      </c>
      <c r="R371" s="126">
        <v>0.124</v>
      </c>
      <c r="S371" s="121">
        <f t="shared" si="37"/>
        <v>-119.29158760278305</v>
      </c>
      <c r="T371" s="121">
        <f t="shared" si="38"/>
        <v>-45629.032258064515</v>
      </c>
      <c r="U371" s="127">
        <f t="shared" si="39"/>
        <v>-1.0474984448591487</v>
      </c>
      <c r="V371" s="126">
        <v>50</v>
      </c>
      <c r="W371" s="126">
        <f t="shared" si="40"/>
        <v>32400</v>
      </c>
      <c r="X371" s="126">
        <f t="shared" si="41"/>
        <v>648</v>
      </c>
      <c r="Y371" s="128" t="s">
        <v>1015</v>
      </c>
      <c r="Z371" s="119" t="s">
        <v>35</v>
      </c>
      <c r="AA371" s="119" t="s">
        <v>35</v>
      </c>
      <c r="AB371" s="119" t="s">
        <v>1016</v>
      </c>
      <c r="AC371" s="119">
        <v>0</v>
      </c>
      <c r="AD371" s="119">
        <v>1</v>
      </c>
      <c r="AE371" s="119" t="s">
        <v>412</v>
      </c>
      <c r="AF371" s="119" t="s">
        <v>43</v>
      </c>
      <c r="AG371" s="119" t="s">
        <v>38</v>
      </c>
      <c r="AH371" s="119" t="s">
        <v>92</v>
      </c>
    </row>
    <row r="372" spans="1:34" x14ac:dyDescent="0.3">
      <c r="A372" s="107" t="s">
        <v>1016</v>
      </c>
      <c r="B372" s="108" t="s">
        <v>1654</v>
      </c>
      <c r="C372" s="108" t="s">
        <v>1655</v>
      </c>
      <c r="D372" s="109">
        <v>45373</v>
      </c>
      <c r="E372" s="110">
        <v>165000</v>
      </c>
      <c r="F372" s="108" t="s">
        <v>32</v>
      </c>
      <c r="G372" s="108" t="s">
        <v>33</v>
      </c>
      <c r="H372" s="110">
        <v>165000</v>
      </c>
      <c r="I372" s="110">
        <v>58100</v>
      </c>
      <c r="J372" s="111">
        <f t="shared" si="35"/>
        <v>35.212121212121211</v>
      </c>
      <c r="K372" s="110">
        <v>161598</v>
      </c>
      <c r="L372" s="110">
        <f>H372-153629</f>
        <v>11371</v>
      </c>
      <c r="M372" s="110">
        <v>7969</v>
      </c>
      <c r="N372" s="112">
        <f t="shared" si="36"/>
        <v>4.8296969696969699E-2</v>
      </c>
      <c r="O372" s="113">
        <v>47.43</v>
      </c>
      <c r="P372" s="114">
        <v>108</v>
      </c>
      <c r="Q372" s="115">
        <v>0.124</v>
      </c>
      <c r="R372" s="115">
        <v>0.124</v>
      </c>
      <c r="S372" s="110">
        <f t="shared" si="37"/>
        <v>239.74277883196288</v>
      </c>
      <c r="T372" s="110">
        <f t="shared" si="38"/>
        <v>91701.612903225803</v>
      </c>
      <c r="U372" s="116">
        <f t="shared" si="39"/>
        <v>2.1051793595781865</v>
      </c>
      <c r="V372" s="115">
        <v>50</v>
      </c>
      <c r="W372" s="115">
        <f t="shared" si="40"/>
        <v>33000</v>
      </c>
      <c r="X372" s="115">
        <f t="shared" si="41"/>
        <v>660</v>
      </c>
      <c r="Y372" s="117" t="s">
        <v>1015</v>
      </c>
      <c r="Z372" s="108" t="s">
        <v>35</v>
      </c>
      <c r="AA372" s="108" t="s">
        <v>35</v>
      </c>
      <c r="AB372" s="108" t="s">
        <v>1016</v>
      </c>
      <c r="AC372" s="108">
        <v>0</v>
      </c>
      <c r="AD372" s="108">
        <v>1</v>
      </c>
      <c r="AE372" s="108" t="s">
        <v>37</v>
      </c>
      <c r="AF372" s="108" t="s">
        <v>43</v>
      </c>
      <c r="AG372" s="108" t="s">
        <v>38</v>
      </c>
      <c r="AH372" s="108" t="s">
        <v>92</v>
      </c>
    </row>
    <row r="373" spans="1:34" x14ac:dyDescent="0.3">
      <c r="A373" s="118" t="s">
        <v>1016</v>
      </c>
      <c r="B373" s="119" t="s">
        <v>1650</v>
      </c>
      <c r="C373" s="119" t="s">
        <v>1651</v>
      </c>
      <c r="D373" s="120">
        <v>45380</v>
      </c>
      <c r="E373" s="121">
        <v>169000</v>
      </c>
      <c r="F373" s="119" t="s">
        <v>32</v>
      </c>
      <c r="G373" s="119" t="s">
        <v>33</v>
      </c>
      <c r="H373" s="121">
        <v>169000</v>
      </c>
      <c r="I373" s="121">
        <v>52000</v>
      </c>
      <c r="J373" s="122">
        <f t="shared" si="35"/>
        <v>30.76923076923077</v>
      </c>
      <c r="K373" s="121">
        <v>145925</v>
      </c>
      <c r="L373" s="121">
        <f>H373-137956</f>
        <v>31044</v>
      </c>
      <c r="M373" s="121">
        <v>7969</v>
      </c>
      <c r="N373" s="123">
        <f t="shared" si="36"/>
        <v>4.7153846153846157E-2</v>
      </c>
      <c r="O373" s="124">
        <v>47.43</v>
      </c>
      <c r="P373" s="125">
        <v>108</v>
      </c>
      <c r="Q373" s="126">
        <v>0.124</v>
      </c>
      <c r="R373" s="126">
        <v>0.124</v>
      </c>
      <c r="S373" s="121">
        <f t="shared" si="37"/>
        <v>654.52245414294748</v>
      </c>
      <c r="T373" s="121">
        <f t="shared" si="38"/>
        <v>250354.83870967742</v>
      </c>
      <c r="U373" s="127">
        <f t="shared" si="39"/>
        <v>5.747356260552742</v>
      </c>
      <c r="V373" s="126">
        <v>50</v>
      </c>
      <c r="W373" s="126">
        <f t="shared" si="40"/>
        <v>33800</v>
      </c>
      <c r="X373" s="126">
        <f t="shared" si="41"/>
        <v>676</v>
      </c>
      <c r="Y373" s="128" t="s">
        <v>1015</v>
      </c>
      <c r="Z373" s="119" t="s">
        <v>35</v>
      </c>
      <c r="AA373" s="119" t="s">
        <v>35</v>
      </c>
      <c r="AB373" s="119" t="s">
        <v>1016</v>
      </c>
      <c r="AC373" s="119">
        <v>0</v>
      </c>
      <c r="AD373" s="119">
        <v>1</v>
      </c>
      <c r="AE373" s="119" t="s">
        <v>37</v>
      </c>
      <c r="AF373" s="119" t="s">
        <v>43</v>
      </c>
      <c r="AG373" s="119" t="s">
        <v>38</v>
      </c>
      <c r="AH373" s="119" t="s">
        <v>92</v>
      </c>
    </row>
    <row r="374" spans="1:34" x14ac:dyDescent="0.3">
      <c r="A374" s="118" t="s">
        <v>1016</v>
      </c>
      <c r="B374" s="119" t="s">
        <v>1013</v>
      </c>
      <c r="C374" s="119" t="s">
        <v>1014</v>
      </c>
      <c r="D374" s="120">
        <v>45471</v>
      </c>
      <c r="E374" s="121">
        <v>150000</v>
      </c>
      <c r="F374" s="119" t="s">
        <v>32</v>
      </c>
      <c r="G374" s="119" t="s">
        <v>33</v>
      </c>
      <c r="H374" s="121">
        <v>150000</v>
      </c>
      <c r="I374" s="121">
        <v>64700</v>
      </c>
      <c r="J374" s="122">
        <f t="shared" si="35"/>
        <v>43.133333333333333</v>
      </c>
      <c r="K374" s="121">
        <v>150945</v>
      </c>
      <c r="L374" s="121">
        <f>H374-144225</f>
        <v>5775</v>
      </c>
      <c r="M374" s="121">
        <v>6720</v>
      </c>
      <c r="N374" s="123">
        <f t="shared" si="36"/>
        <v>4.48E-2</v>
      </c>
      <c r="O374" s="124">
        <v>40</v>
      </c>
      <c r="P374" s="125">
        <v>120</v>
      </c>
      <c r="Q374" s="126">
        <v>0.11</v>
      </c>
      <c r="R374" s="126">
        <v>0.11</v>
      </c>
      <c r="S374" s="121">
        <f t="shared" si="37"/>
        <v>144.375</v>
      </c>
      <c r="T374" s="121">
        <f t="shared" si="38"/>
        <v>52500</v>
      </c>
      <c r="U374" s="127">
        <f t="shared" si="39"/>
        <v>1.2052341597796143</v>
      </c>
      <c r="V374" s="126">
        <v>40</v>
      </c>
      <c r="W374" s="126">
        <f t="shared" si="40"/>
        <v>30000</v>
      </c>
      <c r="X374" s="126">
        <f t="shared" si="41"/>
        <v>750</v>
      </c>
      <c r="Y374" s="128" t="s">
        <v>1015</v>
      </c>
      <c r="Z374" s="119" t="s">
        <v>35</v>
      </c>
      <c r="AA374" s="119" t="s">
        <v>35</v>
      </c>
      <c r="AB374" s="119" t="s">
        <v>1016</v>
      </c>
      <c r="AC374" s="119">
        <v>0</v>
      </c>
      <c r="AD374" s="119">
        <v>1</v>
      </c>
      <c r="AE374" s="119" t="s">
        <v>42</v>
      </c>
      <c r="AF374" s="119" t="s">
        <v>43</v>
      </c>
      <c r="AG374" s="119" t="s">
        <v>38</v>
      </c>
      <c r="AH374" s="119" t="s">
        <v>92</v>
      </c>
    </row>
    <row r="375" spans="1:34" x14ac:dyDescent="0.3">
      <c r="A375" s="107" t="s">
        <v>864</v>
      </c>
      <c r="B375" s="108" t="s">
        <v>898</v>
      </c>
      <c r="C375" s="108" t="s">
        <v>899</v>
      </c>
      <c r="D375" s="109">
        <v>45481</v>
      </c>
      <c r="E375" s="110">
        <v>40000</v>
      </c>
      <c r="F375" s="108" t="s">
        <v>32</v>
      </c>
      <c r="G375" s="108" t="s">
        <v>33</v>
      </c>
      <c r="H375" s="110">
        <v>40000</v>
      </c>
      <c r="I375" s="110">
        <v>61400</v>
      </c>
      <c r="J375" s="111">
        <f t="shared" si="35"/>
        <v>153.5</v>
      </c>
      <c r="K375" s="110">
        <v>149615</v>
      </c>
      <c r="L375" s="110">
        <f>H375-135488</f>
        <v>-95488</v>
      </c>
      <c r="M375" s="110">
        <v>14127</v>
      </c>
      <c r="N375" s="112">
        <f t="shared" si="36"/>
        <v>0.35317500000000002</v>
      </c>
      <c r="O375" s="113">
        <v>92.33</v>
      </c>
      <c r="P375" s="114">
        <v>109.98</v>
      </c>
      <c r="Q375" s="115">
        <v>0.252</v>
      </c>
      <c r="R375" s="115">
        <v>0.252</v>
      </c>
      <c r="S375" s="110">
        <f t="shared" si="37"/>
        <v>-1034.2034008447959</v>
      </c>
      <c r="T375" s="110">
        <f t="shared" si="38"/>
        <v>-378920.63492063491</v>
      </c>
      <c r="U375" s="116">
        <f t="shared" si="39"/>
        <v>-8.6988208200329407</v>
      </c>
      <c r="V375" s="115">
        <v>100</v>
      </c>
      <c r="W375" s="115">
        <f t="shared" si="40"/>
        <v>8000</v>
      </c>
      <c r="X375" s="115">
        <f t="shared" si="41"/>
        <v>80</v>
      </c>
      <c r="Y375" s="117" t="s">
        <v>863</v>
      </c>
      <c r="Z375" s="108" t="s">
        <v>35</v>
      </c>
      <c r="AA375" s="108" t="s">
        <v>35</v>
      </c>
      <c r="AB375" s="108" t="s">
        <v>864</v>
      </c>
      <c r="AC375" s="108">
        <v>0</v>
      </c>
      <c r="AD375" s="108">
        <v>1</v>
      </c>
      <c r="AE375" s="108" t="s">
        <v>42</v>
      </c>
      <c r="AF375" s="108" t="s">
        <v>43</v>
      </c>
      <c r="AG375" s="108" t="s">
        <v>38</v>
      </c>
      <c r="AH375" s="108" t="s">
        <v>92</v>
      </c>
    </row>
    <row r="376" spans="1:34" x14ac:dyDescent="0.3">
      <c r="A376" s="107" t="s">
        <v>864</v>
      </c>
      <c r="B376" s="108" t="s">
        <v>933</v>
      </c>
      <c r="C376" s="108" t="s">
        <v>934</v>
      </c>
      <c r="D376" s="109">
        <v>45513</v>
      </c>
      <c r="E376" s="110">
        <v>55000</v>
      </c>
      <c r="F376" s="108" t="s">
        <v>32</v>
      </c>
      <c r="G376" s="108" t="s">
        <v>33</v>
      </c>
      <c r="H376" s="110">
        <v>55000</v>
      </c>
      <c r="I376" s="110">
        <v>47900</v>
      </c>
      <c r="J376" s="111">
        <f t="shared" si="35"/>
        <v>87.090909090909079</v>
      </c>
      <c r="K376" s="110">
        <v>117209</v>
      </c>
      <c r="L376" s="110">
        <f>H376-111558</f>
        <v>-56558</v>
      </c>
      <c r="M376" s="110">
        <v>5651</v>
      </c>
      <c r="N376" s="112">
        <f t="shared" si="36"/>
        <v>0.10274545454545454</v>
      </c>
      <c r="O376" s="113">
        <v>36.93</v>
      </c>
      <c r="P376" s="114">
        <v>110</v>
      </c>
      <c r="Q376" s="115">
        <v>0.10100000000000001</v>
      </c>
      <c r="R376" s="115">
        <v>0.10100000000000001</v>
      </c>
      <c r="S376" s="110">
        <f t="shared" si="37"/>
        <v>-1531.4920119144326</v>
      </c>
      <c r="T376" s="110">
        <f t="shared" si="38"/>
        <v>-559980.19801980199</v>
      </c>
      <c r="U376" s="116">
        <f t="shared" si="39"/>
        <v>-12.855376446735583</v>
      </c>
      <c r="V376" s="115">
        <v>40</v>
      </c>
      <c r="W376" s="115">
        <f t="shared" si="40"/>
        <v>11000</v>
      </c>
      <c r="X376" s="115">
        <f t="shared" si="41"/>
        <v>275</v>
      </c>
      <c r="Y376" s="117" t="s">
        <v>863</v>
      </c>
      <c r="Z376" s="108" t="s">
        <v>35</v>
      </c>
      <c r="AA376" s="108" t="s">
        <v>35</v>
      </c>
      <c r="AB376" s="108" t="s">
        <v>864</v>
      </c>
      <c r="AC376" s="108">
        <v>0</v>
      </c>
      <c r="AD376" s="108">
        <v>1</v>
      </c>
      <c r="AE376" s="108" t="s">
        <v>42</v>
      </c>
      <c r="AF376" s="108" t="s">
        <v>43</v>
      </c>
      <c r="AG376" s="108" t="s">
        <v>38</v>
      </c>
      <c r="AH376" s="108" t="s">
        <v>92</v>
      </c>
    </row>
    <row r="377" spans="1:34" x14ac:dyDescent="0.3">
      <c r="A377" s="118" t="s">
        <v>864</v>
      </c>
      <c r="B377" s="119" t="s">
        <v>867</v>
      </c>
      <c r="C377" s="119" t="s">
        <v>868</v>
      </c>
      <c r="D377" s="120">
        <v>45519</v>
      </c>
      <c r="E377" s="121">
        <v>128000</v>
      </c>
      <c r="F377" s="119" t="s">
        <v>32</v>
      </c>
      <c r="G377" s="119" t="s">
        <v>33</v>
      </c>
      <c r="H377" s="121">
        <v>128000</v>
      </c>
      <c r="I377" s="121">
        <v>84000</v>
      </c>
      <c r="J377" s="122">
        <f t="shared" si="35"/>
        <v>65.625</v>
      </c>
      <c r="K377" s="121">
        <v>167520</v>
      </c>
      <c r="L377" s="121">
        <f>H377-154860</f>
        <v>-26860</v>
      </c>
      <c r="M377" s="121">
        <v>12660</v>
      </c>
      <c r="N377" s="123">
        <f t="shared" si="36"/>
        <v>9.8906250000000001E-2</v>
      </c>
      <c r="O377" s="124">
        <v>82.74</v>
      </c>
      <c r="P377" s="125">
        <v>138</v>
      </c>
      <c r="Q377" s="126">
        <v>0.253</v>
      </c>
      <c r="R377" s="126">
        <v>0.253</v>
      </c>
      <c r="S377" s="121">
        <f t="shared" si="37"/>
        <v>-324.63137539279671</v>
      </c>
      <c r="T377" s="121">
        <f t="shared" si="38"/>
        <v>-106166.00790513834</v>
      </c>
      <c r="U377" s="127">
        <f t="shared" si="39"/>
        <v>-2.4372361778039102</v>
      </c>
      <c r="V377" s="126">
        <v>80</v>
      </c>
      <c r="W377" s="126">
        <f t="shared" si="40"/>
        <v>25600</v>
      </c>
      <c r="X377" s="126">
        <f t="shared" si="41"/>
        <v>320</v>
      </c>
      <c r="Y377" s="128" t="s">
        <v>863</v>
      </c>
      <c r="Z377" s="119" t="s">
        <v>35</v>
      </c>
      <c r="AA377" s="119" t="s">
        <v>35</v>
      </c>
      <c r="AB377" s="119" t="s">
        <v>864</v>
      </c>
      <c r="AC377" s="119">
        <v>0</v>
      </c>
      <c r="AD377" s="119">
        <v>1</v>
      </c>
      <c r="AE377" s="119" t="s">
        <v>42</v>
      </c>
      <c r="AF377" s="119" t="s">
        <v>43</v>
      </c>
      <c r="AG377" s="119" t="s">
        <v>38</v>
      </c>
      <c r="AH377" s="119" t="s">
        <v>92</v>
      </c>
    </row>
    <row r="378" spans="1:34" x14ac:dyDescent="0.3">
      <c r="A378" s="118" t="s">
        <v>864</v>
      </c>
      <c r="B378" s="119" t="s">
        <v>898</v>
      </c>
      <c r="C378" s="119" t="s">
        <v>899</v>
      </c>
      <c r="D378" s="120">
        <v>45565</v>
      </c>
      <c r="E378" s="121">
        <v>189900</v>
      </c>
      <c r="F378" s="119" t="s">
        <v>32</v>
      </c>
      <c r="G378" s="119" t="s">
        <v>33</v>
      </c>
      <c r="H378" s="121">
        <v>189900</v>
      </c>
      <c r="I378" s="121">
        <v>61400</v>
      </c>
      <c r="J378" s="122">
        <f t="shared" si="35"/>
        <v>32.332806740389678</v>
      </c>
      <c r="K378" s="121">
        <v>149615</v>
      </c>
      <c r="L378" s="121">
        <f>H378-135488</f>
        <v>54412</v>
      </c>
      <c r="M378" s="121">
        <v>14127</v>
      </c>
      <c r="N378" s="123">
        <f t="shared" si="36"/>
        <v>7.4391785150078993E-2</v>
      </c>
      <c r="O378" s="124">
        <v>92.33</v>
      </c>
      <c r="P378" s="125">
        <v>109.98</v>
      </c>
      <c r="Q378" s="126">
        <v>0.252</v>
      </c>
      <c r="R378" s="126">
        <v>0.252</v>
      </c>
      <c r="S378" s="121">
        <f t="shared" si="37"/>
        <v>589.32091411242288</v>
      </c>
      <c r="T378" s="121">
        <f t="shared" si="38"/>
        <v>215920.63492063491</v>
      </c>
      <c r="U378" s="127">
        <f t="shared" si="39"/>
        <v>4.9568557144314722</v>
      </c>
      <c r="V378" s="126">
        <v>100</v>
      </c>
      <c r="W378" s="126">
        <f t="shared" si="40"/>
        <v>37980</v>
      </c>
      <c r="X378" s="126">
        <f t="shared" si="41"/>
        <v>379.8</v>
      </c>
      <c r="Y378" s="128" t="s">
        <v>863</v>
      </c>
      <c r="Z378" s="119" t="s">
        <v>35</v>
      </c>
      <c r="AA378" s="119" t="s">
        <v>35</v>
      </c>
      <c r="AB378" s="119" t="s">
        <v>864</v>
      </c>
      <c r="AC378" s="119">
        <v>0</v>
      </c>
      <c r="AD378" s="119">
        <v>1</v>
      </c>
      <c r="AE378" s="119" t="s">
        <v>42</v>
      </c>
      <c r="AF378" s="119" t="s">
        <v>43</v>
      </c>
      <c r="AG378" s="119" t="s">
        <v>38</v>
      </c>
      <c r="AH378" s="119" t="s">
        <v>92</v>
      </c>
    </row>
    <row r="379" spans="1:34" x14ac:dyDescent="0.3">
      <c r="A379" s="107" t="s">
        <v>864</v>
      </c>
      <c r="B379" s="108" t="s">
        <v>882</v>
      </c>
      <c r="C379" s="108" t="s">
        <v>883</v>
      </c>
      <c r="D379" s="109">
        <v>45485</v>
      </c>
      <c r="E379" s="110">
        <v>77000</v>
      </c>
      <c r="F379" s="108" t="s">
        <v>32</v>
      </c>
      <c r="G379" s="108" t="s">
        <v>33</v>
      </c>
      <c r="H379" s="110">
        <v>77000</v>
      </c>
      <c r="I379" s="110">
        <v>41500</v>
      </c>
      <c r="J379" s="111">
        <f t="shared" si="35"/>
        <v>53.896103896103895</v>
      </c>
      <c r="K379" s="110">
        <v>102041</v>
      </c>
      <c r="L379" s="110">
        <f>H379-95670</f>
        <v>-18670</v>
      </c>
      <c r="M379" s="110">
        <v>6371</v>
      </c>
      <c r="N379" s="112">
        <f t="shared" si="36"/>
        <v>8.2740259740259739E-2</v>
      </c>
      <c r="O379" s="113">
        <v>41.63</v>
      </c>
      <c r="P379" s="114">
        <v>139.93</v>
      </c>
      <c r="Q379" s="115">
        <v>0.128</v>
      </c>
      <c r="R379" s="115">
        <v>0.128</v>
      </c>
      <c r="S379" s="110">
        <f t="shared" si="37"/>
        <v>-448.47465769877488</v>
      </c>
      <c r="T379" s="110">
        <f t="shared" si="38"/>
        <v>-145859.375</v>
      </c>
      <c r="U379" s="116">
        <f t="shared" si="39"/>
        <v>-3.3484705004591366</v>
      </c>
      <c r="V379" s="115">
        <v>39.979999999999997</v>
      </c>
      <c r="W379" s="115">
        <f t="shared" si="40"/>
        <v>15400</v>
      </c>
      <c r="X379" s="115">
        <f t="shared" si="41"/>
        <v>385.19259629814911</v>
      </c>
      <c r="Y379" s="117" t="s">
        <v>863</v>
      </c>
      <c r="Z379" s="108" t="s">
        <v>35</v>
      </c>
      <c r="AA379" s="108" t="s">
        <v>35</v>
      </c>
      <c r="AB379" s="108" t="s">
        <v>864</v>
      </c>
      <c r="AC379" s="108">
        <v>0</v>
      </c>
      <c r="AD379" s="108">
        <v>1</v>
      </c>
      <c r="AE379" s="108" t="s">
        <v>42</v>
      </c>
      <c r="AF379" s="108" t="s">
        <v>43</v>
      </c>
      <c r="AG379" s="108" t="s">
        <v>38</v>
      </c>
      <c r="AH379" s="108" t="s">
        <v>92</v>
      </c>
    </row>
    <row r="380" spans="1:34" x14ac:dyDescent="0.3">
      <c r="A380" s="107" t="s">
        <v>864</v>
      </c>
      <c r="B380" s="108" t="s">
        <v>910</v>
      </c>
      <c r="C380" s="108" t="s">
        <v>911</v>
      </c>
      <c r="D380" s="109">
        <v>45184</v>
      </c>
      <c r="E380" s="110">
        <v>163500</v>
      </c>
      <c r="F380" s="108" t="s">
        <v>32</v>
      </c>
      <c r="G380" s="108" t="s">
        <v>33</v>
      </c>
      <c r="H380" s="110">
        <v>163500</v>
      </c>
      <c r="I380" s="110">
        <v>62900</v>
      </c>
      <c r="J380" s="111">
        <f t="shared" si="35"/>
        <v>38.470948012232412</v>
      </c>
      <c r="K380" s="110">
        <v>179011</v>
      </c>
      <c r="L380" s="110">
        <f>H380-166350</f>
        <v>-2850</v>
      </c>
      <c r="M380" s="110">
        <v>12661</v>
      </c>
      <c r="N380" s="112">
        <f t="shared" si="36"/>
        <v>7.7437308868501531E-2</v>
      </c>
      <c r="O380" s="113">
        <v>82.74</v>
      </c>
      <c r="P380" s="114">
        <v>138.02000000000001</v>
      </c>
      <c r="Q380" s="115">
        <v>0.253</v>
      </c>
      <c r="R380" s="115">
        <v>0.253</v>
      </c>
      <c r="S380" s="110">
        <f t="shared" si="37"/>
        <v>-34.445250181290795</v>
      </c>
      <c r="T380" s="110">
        <f t="shared" si="38"/>
        <v>-11264.822134387352</v>
      </c>
      <c r="U380" s="116">
        <f t="shared" si="39"/>
        <v>-0.25860473219438368</v>
      </c>
      <c r="V380" s="115">
        <v>80</v>
      </c>
      <c r="W380" s="115">
        <f t="shared" si="40"/>
        <v>32700</v>
      </c>
      <c r="X380" s="115">
        <f t="shared" si="41"/>
        <v>408.75</v>
      </c>
      <c r="Y380" s="117" t="s">
        <v>863</v>
      </c>
      <c r="Z380" s="108" t="s">
        <v>35</v>
      </c>
      <c r="AA380" s="108" t="s">
        <v>35</v>
      </c>
      <c r="AB380" s="108" t="s">
        <v>864</v>
      </c>
      <c r="AC380" s="108">
        <v>0</v>
      </c>
      <c r="AD380" s="108">
        <v>1</v>
      </c>
      <c r="AE380" s="108" t="s">
        <v>912</v>
      </c>
      <c r="AF380" s="108" t="s">
        <v>43</v>
      </c>
      <c r="AG380" s="108" t="s">
        <v>38</v>
      </c>
      <c r="AH380" s="108" t="s">
        <v>92</v>
      </c>
    </row>
    <row r="381" spans="1:34" x14ac:dyDescent="0.3">
      <c r="A381" s="118" t="s">
        <v>864</v>
      </c>
      <c r="B381" s="119" t="s">
        <v>937</v>
      </c>
      <c r="C381" s="119" t="s">
        <v>938</v>
      </c>
      <c r="D381" s="120">
        <v>45023</v>
      </c>
      <c r="E381" s="121">
        <v>170000</v>
      </c>
      <c r="F381" s="119" t="s">
        <v>32</v>
      </c>
      <c r="G381" s="119" t="s">
        <v>33</v>
      </c>
      <c r="H381" s="121">
        <v>170000</v>
      </c>
      <c r="I381" s="121">
        <v>68800</v>
      </c>
      <c r="J381" s="122">
        <f t="shared" si="35"/>
        <v>40.470588235294116</v>
      </c>
      <c r="K381" s="121">
        <v>187441</v>
      </c>
      <c r="L381" s="121">
        <f>H381-174110</f>
        <v>-4110</v>
      </c>
      <c r="M381" s="121">
        <v>13331</v>
      </c>
      <c r="N381" s="123">
        <f t="shared" si="36"/>
        <v>7.8417647058823522E-2</v>
      </c>
      <c r="O381" s="124">
        <v>87.12</v>
      </c>
      <c r="P381" s="125">
        <v>153.01</v>
      </c>
      <c r="Q381" s="126">
        <v>0.28100000000000003</v>
      </c>
      <c r="R381" s="126">
        <v>0.28100000000000003</v>
      </c>
      <c r="S381" s="121">
        <f t="shared" si="37"/>
        <v>-47.176308539944898</v>
      </c>
      <c r="T381" s="121">
        <f t="shared" si="38"/>
        <v>-14626.334519572953</v>
      </c>
      <c r="U381" s="127">
        <f t="shared" si="39"/>
        <v>-0.33577443800672524</v>
      </c>
      <c r="V381" s="126">
        <v>80</v>
      </c>
      <c r="W381" s="126">
        <f t="shared" si="40"/>
        <v>34000</v>
      </c>
      <c r="X381" s="126">
        <f t="shared" si="41"/>
        <v>425</v>
      </c>
      <c r="Y381" s="128" t="s">
        <v>863</v>
      </c>
      <c r="Z381" s="119" t="s">
        <v>35</v>
      </c>
      <c r="AA381" s="119" t="s">
        <v>35</v>
      </c>
      <c r="AB381" s="119" t="s">
        <v>864</v>
      </c>
      <c r="AC381" s="119">
        <v>0</v>
      </c>
      <c r="AD381" s="119">
        <v>1</v>
      </c>
      <c r="AE381" s="119" t="s">
        <v>42</v>
      </c>
      <c r="AF381" s="119" t="s">
        <v>43</v>
      </c>
      <c r="AG381" s="119" t="s">
        <v>38</v>
      </c>
      <c r="AH381" s="119" t="s">
        <v>92</v>
      </c>
    </row>
    <row r="382" spans="1:34" x14ac:dyDescent="0.3">
      <c r="A382" s="107" t="s">
        <v>864</v>
      </c>
      <c r="B382" s="108" t="s">
        <v>904</v>
      </c>
      <c r="C382" s="108" t="s">
        <v>905</v>
      </c>
      <c r="D382" s="109">
        <v>45595</v>
      </c>
      <c r="E382" s="110">
        <v>110000</v>
      </c>
      <c r="F382" s="108" t="s">
        <v>32</v>
      </c>
      <c r="G382" s="108" t="s">
        <v>33</v>
      </c>
      <c r="H382" s="110">
        <v>110000</v>
      </c>
      <c r="I382" s="110">
        <v>65600</v>
      </c>
      <c r="J382" s="111">
        <f t="shared" si="35"/>
        <v>59.636363636363633</v>
      </c>
      <c r="K382" s="110">
        <v>162545</v>
      </c>
      <c r="L382" s="110">
        <f>H382-155898</f>
        <v>-45898</v>
      </c>
      <c r="M382" s="110">
        <v>6647</v>
      </c>
      <c r="N382" s="112">
        <f t="shared" si="36"/>
        <v>6.0427272727272725E-2</v>
      </c>
      <c r="O382" s="113">
        <v>43.44</v>
      </c>
      <c r="P382" s="114">
        <v>138.02000000000001</v>
      </c>
      <c r="Q382" s="115">
        <v>0.13300000000000001</v>
      </c>
      <c r="R382" s="115">
        <v>0.13300000000000001</v>
      </c>
      <c r="S382" s="110">
        <f t="shared" si="37"/>
        <v>-1056.5837937384899</v>
      </c>
      <c r="T382" s="110">
        <f t="shared" si="38"/>
        <v>-345097.74436090223</v>
      </c>
      <c r="U382" s="116">
        <f t="shared" si="39"/>
        <v>-7.9223540946028974</v>
      </c>
      <c r="V382" s="115">
        <v>42</v>
      </c>
      <c r="W382" s="115">
        <f t="shared" si="40"/>
        <v>22000</v>
      </c>
      <c r="X382" s="115">
        <f t="shared" si="41"/>
        <v>523.80952380952385</v>
      </c>
      <c r="Y382" s="117" t="s">
        <v>863</v>
      </c>
      <c r="Z382" s="108" t="s">
        <v>35</v>
      </c>
      <c r="AA382" s="108" t="s">
        <v>35</v>
      </c>
      <c r="AB382" s="108" t="s">
        <v>864</v>
      </c>
      <c r="AC382" s="108">
        <v>0</v>
      </c>
      <c r="AD382" s="108">
        <v>1</v>
      </c>
      <c r="AE382" s="108" t="s">
        <v>37</v>
      </c>
      <c r="AF382" s="108" t="s">
        <v>35</v>
      </c>
      <c r="AG382" s="108" t="s">
        <v>38</v>
      </c>
      <c r="AH382" s="108" t="s">
        <v>92</v>
      </c>
    </row>
    <row r="383" spans="1:34" x14ac:dyDescent="0.3">
      <c r="A383" s="107" t="s">
        <v>864</v>
      </c>
      <c r="B383" s="108" t="s">
        <v>919</v>
      </c>
      <c r="C383" s="108" t="s">
        <v>920</v>
      </c>
      <c r="D383" s="109">
        <v>45576</v>
      </c>
      <c r="E383" s="110">
        <v>107000</v>
      </c>
      <c r="F383" s="108" t="s">
        <v>32</v>
      </c>
      <c r="G383" s="108" t="s">
        <v>33</v>
      </c>
      <c r="H383" s="110">
        <v>107000</v>
      </c>
      <c r="I383" s="110">
        <v>51400</v>
      </c>
      <c r="J383" s="111">
        <f t="shared" si="35"/>
        <v>48.037383177570092</v>
      </c>
      <c r="K383" s="110">
        <v>125239</v>
      </c>
      <c r="L383" s="110">
        <f>H383-118930</f>
        <v>-11930</v>
      </c>
      <c r="M383" s="110">
        <v>6309</v>
      </c>
      <c r="N383" s="112">
        <f t="shared" si="36"/>
        <v>5.8962616822429904E-2</v>
      </c>
      <c r="O383" s="113">
        <v>41.23</v>
      </c>
      <c r="P383" s="114">
        <v>137.07</v>
      </c>
      <c r="Q383" s="115">
        <v>0.126</v>
      </c>
      <c r="R383" s="115">
        <v>0.126</v>
      </c>
      <c r="S383" s="110">
        <f t="shared" si="37"/>
        <v>-289.35241329129275</v>
      </c>
      <c r="T383" s="110">
        <f t="shared" si="38"/>
        <v>-94682.539682539675</v>
      </c>
      <c r="U383" s="116">
        <f t="shared" si="39"/>
        <v>-2.1736120220968704</v>
      </c>
      <c r="V383" s="115">
        <v>40</v>
      </c>
      <c r="W383" s="115">
        <f t="shared" si="40"/>
        <v>21400</v>
      </c>
      <c r="X383" s="115">
        <f t="shared" si="41"/>
        <v>535</v>
      </c>
      <c r="Y383" s="117" t="s">
        <v>863</v>
      </c>
      <c r="Z383" s="108" t="s">
        <v>35</v>
      </c>
      <c r="AA383" s="108" t="s">
        <v>35</v>
      </c>
      <c r="AB383" s="108" t="s">
        <v>864</v>
      </c>
      <c r="AC383" s="108">
        <v>0</v>
      </c>
      <c r="AD383" s="108">
        <v>1</v>
      </c>
      <c r="AE383" s="108" t="s">
        <v>42</v>
      </c>
      <c r="AF383" s="108" t="s">
        <v>35</v>
      </c>
      <c r="AG383" s="108" t="s">
        <v>38</v>
      </c>
      <c r="AH383" s="108" t="s">
        <v>92</v>
      </c>
    </row>
    <row r="384" spans="1:34" x14ac:dyDescent="0.3">
      <c r="A384" s="118" t="s">
        <v>864</v>
      </c>
      <c r="B384" s="119" t="s">
        <v>929</v>
      </c>
      <c r="C384" s="119" t="s">
        <v>930</v>
      </c>
      <c r="D384" s="120">
        <v>45021</v>
      </c>
      <c r="E384" s="121">
        <v>110000</v>
      </c>
      <c r="F384" s="119" t="s">
        <v>32</v>
      </c>
      <c r="G384" s="119" t="s">
        <v>33</v>
      </c>
      <c r="H384" s="121">
        <v>110000</v>
      </c>
      <c r="I384" s="121">
        <v>43600</v>
      </c>
      <c r="J384" s="122">
        <f t="shared" si="35"/>
        <v>39.636363636363633</v>
      </c>
      <c r="K384" s="121">
        <v>124270</v>
      </c>
      <c r="L384" s="121">
        <f>H384-117816</f>
        <v>-7816</v>
      </c>
      <c r="M384" s="121">
        <v>6454</v>
      </c>
      <c r="N384" s="123">
        <f t="shared" si="36"/>
        <v>5.8672727272727272E-2</v>
      </c>
      <c r="O384" s="124">
        <v>42.18</v>
      </c>
      <c r="P384" s="125">
        <v>143.47</v>
      </c>
      <c r="Q384" s="126">
        <v>0.13200000000000001</v>
      </c>
      <c r="R384" s="126">
        <v>0.13200000000000001</v>
      </c>
      <c r="S384" s="121">
        <f t="shared" si="37"/>
        <v>-185.30109056424845</v>
      </c>
      <c r="T384" s="121">
        <f t="shared" si="38"/>
        <v>-59212.121212121208</v>
      </c>
      <c r="U384" s="127">
        <f t="shared" si="39"/>
        <v>-1.3593232601497063</v>
      </c>
      <c r="V384" s="126">
        <v>40</v>
      </c>
      <c r="W384" s="126">
        <f t="shared" si="40"/>
        <v>22000</v>
      </c>
      <c r="X384" s="126">
        <f t="shared" si="41"/>
        <v>550</v>
      </c>
      <c r="Y384" s="128" t="s">
        <v>863</v>
      </c>
      <c r="Z384" s="119" t="s">
        <v>35</v>
      </c>
      <c r="AA384" s="119" t="s">
        <v>35</v>
      </c>
      <c r="AB384" s="119" t="s">
        <v>864</v>
      </c>
      <c r="AC384" s="119">
        <v>0</v>
      </c>
      <c r="AD384" s="119">
        <v>1</v>
      </c>
      <c r="AE384" s="119" t="s">
        <v>42</v>
      </c>
      <c r="AF384" s="119" t="s">
        <v>43</v>
      </c>
      <c r="AG384" s="119" t="s">
        <v>38</v>
      </c>
      <c r="AH384" s="119" t="s">
        <v>92</v>
      </c>
    </row>
    <row r="385" spans="1:34" x14ac:dyDescent="0.3">
      <c r="A385" s="118" t="s">
        <v>864</v>
      </c>
      <c r="B385" s="119" t="s">
        <v>884</v>
      </c>
      <c r="C385" s="119" t="s">
        <v>885</v>
      </c>
      <c r="D385" s="120">
        <v>45230</v>
      </c>
      <c r="E385" s="121">
        <v>125000</v>
      </c>
      <c r="F385" s="119" t="s">
        <v>32</v>
      </c>
      <c r="G385" s="119" t="s">
        <v>33</v>
      </c>
      <c r="H385" s="121">
        <v>125000</v>
      </c>
      <c r="I385" s="121">
        <v>36800</v>
      </c>
      <c r="J385" s="122">
        <f t="shared" si="35"/>
        <v>29.439999999999998</v>
      </c>
      <c r="K385" s="121">
        <v>105698</v>
      </c>
      <c r="L385" s="121">
        <f>H385-99368</f>
        <v>25632</v>
      </c>
      <c r="M385" s="121">
        <v>6330</v>
      </c>
      <c r="N385" s="123">
        <f t="shared" si="36"/>
        <v>5.0639999999999998E-2</v>
      </c>
      <c r="O385" s="124">
        <v>41.37</v>
      </c>
      <c r="P385" s="125">
        <v>138</v>
      </c>
      <c r="Q385" s="126">
        <v>0.127</v>
      </c>
      <c r="R385" s="126">
        <v>0.127</v>
      </c>
      <c r="S385" s="121">
        <f t="shared" si="37"/>
        <v>619.57940536620742</v>
      </c>
      <c r="T385" s="121">
        <f t="shared" si="38"/>
        <v>201826.77165354331</v>
      </c>
      <c r="U385" s="127">
        <f t="shared" si="39"/>
        <v>4.6333051343788636</v>
      </c>
      <c r="V385" s="126">
        <v>40</v>
      </c>
      <c r="W385" s="126">
        <f t="shared" si="40"/>
        <v>25000</v>
      </c>
      <c r="X385" s="126">
        <f t="shared" si="41"/>
        <v>625</v>
      </c>
      <c r="Y385" s="128" t="s">
        <v>863</v>
      </c>
      <c r="Z385" s="119" t="s">
        <v>35</v>
      </c>
      <c r="AA385" s="119" t="s">
        <v>35</v>
      </c>
      <c r="AB385" s="119" t="s">
        <v>864</v>
      </c>
      <c r="AC385" s="119">
        <v>0</v>
      </c>
      <c r="AD385" s="119">
        <v>1</v>
      </c>
      <c r="AE385" s="119" t="s">
        <v>42</v>
      </c>
      <c r="AF385" s="119" t="s">
        <v>43</v>
      </c>
      <c r="AG385" s="119" t="s">
        <v>38</v>
      </c>
      <c r="AH385" s="119" t="s">
        <v>92</v>
      </c>
    </row>
    <row r="386" spans="1:34" x14ac:dyDescent="0.3">
      <c r="A386" s="118" t="s">
        <v>864</v>
      </c>
      <c r="B386" s="119" t="s">
        <v>900</v>
      </c>
      <c r="C386" s="119" t="s">
        <v>901</v>
      </c>
      <c r="D386" s="120">
        <v>45457</v>
      </c>
      <c r="E386" s="121">
        <v>127500</v>
      </c>
      <c r="F386" s="119" t="s">
        <v>32</v>
      </c>
      <c r="G386" s="119" t="s">
        <v>33</v>
      </c>
      <c r="H386" s="121">
        <v>127500</v>
      </c>
      <c r="I386" s="121">
        <v>46300</v>
      </c>
      <c r="J386" s="122">
        <f t="shared" ref="J386:J449" si="42">I386/H386*100</f>
        <v>36.313725490196077</v>
      </c>
      <c r="K386" s="121">
        <v>112807</v>
      </c>
      <c r="L386" s="121">
        <f>H386-106477</f>
        <v>21023</v>
      </c>
      <c r="M386" s="121">
        <v>6330</v>
      </c>
      <c r="N386" s="123">
        <f t="shared" ref="N386:N449" si="43">M386/E386</f>
        <v>4.9647058823529412E-2</v>
      </c>
      <c r="O386" s="124">
        <v>41.37</v>
      </c>
      <c r="P386" s="125">
        <v>138</v>
      </c>
      <c r="Q386" s="126">
        <v>0.127</v>
      </c>
      <c r="R386" s="126">
        <v>0.127</v>
      </c>
      <c r="S386" s="121">
        <f t="shared" ref="S386:S449" si="44">L386/O386</f>
        <v>508.17017162194833</v>
      </c>
      <c r="T386" s="121">
        <f t="shared" ref="T386:T449" si="45">L386/Q386</f>
        <v>165535.43307086613</v>
      </c>
      <c r="U386" s="127">
        <f t="shared" ref="U386:U449" si="46">L386/Q386/43560</f>
        <v>3.8001706398270461</v>
      </c>
      <c r="V386" s="126">
        <v>40</v>
      </c>
      <c r="W386" s="126">
        <f t="shared" ref="W386:W449" si="47">0.2*E386</f>
        <v>25500</v>
      </c>
      <c r="X386" s="126">
        <f t="shared" ref="X386:X449" si="48">W386/V386</f>
        <v>637.5</v>
      </c>
      <c r="Y386" s="128" t="s">
        <v>863</v>
      </c>
      <c r="Z386" s="119" t="s">
        <v>35</v>
      </c>
      <c r="AA386" s="119" t="s">
        <v>35</v>
      </c>
      <c r="AB386" s="119" t="s">
        <v>864</v>
      </c>
      <c r="AC386" s="119">
        <v>0</v>
      </c>
      <c r="AD386" s="119">
        <v>1</v>
      </c>
      <c r="AE386" s="119" t="s">
        <v>42</v>
      </c>
      <c r="AF386" s="119" t="s">
        <v>43</v>
      </c>
      <c r="AG386" s="119" t="s">
        <v>38</v>
      </c>
      <c r="AH386" s="119" t="s">
        <v>92</v>
      </c>
    </row>
    <row r="387" spans="1:34" x14ac:dyDescent="0.3">
      <c r="A387" s="107" t="s">
        <v>864</v>
      </c>
      <c r="B387" s="108" t="s">
        <v>865</v>
      </c>
      <c r="C387" s="108" t="s">
        <v>866</v>
      </c>
      <c r="D387" s="109">
        <v>45211</v>
      </c>
      <c r="E387" s="110">
        <v>130000</v>
      </c>
      <c r="F387" s="108" t="s">
        <v>32</v>
      </c>
      <c r="G387" s="108" t="s">
        <v>33</v>
      </c>
      <c r="H387" s="110">
        <v>130000</v>
      </c>
      <c r="I387" s="110">
        <v>47000</v>
      </c>
      <c r="J387" s="111">
        <f t="shared" si="42"/>
        <v>36.153846153846153</v>
      </c>
      <c r="K387" s="110">
        <v>132338</v>
      </c>
      <c r="L387" s="110">
        <f>H387-126008</f>
        <v>3992</v>
      </c>
      <c r="M387" s="110">
        <v>6330</v>
      </c>
      <c r="N387" s="112">
        <f t="shared" si="43"/>
        <v>4.8692307692307694E-2</v>
      </c>
      <c r="O387" s="113">
        <v>41.37</v>
      </c>
      <c r="P387" s="114">
        <v>138</v>
      </c>
      <c r="Q387" s="115">
        <v>0.127</v>
      </c>
      <c r="R387" s="115">
        <v>0.127</v>
      </c>
      <c r="S387" s="110">
        <f t="shared" si="44"/>
        <v>96.495044718394979</v>
      </c>
      <c r="T387" s="110">
        <f t="shared" si="45"/>
        <v>31433.07086614173</v>
      </c>
      <c r="U387" s="116">
        <f t="shared" si="46"/>
        <v>0.72160401437423627</v>
      </c>
      <c r="V387" s="115">
        <v>40</v>
      </c>
      <c r="W387" s="115">
        <f t="shared" si="47"/>
        <v>26000</v>
      </c>
      <c r="X387" s="115">
        <f t="shared" si="48"/>
        <v>650</v>
      </c>
      <c r="Y387" s="117" t="s">
        <v>863</v>
      </c>
      <c r="Z387" s="108" t="s">
        <v>35</v>
      </c>
      <c r="AA387" s="108" t="s">
        <v>35</v>
      </c>
      <c r="AB387" s="108" t="s">
        <v>864</v>
      </c>
      <c r="AC387" s="108">
        <v>0</v>
      </c>
      <c r="AD387" s="108">
        <v>1</v>
      </c>
      <c r="AE387" s="108" t="s">
        <v>412</v>
      </c>
      <c r="AF387" s="108" t="s">
        <v>43</v>
      </c>
      <c r="AG387" s="108" t="s">
        <v>38</v>
      </c>
      <c r="AH387" s="108" t="s">
        <v>92</v>
      </c>
    </row>
    <row r="388" spans="1:34" x14ac:dyDescent="0.3">
      <c r="A388" s="118" t="s">
        <v>864</v>
      </c>
      <c r="B388" s="119" t="s">
        <v>886</v>
      </c>
      <c r="C388" s="119" t="s">
        <v>887</v>
      </c>
      <c r="D388" s="120">
        <v>45100</v>
      </c>
      <c r="E388" s="121">
        <v>130000</v>
      </c>
      <c r="F388" s="119" t="s">
        <v>32</v>
      </c>
      <c r="G388" s="119" t="s">
        <v>33</v>
      </c>
      <c r="H388" s="121">
        <v>130000</v>
      </c>
      <c r="I388" s="121">
        <v>52100</v>
      </c>
      <c r="J388" s="122">
        <f t="shared" si="42"/>
        <v>40.07692307692308</v>
      </c>
      <c r="K388" s="121">
        <v>154738</v>
      </c>
      <c r="L388" s="121">
        <f>H388-148408</f>
        <v>-18408</v>
      </c>
      <c r="M388" s="121">
        <v>6330</v>
      </c>
      <c r="N388" s="123">
        <f t="shared" si="43"/>
        <v>4.8692307692307694E-2</v>
      </c>
      <c r="O388" s="124">
        <v>41.37</v>
      </c>
      <c r="P388" s="125">
        <v>138.02000000000001</v>
      </c>
      <c r="Q388" s="126">
        <v>0.127</v>
      </c>
      <c r="R388" s="126">
        <v>0.127</v>
      </c>
      <c r="S388" s="121">
        <f t="shared" si="44"/>
        <v>-444.96011602610588</v>
      </c>
      <c r="T388" s="121">
        <f t="shared" si="45"/>
        <v>-144944.88188976378</v>
      </c>
      <c r="U388" s="127">
        <f t="shared" si="46"/>
        <v>-3.3274766274050456</v>
      </c>
      <c r="V388" s="126">
        <v>40</v>
      </c>
      <c r="W388" s="126">
        <f t="shared" si="47"/>
        <v>26000</v>
      </c>
      <c r="X388" s="126">
        <f t="shared" si="48"/>
        <v>650</v>
      </c>
      <c r="Y388" s="128" t="s">
        <v>863</v>
      </c>
      <c r="Z388" s="119" t="s">
        <v>35</v>
      </c>
      <c r="AA388" s="119" t="s">
        <v>35</v>
      </c>
      <c r="AB388" s="119" t="s">
        <v>864</v>
      </c>
      <c r="AC388" s="119">
        <v>0</v>
      </c>
      <c r="AD388" s="119">
        <v>1</v>
      </c>
      <c r="AE388" s="119" t="s">
        <v>42</v>
      </c>
      <c r="AF388" s="119" t="s">
        <v>43</v>
      </c>
      <c r="AG388" s="119" t="s">
        <v>38</v>
      </c>
      <c r="AH388" s="119" t="s">
        <v>92</v>
      </c>
    </row>
    <row r="389" spans="1:34" x14ac:dyDescent="0.3">
      <c r="A389" s="118" t="s">
        <v>864</v>
      </c>
      <c r="B389" s="119" t="s">
        <v>915</v>
      </c>
      <c r="C389" s="119" t="s">
        <v>916</v>
      </c>
      <c r="D389" s="120">
        <v>45019</v>
      </c>
      <c r="E389" s="121">
        <v>132000</v>
      </c>
      <c r="F389" s="119" t="s">
        <v>32</v>
      </c>
      <c r="G389" s="119" t="s">
        <v>33</v>
      </c>
      <c r="H389" s="121">
        <v>132000</v>
      </c>
      <c r="I389" s="121">
        <v>52700</v>
      </c>
      <c r="J389" s="122">
        <f t="shared" si="42"/>
        <v>39.924242424242422</v>
      </c>
      <c r="K389" s="121">
        <v>153318</v>
      </c>
      <c r="L389" s="121">
        <f>H389-146988</f>
        <v>-14988</v>
      </c>
      <c r="M389" s="121">
        <v>6330</v>
      </c>
      <c r="N389" s="123">
        <f t="shared" si="43"/>
        <v>4.7954545454545451E-2</v>
      </c>
      <c r="O389" s="124">
        <v>41.37</v>
      </c>
      <c r="P389" s="125">
        <v>138</v>
      </c>
      <c r="Q389" s="126">
        <v>0.127</v>
      </c>
      <c r="R389" s="126">
        <v>0.127</v>
      </c>
      <c r="S389" s="121">
        <f t="shared" si="44"/>
        <v>-362.29151559100802</v>
      </c>
      <c r="T389" s="121">
        <f t="shared" si="45"/>
        <v>-118015.74803149606</v>
      </c>
      <c r="U389" s="127">
        <f t="shared" si="46"/>
        <v>-2.7092687794191015</v>
      </c>
      <c r="V389" s="126">
        <v>40</v>
      </c>
      <c r="W389" s="126">
        <f t="shared" si="47"/>
        <v>26400</v>
      </c>
      <c r="X389" s="126">
        <f t="shared" si="48"/>
        <v>660</v>
      </c>
      <c r="Y389" s="128" t="s">
        <v>863</v>
      </c>
      <c r="Z389" s="119" t="s">
        <v>35</v>
      </c>
      <c r="AA389" s="119" t="s">
        <v>35</v>
      </c>
      <c r="AB389" s="119" t="s">
        <v>864</v>
      </c>
      <c r="AC389" s="119">
        <v>0</v>
      </c>
      <c r="AD389" s="119">
        <v>1</v>
      </c>
      <c r="AE389" s="119" t="s">
        <v>42</v>
      </c>
      <c r="AF389" s="119" t="s">
        <v>43</v>
      </c>
      <c r="AG389" s="119" t="s">
        <v>38</v>
      </c>
      <c r="AH389" s="119" t="s">
        <v>92</v>
      </c>
    </row>
    <row r="390" spans="1:34" x14ac:dyDescent="0.3">
      <c r="A390" s="118" t="s">
        <v>864</v>
      </c>
      <c r="B390" s="119" t="s">
        <v>869</v>
      </c>
      <c r="C390" s="119" t="s">
        <v>870</v>
      </c>
      <c r="D390" s="120">
        <v>45090</v>
      </c>
      <c r="E390" s="121">
        <v>134000</v>
      </c>
      <c r="F390" s="119" t="s">
        <v>32</v>
      </c>
      <c r="G390" s="119" t="s">
        <v>33</v>
      </c>
      <c r="H390" s="121">
        <v>134000</v>
      </c>
      <c r="I390" s="121">
        <v>45400</v>
      </c>
      <c r="J390" s="122">
        <f t="shared" si="42"/>
        <v>33.880597014925371</v>
      </c>
      <c r="K390" s="121">
        <v>128272</v>
      </c>
      <c r="L390" s="121">
        <f>H390-121942</f>
        <v>12058</v>
      </c>
      <c r="M390" s="121">
        <v>6330</v>
      </c>
      <c r="N390" s="123">
        <f t="shared" si="43"/>
        <v>4.7238805970149254E-2</v>
      </c>
      <c r="O390" s="124">
        <v>41.37</v>
      </c>
      <c r="P390" s="125">
        <v>138</v>
      </c>
      <c r="Q390" s="126">
        <v>0.127</v>
      </c>
      <c r="R390" s="126">
        <v>0.127</v>
      </c>
      <c r="S390" s="121">
        <f t="shared" si="44"/>
        <v>291.46724679719603</v>
      </c>
      <c r="T390" s="121">
        <f t="shared" si="45"/>
        <v>94944.881889763783</v>
      </c>
      <c r="U390" s="127">
        <f t="shared" si="46"/>
        <v>2.1796345704720794</v>
      </c>
      <c r="V390" s="126">
        <v>40</v>
      </c>
      <c r="W390" s="126">
        <f t="shared" si="47"/>
        <v>26800</v>
      </c>
      <c r="X390" s="126">
        <f t="shared" si="48"/>
        <v>670</v>
      </c>
      <c r="Y390" s="128" t="s">
        <v>863</v>
      </c>
      <c r="Z390" s="119" t="s">
        <v>35</v>
      </c>
      <c r="AA390" s="119" t="s">
        <v>35</v>
      </c>
      <c r="AB390" s="119" t="s">
        <v>864</v>
      </c>
      <c r="AC390" s="119">
        <v>0</v>
      </c>
      <c r="AD390" s="119">
        <v>1</v>
      </c>
      <c r="AE390" s="119" t="s">
        <v>37</v>
      </c>
      <c r="AF390" s="119" t="s">
        <v>43</v>
      </c>
      <c r="AG390" s="119" t="s">
        <v>38</v>
      </c>
      <c r="AH390" s="119" t="s">
        <v>92</v>
      </c>
    </row>
    <row r="391" spans="1:34" x14ac:dyDescent="0.3">
      <c r="A391" s="107" t="s">
        <v>864</v>
      </c>
      <c r="B391" s="108" t="s">
        <v>917</v>
      </c>
      <c r="C391" s="108" t="s">
        <v>918</v>
      </c>
      <c r="D391" s="109">
        <v>45460</v>
      </c>
      <c r="E391" s="110">
        <v>135000</v>
      </c>
      <c r="F391" s="108" t="s">
        <v>32</v>
      </c>
      <c r="G391" s="108" t="s">
        <v>33</v>
      </c>
      <c r="H391" s="110">
        <v>135000</v>
      </c>
      <c r="I391" s="110">
        <v>42100</v>
      </c>
      <c r="J391" s="111">
        <f t="shared" si="42"/>
        <v>31.185185185185183</v>
      </c>
      <c r="K391" s="110">
        <v>103662</v>
      </c>
      <c r="L391" s="110">
        <f>H391-97332</f>
        <v>37668</v>
      </c>
      <c r="M391" s="110">
        <v>6330</v>
      </c>
      <c r="N391" s="112">
        <f t="shared" si="43"/>
        <v>4.688888888888889E-2</v>
      </c>
      <c r="O391" s="113">
        <v>41.37</v>
      </c>
      <c r="P391" s="114">
        <v>138</v>
      </c>
      <c r="Q391" s="115">
        <v>0.127</v>
      </c>
      <c r="R391" s="115">
        <v>0.127</v>
      </c>
      <c r="S391" s="110">
        <f t="shared" si="44"/>
        <v>910.51486584481518</v>
      </c>
      <c r="T391" s="110">
        <f t="shared" si="45"/>
        <v>296598.42519685038</v>
      </c>
      <c r="U391" s="116">
        <f t="shared" si="46"/>
        <v>6.8089629292206242</v>
      </c>
      <c r="V391" s="115">
        <v>40</v>
      </c>
      <c r="W391" s="115">
        <f t="shared" si="47"/>
        <v>27000</v>
      </c>
      <c r="X391" s="115">
        <f t="shared" si="48"/>
        <v>675</v>
      </c>
      <c r="Y391" s="117" t="s">
        <v>863</v>
      </c>
      <c r="Z391" s="108" t="s">
        <v>35</v>
      </c>
      <c r="AA391" s="108" t="s">
        <v>35</v>
      </c>
      <c r="AB391" s="108" t="s">
        <v>864</v>
      </c>
      <c r="AC391" s="108">
        <v>0</v>
      </c>
      <c r="AD391" s="108">
        <v>1</v>
      </c>
      <c r="AE391" s="108" t="s">
        <v>42</v>
      </c>
      <c r="AF391" s="108" t="s">
        <v>43</v>
      </c>
      <c r="AG391" s="108" t="s">
        <v>38</v>
      </c>
      <c r="AH391" s="108" t="s">
        <v>92</v>
      </c>
    </row>
    <row r="392" spans="1:34" x14ac:dyDescent="0.3">
      <c r="A392" s="118" t="s">
        <v>864</v>
      </c>
      <c r="B392" s="119" t="s">
        <v>877</v>
      </c>
      <c r="C392" s="119" t="s">
        <v>878</v>
      </c>
      <c r="D392" s="120">
        <v>45135</v>
      </c>
      <c r="E392" s="121">
        <v>136000</v>
      </c>
      <c r="F392" s="119" t="s">
        <v>81</v>
      </c>
      <c r="G392" s="119" t="s">
        <v>33</v>
      </c>
      <c r="H392" s="121">
        <v>136000</v>
      </c>
      <c r="I392" s="121">
        <v>47300</v>
      </c>
      <c r="J392" s="122">
        <f t="shared" si="42"/>
        <v>34.779411764705884</v>
      </c>
      <c r="K392" s="121">
        <v>135182</v>
      </c>
      <c r="L392" s="121">
        <f>H392-128852</f>
        <v>7148</v>
      </c>
      <c r="M392" s="121">
        <v>6330</v>
      </c>
      <c r="N392" s="123">
        <f t="shared" si="43"/>
        <v>4.6544117647058826E-2</v>
      </c>
      <c r="O392" s="124">
        <v>41.37</v>
      </c>
      <c r="P392" s="125">
        <v>138.02000000000001</v>
      </c>
      <c r="Q392" s="126">
        <v>0.127</v>
      </c>
      <c r="R392" s="126">
        <v>0.127</v>
      </c>
      <c r="S392" s="121">
        <f t="shared" si="44"/>
        <v>172.78220933043269</v>
      </c>
      <c r="T392" s="121">
        <f t="shared" si="45"/>
        <v>56283.464566929135</v>
      </c>
      <c r="U392" s="127">
        <f t="shared" si="46"/>
        <v>1.292090554796353</v>
      </c>
      <c r="V392" s="126">
        <v>40</v>
      </c>
      <c r="W392" s="126">
        <f t="shared" si="47"/>
        <v>27200</v>
      </c>
      <c r="X392" s="126">
        <f t="shared" si="48"/>
        <v>680</v>
      </c>
      <c r="Y392" s="128" t="s">
        <v>863</v>
      </c>
      <c r="Z392" s="119" t="s">
        <v>35</v>
      </c>
      <c r="AA392" s="119" t="s">
        <v>35</v>
      </c>
      <c r="AB392" s="119" t="s">
        <v>864</v>
      </c>
      <c r="AC392" s="119">
        <v>0</v>
      </c>
      <c r="AD392" s="119">
        <v>1</v>
      </c>
      <c r="AE392" s="119" t="s">
        <v>37</v>
      </c>
      <c r="AF392" s="119" t="s">
        <v>43</v>
      </c>
      <c r="AG392" s="119" t="s">
        <v>38</v>
      </c>
      <c r="AH392" s="119" t="s">
        <v>92</v>
      </c>
    </row>
    <row r="393" spans="1:34" x14ac:dyDescent="0.3">
      <c r="A393" s="118" t="s">
        <v>864</v>
      </c>
      <c r="B393" s="119" t="s">
        <v>913</v>
      </c>
      <c r="C393" s="119" t="s">
        <v>914</v>
      </c>
      <c r="D393" s="120">
        <v>45455</v>
      </c>
      <c r="E393" s="121">
        <v>136000</v>
      </c>
      <c r="F393" s="119" t="s">
        <v>32</v>
      </c>
      <c r="G393" s="119" t="s">
        <v>33</v>
      </c>
      <c r="H393" s="121">
        <v>136000</v>
      </c>
      <c r="I393" s="121">
        <v>46100</v>
      </c>
      <c r="J393" s="122">
        <f t="shared" si="42"/>
        <v>33.897058823529413</v>
      </c>
      <c r="K393" s="121">
        <v>112732</v>
      </c>
      <c r="L393" s="121">
        <f>H393-106402</f>
        <v>29598</v>
      </c>
      <c r="M393" s="121">
        <v>6330</v>
      </c>
      <c r="N393" s="123">
        <f t="shared" si="43"/>
        <v>4.6544117647058826E-2</v>
      </c>
      <c r="O393" s="124">
        <v>41.37</v>
      </c>
      <c r="P393" s="125">
        <v>138.02000000000001</v>
      </c>
      <c r="Q393" s="126">
        <v>0.127</v>
      </c>
      <c r="R393" s="126">
        <v>0.127</v>
      </c>
      <c r="S393" s="121">
        <f t="shared" si="44"/>
        <v>715.44597534445256</v>
      </c>
      <c r="T393" s="121">
        <f t="shared" si="45"/>
        <v>233055.11811023622</v>
      </c>
      <c r="U393" s="127">
        <f t="shared" si="46"/>
        <v>5.350209323008178</v>
      </c>
      <c r="V393" s="126">
        <v>40</v>
      </c>
      <c r="W393" s="126">
        <f t="shared" si="47"/>
        <v>27200</v>
      </c>
      <c r="X393" s="126">
        <f t="shared" si="48"/>
        <v>680</v>
      </c>
      <c r="Y393" s="128" t="s">
        <v>863</v>
      </c>
      <c r="Z393" s="119" t="s">
        <v>35</v>
      </c>
      <c r="AA393" s="119" t="s">
        <v>35</v>
      </c>
      <c r="AB393" s="119" t="s">
        <v>864</v>
      </c>
      <c r="AC393" s="119">
        <v>0</v>
      </c>
      <c r="AD393" s="119">
        <v>1</v>
      </c>
      <c r="AE393" s="119" t="s">
        <v>42</v>
      </c>
      <c r="AF393" s="119" t="s">
        <v>43</v>
      </c>
      <c r="AG393" s="119" t="s">
        <v>38</v>
      </c>
      <c r="AH393" s="119" t="s">
        <v>92</v>
      </c>
    </row>
    <row r="394" spans="1:34" x14ac:dyDescent="0.3">
      <c r="A394" s="118" t="s">
        <v>864</v>
      </c>
      <c r="B394" s="119" t="s">
        <v>935</v>
      </c>
      <c r="C394" s="119" t="s">
        <v>936</v>
      </c>
      <c r="D394" s="120">
        <v>45568</v>
      </c>
      <c r="E394" s="121">
        <v>137000</v>
      </c>
      <c r="F394" s="119" t="s">
        <v>32</v>
      </c>
      <c r="G394" s="119" t="s">
        <v>33</v>
      </c>
      <c r="H394" s="121">
        <v>137000</v>
      </c>
      <c r="I394" s="121">
        <v>52900</v>
      </c>
      <c r="J394" s="122">
        <f t="shared" si="42"/>
        <v>38.613138686131386</v>
      </c>
      <c r="K394" s="121">
        <v>129267</v>
      </c>
      <c r="L394" s="121">
        <f>H394-123364</f>
        <v>13636</v>
      </c>
      <c r="M394" s="121">
        <v>5903</v>
      </c>
      <c r="N394" s="123">
        <f t="shared" si="43"/>
        <v>4.3087591240875911E-2</v>
      </c>
      <c r="O394" s="124">
        <v>38.58</v>
      </c>
      <c r="P394" s="125">
        <v>120.01</v>
      </c>
      <c r="Q394" s="126">
        <v>0.11</v>
      </c>
      <c r="R394" s="126">
        <v>0.11</v>
      </c>
      <c r="S394" s="121">
        <f t="shared" si="44"/>
        <v>353.44738206324524</v>
      </c>
      <c r="T394" s="121">
        <f t="shared" si="45"/>
        <v>123963.63636363637</v>
      </c>
      <c r="U394" s="127">
        <f t="shared" si="46"/>
        <v>2.8458135069705319</v>
      </c>
      <c r="V394" s="126">
        <v>40</v>
      </c>
      <c r="W394" s="126">
        <f t="shared" si="47"/>
        <v>27400</v>
      </c>
      <c r="X394" s="126">
        <f t="shared" si="48"/>
        <v>685</v>
      </c>
      <c r="Y394" s="128" t="s">
        <v>863</v>
      </c>
      <c r="Z394" s="119" t="s">
        <v>35</v>
      </c>
      <c r="AA394" s="119" t="s">
        <v>35</v>
      </c>
      <c r="AB394" s="119" t="s">
        <v>864</v>
      </c>
      <c r="AC394" s="119">
        <v>0</v>
      </c>
      <c r="AD394" s="119">
        <v>1</v>
      </c>
      <c r="AE394" s="119" t="s">
        <v>42</v>
      </c>
      <c r="AF394" s="119" t="s">
        <v>35</v>
      </c>
      <c r="AG394" s="119" t="s">
        <v>38</v>
      </c>
      <c r="AH394" s="119" t="s">
        <v>92</v>
      </c>
    </row>
    <row r="395" spans="1:34" x14ac:dyDescent="0.3">
      <c r="A395" s="118" t="s">
        <v>864</v>
      </c>
      <c r="B395" s="119" t="s">
        <v>931</v>
      </c>
      <c r="C395" s="119" t="s">
        <v>932</v>
      </c>
      <c r="D395" s="120">
        <v>45685</v>
      </c>
      <c r="E395" s="121">
        <v>139000</v>
      </c>
      <c r="F395" s="119" t="s">
        <v>32</v>
      </c>
      <c r="G395" s="119" t="s">
        <v>33</v>
      </c>
      <c r="H395" s="121">
        <v>139000</v>
      </c>
      <c r="I395" s="121">
        <v>43300</v>
      </c>
      <c r="J395" s="122">
        <f t="shared" si="42"/>
        <v>31.151079136690647</v>
      </c>
      <c r="K395" s="121">
        <v>106883</v>
      </c>
      <c r="L395" s="121">
        <f>H395-101232</f>
        <v>37768</v>
      </c>
      <c r="M395" s="121">
        <v>5651</v>
      </c>
      <c r="N395" s="123">
        <f t="shared" si="43"/>
        <v>4.0654676258992807E-2</v>
      </c>
      <c r="O395" s="124">
        <v>36.93</v>
      </c>
      <c r="P395" s="125">
        <v>110</v>
      </c>
      <c r="Q395" s="126">
        <v>0.10100000000000001</v>
      </c>
      <c r="R395" s="126">
        <v>0.10100000000000001</v>
      </c>
      <c r="S395" s="121">
        <f t="shared" si="44"/>
        <v>1022.6915786623341</v>
      </c>
      <c r="T395" s="121">
        <f t="shared" si="45"/>
        <v>373940.59405940591</v>
      </c>
      <c r="U395" s="127">
        <f t="shared" si="46"/>
        <v>8.5844948131176739</v>
      </c>
      <c r="V395" s="126">
        <v>40</v>
      </c>
      <c r="W395" s="126">
        <f t="shared" si="47"/>
        <v>27800</v>
      </c>
      <c r="X395" s="126">
        <f t="shared" si="48"/>
        <v>695</v>
      </c>
      <c r="Y395" s="128" t="s">
        <v>863</v>
      </c>
      <c r="Z395" s="119" t="s">
        <v>35</v>
      </c>
      <c r="AA395" s="119" t="s">
        <v>35</v>
      </c>
      <c r="AB395" s="119" t="s">
        <v>864</v>
      </c>
      <c r="AC395" s="119">
        <v>0</v>
      </c>
      <c r="AD395" s="119">
        <v>1</v>
      </c>
      <c r="AE395" s="119" t="s">
        <v>42</v>
      </c>
      <c r="AF395" s="119" t="s">
        <v>35</v>
      </c>
      <c r="AG395" s="119" t="s">
        <v>38</v>
      </c>
      <c r="AH395" s="119" t="s">
        <v>92</v>
      </c>
    </row>
    <row r="396" spans="1:34" x14ac:dyDescent="0.3">
      <c r="A396" s="118" t="s">
        <v>864</v>
      </c>
      <c r="B396" s="119" t="s">
        <v>875</v>
      </c>
      <c r="C396" s="119" t="s">
        <v>876</v>
      </c>
      <c r="D396" s="120">
        <v>45551</v>
      </c>
      <c r="E396" s="121">
        <v>139900</v>
      </c>
      <c r="F396" s="119" t="s">
        <v>32</v>
      </c>
      <c r="G396" s="119" t="s">
        <v>33</v>
      </c>
      <c r="H396" s="121">
        <v>139900</v>
      </c>
      <c r="I396" s="121">
        <v>62600</v>
      </c>
      <c r="J396" s="122">
        <f t="shared" si="42"/>
        <v>44.746247319513941</v>
      </c>
      <c r="K396" s="121">
        <v>146934</v>
      </c>
      <c r="L396" s="121">
        <f>H396-140604</f>
        <v>-704</v>
      </c>
      <c r="M396" s="121">
        <v>6330</v>
      </c>
      <c r="N396" s="123">
        <f t="shared" si="43"/>
        <v>4.5246604717655466E-2</v>
      </c>
      <c r="O396" s="124">
        <v>41.37</v>
      </c>
      <c r="P396" s="125">
        <v>138</v>
      </c>
      <c r="Q396" s="126">
        <v>0.127</v>
      </c>
      <c r="R396" s="126">
        <v>0.127</v>
      </c>
      <c r="S396" s="121">
        <f t="shared" si="44"/>
        <v>-17.017162194827172</v>
      </c>
      <c r="T396" s="121">
        <f t="shared" si="45"/>
        <v>-5543.3070866141734</v>
      </c>
      <c r="U396" s="127">
        <f t="shared" si="46"/>
        <v>-0.12725682017020601</v>
      </c>
      <c r="V396" s="126">
        <v>40</v>
      </c>
      <c r="W396" s="126">
        <f t="shared" si="47"/>
        <v>27980</v>
      </c>
      <c r="X396" s="126">
        <f t="shared" si="48"/>
        <v>699.5</v>
      </c>
      <c r="Y396" s="128" t="s">
        <v>863</v>
      </c>
      <c r="Z396" s="119" t="s">
        <v>35</v>
      </c>
      <c r="AA396" s="119" t="s">
        <v>35</v>
      </c>
      <c r="AB396" s="119" t="s">
        <v>864</v>
      </c>
      <c r="AC396" s="119">
        <v>0</v>
      </c>
      <c r="AD396" s="119">
        <v>1</v>
      </c>
      <c r="AE396" s="119" t="s">
        <v>37</v>
      </c>
      <c r="AF396" s="119" t="s">
        <v>43</v>
      </c>
      <c r="AG396" s="119" t="s">
        <v>38</v>
      </c>
      <c r="AH396" s="119" t="s">
        <v>92</v>
      </c>
    </row>
    <row r="397" spans="1:34" x14ac:dyDescent="0.3">
      <c r="A397" s="107" t="s">
        <v>864</v>
      </c>
      <c r="B397" s="108" t="s">
        <v>888</v>
      </c>
      <c r="C397" s="108" t="s">
        <v>889</v>
      </c>
      <c r="D397" s="109">
        <v>45737</v>
      </c>
      <c r="E397" s="110">
        <v>140000</v>
      </c>
      <c r="F397" s="108" t="s">
        <v>32</v>
      </c>
      <c r="G397" s="108" t="s">
        <v>33</v>
      </c>
      <c r="H397" s="110">
        <v>140000</v>
      </c>
      <c r="I397" s="110">
        <v>47000</v>
      </c>
      <c r="J397" s="111">
        <f t="shared" si="42"/>
        <v>33.571428571428569</v>
      </c>
      <c r="K397" s="110">
        <v>115002</v>
      </c>
      <c r="L397" s="110">
        <f>H397-108672</f>
        <v>31328</v>
      </c>
      <c r="M397" s="110">
        <v>6330</v>
      </c>
      <c r="N397" s="112">
        <f t="shared" si="43"/>
        <v>4.5214285714285714E-2</v>
      </c>
      <c r="O397" s="113">
        <v>41.37</v>
      </c>
      <c r="P397" s="114">
        <v>138.02000000000001</v>
      </c>
      <c r="Q397" s="115">
        <v>0.127</v>
      </c>
      <c r="R397" s="115">
        <v>0.127</v>
      </c>
      <c r="S397" s="110">
        <f t="shared" si="44"/>
        <v>757.26371766980913</v>
      </c>
      <c r="T397" s="110">
        <f t="shared" si="45"/>
        <v>246677.1653543307</v>
      </c>
      <c r="U397" s="116">
        <f t="shared" si="46"/>
        <v>5.6629284975741667</v>
      </c>
      <c r="V397" s="115">
        <v>40</v>
      </c>
      <c r="W397" s="115">
        <f t="shared" si="47"/>
        <v>28000</v>
      </c>
      <c r="X397" s="115">
        <f t="shared" si="48"/>
        <v>700</v>
      </c>
      <c r="Y397" s="117" t="s">
        <v>863</v>
      </c>
      <c r="Z397" s="108" t="s">
        <v>35</v>
      </c>
      <c r="AA397" s="108" t="s">
        <v>35</v>
      </c>
      <c r="AB397" s="108" t="s">
        <v>864</v>
      </c>
      <c r="AC397" s="108">
        <v>0</v>
      </c>
      <c r="AD397" s="108">
        <v>1</v>
      </c>
      <c r="AE397" s="108" t="s">
        <v>42</v>
      </c>
      <c r="AF397" s="108" t="s">
        <v>35</v>
      </c>
      <c r="AG397" s="108" t="s">
        <v>38</v>
      </c>
      <c r="AH397" s="108" t="s">
        <v>92</v>
      </c>
    </row>
    <row r="398" spans="1:34" x14ac:dyDescent="0.3">
      <c r="A398" s="107" t="s">
        <v>864</v>
      </c>
      <c r="B398" s="108" t="s">
        <v>902</v>
      </c>
      <c r="C398" s="108" t="s">
        <v>903</v>
      </c>
      <c r="D398" s="109">
        <v>45099</v>
      </c>
      <c r="E398" s="110">
        <v>145000</v>
      </c>
      <c r="F398" s="108" t="s">
        <v>32</v>
      </c>
      <c r="G398" s="108" t="s">
        <v>33</v>
      </c>
      <c r="H398" s="110">
        <v>145000</v>
      </c>
      <c r="I398" s="110">
        <v>59400</v>
      </c>
      <c r="J398" s="111">
        <f t="shared" si="42"/>
        <v>40.96551724137931</v>
      </c>
      <c r="K398" s="110">
        <v>171325</v>
      </c>
      <c r="L398" s="110">
        <f>H398-164995</f>
        <v>-19995</v>
      </c>
      <c r="M398" s="110">
        <v>6330</v>
      </c>
      <c r="N398" s="112">
        <f t="shared" si="43"/>
        <v>4.3655172413793103E-2</v>
      </c>
      <c r="O398" s="113">
        <v>41.37</v>
      </c>
      <c r="P398" s="114">
        <v>138</v>
      </c>
      <c r="Q398" s="115">
        <v>0.127</v>
      </c>
      <c r="R398" s="115">
        <v>0.127</v>
      </c>
      <c r="S398" s="110">
        <f t="shared" si="44"/>
        <v>-483.32124728063815</v>
      </c>
      <c r="T398" s="110">
        <f t="shared" si="45"/>
        <v>-157440.94488188977</v>
      </c>
      <c r="U398" s="116">
        <f t="shared" si="46"/>
        <v>-3.6143467603739614</v>
      </c>
      <c r="V398" s="115">
        <v>40</v>
      </c>
      <c r="W398" s="115">
        <f t="shared" si="47"/>
        <v>29000</v>
      </c>
      <c r="X398" s="115">
        <f t="shared" si="48"/>
        <v>725</v>
      </c>
      <c r="Y398" s="117" t="s">
        <v>863</v>
      </c>
      <c r="Z398" s="108" t="s">
        <v>35</v>
      </c>
      <c r="AA398" s="108" t="s">
        <v>35</v>
      </c>
      <c r="AB398" s="108" t="s">
        <v>864</v>
      </c>
      <c r="AC398" s="108">
        <v>0</v>
      </c>
      <c r="AD398" s="108">
        <v>1</v>
      </c>
      <c r="AE398" s="108" t="s">
        <v>42</v>
      </c>
      <c r="AF398" s="108" t="s">
        <v>43</v>
      </c>
      <c r="AG398" s="108" t="s">
        <v>38</v>
      </c>
      <c r="AH398" s="108" t="s">
        <v>92</v>
      </c>
    </row>
    <row r="399" spans="1:34" x14ac:dyDescent="0.3">
      <c r="A399" s="107" t="s">
        <v>864</v>
      </c>
      <c r="B399" s="108" t="s">
        <v>927</v>
      </c>
      <c r="C399" s="108" t="s">
        <v>928</v>
      </c>
      <c r="D399" s="109">
        <v>45127</v>
      </c>
      <c r="E399" s="110">
        <v>146500</v>
      </c>
      <c r="F399" s="108" t="s">
        <v>32</v>
      </c>
      <c r="G399" s="108" t="s">
        <v>33</v>
      </c>
      <c r="H399" s="110">
        <v>146500</v>
      </c>
      <c r="I399" s="110">
        <v>43700</v>
      </c>
      <c r="J399" s="111">
        <f t="shared" si="42"/>
        <v>29.829351535836178</v>
      </c>
      <c r="K399" s="110">
        <v>125318</v>
      </c>
      <c r="L399" s="110">
        <f>H399-119844</f>
        <v>26656</v>
      </c>
      <c r="M399" s="110">
        <v>5474</v>
      </c>
      <c r="N399" s="112">
        <f t="shared" si="43"/>
        <v>3.7365187713310578E-2</v>
      </c>
      <c r="O399" s="113">
        <v>35.770000000000003</v>
      </c>
      <c r="P399" s="114">
        <v>99.99</v>
      </c>
      <c r="Q399" s="115">
        <v>9.4E-2</v>
      </c>
      <c r="R399" s="115">
        <v>9.4E-2</v>
      </c>
      <c r="S399" s="110">
        <f t="shared" si="44"/>
        <v>745.20547945205476</v>
      </c>
      <c r="T399" s="110">
        <f t="shared" si="45"/>
        <v>283574.4680851064</v>
      </c>
      <c r="U399" s="116">
        <f t="shared" si="46"/>
        <v>6.5099740148096048</v>
      </c>
      <c r="V399" s="115">
        <v>40</v>
      </c>
      <c r="W399" s="115">
        <f t="shared" si="47"/>
        <v>29300</v>
      </c>
      <c r="X399" s="115">
        <f t="shared" si="48"/>
        <v>732.5</v>
      </c>
      <c r="Y399" s="117" t="s">
        <v>863</v>
      </c>
      <c r="Z399" s="108" t="s">
        <v>35</v>
      </c>
      <c r="AA399" s="108" t="s">
        <v>35</v>
      </c>
      <c r="AB399" s="108" t="s">
        <v>864</v>
      </c>
      <c r="AC399" s="108">
        <v>0</v>
      </c>
      <c r="AD399" s="108">
        <v>1</v>
      </c>
      <c r="AE399" s="108" t="s">
        <v>42</v>
      </c>
      <c r="AF399" s="108" t="s">
        <v>43</v>
      </c>
      <c r="AG399" s="108" t="s">
        <v>38</v>
      </c>
      <c r="AH399" s="108" t="s">
        <v>92</v>
      </c>
    </row>
    <row r="400" spans="1:34" x14ac:dyDescent="0.3">
      <c r="A400" s="118" t="s">
        <v>864</v>
      </c>
      <c r="B400" s="119" t="s">
        <v>906</v>
      </c>
      <c r="C400" s="119" t="s">
        <v>907</v>
      </c>
      <c r="D400" s="120">
        <v>45189</v>
      </c>
      <c r="E400" s="121">
        <v>155000</v>
      </c>
      <c r="F400" s="119" t="s">
        <v>32</v>
      </c>
      <c r="G400" s="119" t="s">
        <v>33</v>
      </c>
      <c r="H400" s="121">
        <v>155000</v>
      </c>
      <c r="I400" s="121">
        <v>58100</v>
      </c>
      <c r="J400" s="122">
        <f t="shared" si="42"/>
        <v>37.483870967741936</v>
      </c>
      <c r="K400" s="121">
        <v>169013</v>
      </c>
      <c r="L400" s="121">
        <f>H400-162366</f>
        <v>-7366</v>
      </c>
      <c r="M400" s="121">
        <v>6647</v>
      </c>
      <c r="N400" s="123">
        <f t="shared" si="43"/>
        <v>4.2883870967741933E-2</v>
      </c>
      <c r="O400" s="124">
        <v>43.44</v>
      </c>
      <c r="P400" s="125">
        <v>138.02000000000001</v>
      </c>
      <c r="Q400" s="126">
        <v>0.13300000000000001</v>
      </c>
      <c r="R400" s="126">
        <v>0.13300000000000001</v>
      </c>
      <c r="S400" s="121">
        <f t="shared" si="44"/>
        <v>-169.56721915285453</v>
      </c>
      <c r="T400" s="121">
        <f t="shared" si="45"/>
        <v>-55383.458646616542</v>
      </c>
      <c r="U400" s="127">
        <f t="shared" si="46"/>
        <v>-1.2714292618598839</v>
      </c>
      <c r="V400" s="126">
        <v>42</v>
      </c>
      <c r="W400" s="126">
        <f t="shared" si="47"/>
        <v>31000</v>
      </c>
      <c r="X400" s="126">
        <f t="shared" si="48"/>
        <v>738.09523809523807</v>
      </c>
      <c r="Y400" s="128" t="s">
        <v>863</v>
      </c>
      <c r="Z400" s="119" t="s">
        <v>35</v>
      </c>
      <c r="AA400" s="119" t="s">
        <v>35</v>
      </c>
      <c r="AB400" s="119" t="s">
        <v>864</v>
      </c>
      <c r="AC400" s="119">
        <v>0</v>
      </c>
      <c r="AD400" s="119">
        <v>1</v>
      </c>
      <c r="AE400" s="119" t="s">
        <v>37</v>
      </c>
      <c r="AF400" s="119" t="s">
        <v>43</v>
      </c>
      <c r="AG400" s="119" t="s">
        <v>38</v>
      </c>
      <c r="AH400" s="119" t="s">
        <v>92</v>
      </c>
    </row>
    <row r="401" spans="1:34" x14ac:dyDescent="0.3">
      <c r="A401" s="107" t="s">
        <v>864</v>
      </c>
      <c r="B401" s="108" t="s">
        <v>871</v>
      </c>
      <c r="C401" s="108" t="s">
        <v>872</v>
      </c>
      <c r="D401" s="109">
        <v>45563</v>
      </c>
      <c r="E401" s="110">
        <v>150000</v>
      </c>
      <c r="F401" s="108" t="s">
        <v>32</v>
      </c>
      <c r="G401" s="108" t="s">
        <v>33</v>
      </c>
      <c r="H401" s="110">
        <v>150000</v>
      </c>
      <c r="I401" s="110">
        <v>26500</v>
      </c>
      <c r="J401" s="111">
        <f t="shared" si="42"/>
        <v>17.666666666666668</v>
      </c>
      <c r="K401" s="110">
        <v>62416</v>
      </c>
      <c r="L401" s="110">
        <f>H401-56086</f>
        <v>93914</v>
      </c>
      <c r="M401" s="110">
        <v>6330</v>
      </c>
      <c r="N401" s="112">
        <f t="shared" si="43"/>
        <v>4.2200000000000001E-2</v>
      </c>
      <c r="O401" s="113">
        <v>41.37</v>
      </c>
      <c r="P401" s="114">
        <v>138</v>
      </c>
      <c r="Q401" s="115">
        <v>0.127</v>
      </c>
      <c r="R401" s="115">
        <v>0.127</v>
      </c>
      <c r="S401" s="110">
        <f t="shared" si="44"/>
        <v>2270.0991056321009</v>
      </c>
      <c r="T401" s="110">
        <f t="shared" si="45"/>
        <v>739480.31496062991</v>
      </c>
      <c r="U401" s="116">
        <f t="shared" si="46"/>
        <v>16.97613211571694</v>
      </c>
      <c r="V401" s="115">
        <v>40</v>
      </c>
      <c r="W401" s="115">
        <f t="shared" si="47"/>
        <v>30000</v>
      </c>
      <c r="X401" s="115">
        <f t="shared" si="48"/>
        <v>750</v>
      </c>
      <c r="Y401" s="117" t="s">
        <v>863</v>
      </c>
      <c r="Z401" s="108" t="s">
        <v>35</v>
      </c>
      <c r="AA401" s="108" t="s">
        <v>35</v>
      </c>
      <c r="AB401" s="108" t="s">
        <v>864</v>
      </c>
      <c r="AC401" s="108">
        <v>0</v>
      </c>
      <c r="AD401" s="108">
        <v>1</v>
      </c>
      <c r="AE401" s="108" t="s">
        <v>37</v>
      </c>
      <c r="AF401" s="108" t="s">
        <v>35</v>
      </c>
      <c r="AG401" s="108" t="s">
        <v>38</v>
      </c>
      <c r="AH401" s="108" t="s">
        <v>92</v>
      </c>
    </row>
    <row r="402" spans="1:34" x14ac:dyDescent="0.3">
      <c r="A402" s="107" t="s">
        <v>864</v>
      </c>
      <c r="B402" s="108" t="s">
        <v>890</v>
      </c>
      <c r="C402" s="108" t="s">
        <v>891</v>
      </c>
      <c r="D402" s="109">
        <v>45453</v>
      </c>
      <c r="E402" s="110">
        <v>176500</v>
      </c>
      <c r="F402" s="108" t="s">
        <v>32</v>
      </c>
      <c r="G402" s="108" t="s">
        <v>33</v>
      </c>
      <c r="H402" s="110">
        <v>176500</v>
      </c>
      <c r="I402" s="110">
        <v>66000</v>
      </c>
      <c r="J402" s="111">
        <f t="shared" si="42"/>
        <v>37.393767705382437</v>
      </c>
      <c r="K402" s="110">
        <v>163796</v>
      </c>
      <c r="L402" s="110">
        <f>H402-156464</f>
        <v>20036</v>
      </c>
      <c r="M402" s="110">
        <v>7332</v>
      </c>
      <c r="N402" s="112">
        <f t="shared" si="43"/>
        <v>4.1541076487252124E-2</v>
      </c>
      <c r="O402" s="113">
        <v>47.92</v>
      </c>
      <c r="P402" s="114">
        <v>138.01</v>
      </c>
      <c r="Q402" s="115">
        <v>0.14799999999999999</v>
      </c>
      <c r="R402" s="115">
        <v>0.14799999999999999</v>
      </c>
      <c r="S402" s="110">
        <f t="shared" si="44"/>
        <v>418.11352253756257</v>
      </c>
      <c r="T402" s="110">
        <f t="shared" si="45"/>
        <v>135378.37837837837</v>
      </c>
      <c r="U402" s="116">
        <f t="shared" si="46"/>
        <v>3.1078599260417441</v>
      </c>
      <c r="V402" s="115">
        <v>45.77</v>
      </c>
      <c r="W402" s="115">
        <f t="shared" si="47"/>
        <v>35300</v>
      </c>
      <c r="X402" s="115">
        <f t="shared" si="48"/>
        <v>771.24754205811666</v>
      </c>
      <c r="Y402" s="117" t="s">
        <v>863</v>
      </c>
      <c r="Z402" s="108" t="s">
        <v>35</v>
      </c>
      <c r="AA402" s="108" t="s">
        <v>35</v>
      </c>
      <c r="AB402" s="108" t="s">
        <v>864</v>
      </c>
      <c r="AC402" s="108">
        <v>0</v>
      </c>
      <c r="AD402" s="108">
        <v>1</v>
      </c>
      <c r="AE402" s="108" t="s">
        <v>42</v>
      </c>
      <c r="AF402" s="108" t="s">
        <v>43</v>
      </c>
      <c r="AG402" s="108" t="s">
        <v>38</v>
      </c>
      <c r="AH402" s="108" t="s">
        <v>92</v>
      </c>
    </row>
    <row r="403" spans="1:34" x14ac:dyDescent="0.3">
      <c r="A403" s="107" t="s">
        <v>864</v>
      </c>
      <c r="B403" s="108" t="s">
        <v>933</v>
      </c>
      <c r="C403" s="108" t="s">
        <v>934</v>
      </c>
      <c r="D403" s="109">
        <v>45597</v>
      </c>
      <c r="E403" s="110">
        <v>155000</v>
      </c>
      <c r="F403" s="108" t="s">
        <v>32</v>
      </c>
      <c r="G403" s="108" t="s">
        <v>33</v>
      </c>
      <c r="H403" s="110">
        <v>155000</v>
      </c>
      <c r="I403" s="110">
        <v>47900</v>
      </c>
      <c r="J403" s="111">
        <f t="shared" si="42"/>
        <v>30.903225806451612</v>
      </c>
      <c r="K403" s="110">
        <v>117209</v>
      </c>
      <c r="L403" s="110">
        <f>H403-111558</f>
        <v>43442</v>
      </c>
      <c r="M403" s="110">
        <v>5651</v>
      </c>
      <c r="N403" s="112">
        <f t="shared" si="43"/>
        <v>3.6458064516129034E-2</v>
      </c>
      <c r="O403" s="113">
        <v>36.93</v>
      </c>
      <c r="P403" s="114">
        <v>110</v>
      </c>
      <c r="Q403" s="115">
        <v>0.10100000000000001</v>
      </c>
      <c r="R403" s="115">
        <v>0.10100000000000001</v>
      </c>
      <c r="S403" s="110">
        <f t="shared" si="44"/>
        <v>1176.333604115895</v>
      </c>
      <c r="T403" s="110">
        <f t="shared" si="45"/>
        <v>430118.81188118807</v>
      </c>
      <c r="U403" s="116">
        <f t="shared" si="46"/>
        <v>9.8741692351053274</v>
      </c>
      <c r="V403" s="115">
        <v>40</v>
      </c>
      <c r="W403" s="115">
        <f t="shared" si="47"/>
        <v>31000</v>
      </c>
      <c r="X403" s="115">
        <f t="shared" si="48"/>
        <v>775</v>
      </c>
      <c r="Y403" s="117" t="s">
        <v>863</v>
      </c>
      <c r="Z403" s="108" t="s">
        <v>35</v>
      </c>
      <c r="AA403" s="108" t="s">
        <v>35</v>
      </c>
      <c r="AB403" s="108" t="s">
        <v>864</v>
      </c>
      <c r="AC403" s="108">
        <v>0</v>
      </c>
      <c r="AD403" s="108">
        <v>1</v>
      </c>
      <c r="AE403" s="108" t="s">
        <v>42</v>
      </c>
      <c r="AF403" s="108" t="s">
        <v>35</v>
      </c>
      <c r="AG403" s="108" t="s">
        <v>38</v>
      </c>
      <c r="AH403" s="108" t="s">
        <v>92</v>
      </c>
    </row>
    <row r="404" spans="1:34" x14ac:dyDescent="0.3">
      <c r="A404" s="118" t="s">
        <v>864</v>
      </c>
      <c r="B404" s="119" t="s">
        <v>894</v>
      </c>
      <c r="C404" s="119" t="s">
        <v>895</v>
      </c>
      <c r="D404" s="120">
        <v>45506</v>
      </c>
      <c r="E404" s="121">
        <v>157000</v>
      </c>
      <c r="F404" s="119" t="s">
        <v>32</v>
      </c>
      <c r="G404" s="119" t="s">
        <v>33</v>
      </c>
      <c r="H404" s="121">
        <v>157000</v>
      </c>
      <c r="I404" s="121">
        <v>63900</v>
      </c>
      <c r="J404" s="122">
        <f t="shared" si="42"/>
        <v>40.70063694267516</v>
      </c>
      <c r="K404" s="121">
        <v>156788</v>
      </c>
      <c r="L404" s="121">
        <f>H404-150458</f>
        <v>6542</v>
      </c>
      <c r="M404" s="121">
        <v>6330</v>
      </c>
      <c r="N404" s="123">
        <f t="shared" si="43"/>
        <v>4.0318471337579619E-2</v>
      </c>
      <c r="O404" s="124">
        <v>41.37</v>
      </c>
      <c r="P404" s="125">
        <v>138.02000000000001</v>
      </c>
      <c r="Q404" s="126">
        <v>0.127</v>
      </c>
      <c r="R404" s="126">
        <v>0.127</v>
      </c>
      <c r="S404" s="121">
        <f t="shared" si="44"/>
        <v>158.13391346386271</v>
      </c>
      <c r="T404" s="121">
        <f t="shared" si="45"/>
        <v>51511.811023622045</v>
      </c>
      <c r="U404" s="127">
        <f t="shared" si="46"/>
        <v>1.1825484624339313</v>
      </c>
      <c r="V404" s="126">
        <v>40</v>
      </c>
      <c r="W404" s="126">
        <f t="shared" si="47"/>
        <v>31400</v>
      </c>
      <c r="X404" s="126">
        <f t="shared" si="48"/>
        <v>785</v>
      </c>
      <c r="Y404" s="128" t="s">
        <v>863</v>
      </c>
      <c r="Z404" s="119" t="s">
        <v>35</v>
      </c>
      <c r="AA404" s="119" t="s">
        <v>35</v>
      </c>
      <c r="AB404" s="119" t="s">
        <v>864</v>
      </c>
      <c r="AC404" s="119">
        <v>0</v>
      </c>
      <c r="AD404" s="119">
        <v>1</v>
      </c>
      <c r="AE404" s="119" t="s">
        <v>42</v>
      </c>
      <c r="AF404" s="119" t="s">
        <v>43</v>
      </c>
      <c r="AG404" s="119" t="s">
        <v>38</v>
      </c>
      <c r="AH404" s="119" t="s">
        <v>92</v>
      </c>
    </row>
    <row r="405" spans="1:34" x14ac:dyDescent="0.3">
      <c r="A405" s="118" t="s">
        <v>864</v>
      </c>
      <c r="B405" s="119" t="s">
        <v>921</v>
      </c>
      <c r="C405" s="119" t="s">
        <v>922</v>
      </c>
      <c r="D405" s="120">
        <v>45561</v>
      </c>
      <c r="E405" s="121">
        <v>164900</v>
      </c>
      <c r="F405" s="119" t="s">
        <v>32</v>
      </c>
      <c r="G405" s="119" t="s">
        <v>33</v>
      </c>
      <c r="H405" s="121">
        <v>164900</v>
      </c>
      <c r="I405" s="121">
        <v>68000</v>
      </c>
      <c r="J405" s="122">
        <f t="shared" si="42"/>
        <v>41.237113402061851</v>
      </c>
      <c r="K405" s="121">
        <v>169093</v>
      </c>
      <c r="L405" s="121">
        <f>H405-162446</f>
        <v>2454</v>
      </c>
      <c r="M405" s="121">
        <v>6647</v>
      </c>
      <c r="N405" s="123">
        <f t="shared" si="43"/>
        <v>4.0309278350515461E-2</v>
      </c>
      <c r="O405" s="124">
        <v>43.44</v>
      </c>
      <c r="P405" s="125">
        <v>138.02000000000001</v>
      </c>
      <c r="Q405" s="126">
        <v>0.13300000000000001</v>
      </c>
      <c r="R405" s="126">
        <v>0.13300000000000001</v>
      </c>
      <c r="S405" s="121">
        <f t="shared" si="44"/>
        <v>56.491712707182323</v>
      </c>
      <c r="T405" s="121">
        <f t="shared" si="45"/>
        <v>18451.12781954887</v>
      </c>
      <c r="U405" s="127">
        <f t="shared" si="46"/>
        <v>0.42357961018248097</v>
      </c>
      <c r="V405" s="126">
        <v>42</v>
      </c>
      <c r="W405" s="126">
        <f t="shared" si="47"/>
        <v>32980</v>
      </c>
      <c r="X405" s="126">
        <f t="shared" si="48"/>
        <v>785.23809523809518</v>
      </c>
      <c r="Y405" s="128" t="s">
        <v>863</v>
      </c>
      <c r="Z405" s="119" t="s">
        <v>35</v>
      </c>
      <c r="AA405" s="119" t="s">
        <v>35</v>
      </c>
      <c r="AB405" s="119" t="s">
        <v>864</v>
      </c>
      <c r="AC405" s="119">
        <v>0</v>
      </c>
      <c r="AD405" s="119">
        <v>1</v>
      </c>
      <c r="AE405" s="119" t="s">
        <v>37</v>
      </c>
      <c r="AF405" s="119" t="s">
        <v>43</v>
      </c>
      <c r="AG405" s="119" t="s">
        <v>38</v>
      </c>
      <c r="AH405" s="119" t="s">
        <v>92</v>
      </c>
    </row>
    <row r="406" spans="1:34" x14ac:dyDescent="0.3">
      <c r="A406" s="118" t="s">
        <v>864</v>
      </c>
      <c r="B406" s="119" t="s">
        <v>923</v>
      </c>
      <c r="C406" s="119" t="s">
        <v>924</v>
      </c>
      <c r="D406" s="120">
        <v>45443</v>
      </c>
      <c r="E406" s="121">
        <v>165000</v>
      </c>
      <c r="F406" s="119" t="s">
        <v>32</v>
      </c>
      <c r="G406" s="119" t="s">
        <v>33</v>
      </c>
      <c r="H406" s="121">
        <v>165000</v>
      </c>
      <c r="I406" s="121">
        <v>65600</v>
      </c>
      <c r="J406" s="122">
        <f t="shared" si="42"/>
        <v>39.757575757575758</v>
      </c>
      <c r="K406" s="121">
        <v>163247</v>
      </c>
      <c r="L406" s="121">
        <f>H406-156768</f>
        <v>8232</v>
      </c>
      <c r="M406" s="121">
        <v>6479</v>
      </c>
      <c r="N406" s="123">
        <f t="shared" si="43"/>
        <v>3.9266666666666665E-2</v>
      </c>
      <c r="O406" s="124">
        <v>42.34</v>
      </c>
      <c r="P406" s="125">
        <v>131.13</v>
      </c>
      <c r="Q406" s="126">
        <v>0.126</v>
      </c>
      <c r="R406" s="126">
        <v>0.126</v>
      </c>
      <c r="S406" s="121">
        <f t="shared" si="44"/>
        <v>194.4260746339159</v>
      </c>
      <c r="T406" s="121">
        <f t="shared" si="45"/>
        <v>65333.333333333336</v>
      </c>
      <c r="U406" s="127">
        <f t="shared" si="46"/>
        <v>1.4998469543924089</v>
      </c>
      <c r="V406" s="126">
        <v>42</v>
      </c>
      <c r="W406" s="126">
        <f t="shared" si="47"/>
        <v>33000</v>
      </c>
      <c r="X406" s="126">
        <f t="shared" si="48"/>
        <v>785.71428571428567</v>
      </c>
      <c r="Y406" s="128" t="s">
        <v>863</v>
      </c>
      <c r="Z406" s="119" t="s">
        <v>35</v>
      </c>
      <c r="AA406" s="119" t="s">
        <v>35</v>
      </c>
      <c r="AB406" s="119" t="s">
        <v>864</v>
      </c>
      <c r="AC406" s="119">
        <v>0</v>
      </c>
      <c r="AD406" s="119">
        <v>1</v>
      </c>
      <c r="AE406" s="119" t="s">
        <v>37</v>
      </c>
      <c r="AF406" s="119" t="s">
        <v>43</v>
      </c>
      <c r="AG406" s="119" t="s">
        <v>38</v>
      </c>
      <c r="AH406" s="119" t="s">
        <v>92</v>
      </c>
    </row>
    <row r="407" spans="1:34" x14ac:dyDescent="0.3">
      <c r="A407" s="118" t="s">
        <v>864</v>
      </c>
      <c r="B407" s="119" t="s">
        <v>892</v>
      </c>
      <c r="C407" s="119" t="s">
        <v>893</v>
      </c>
      <c r="D407" s="120">
        <v>45198</v>
      </c>
      <c r="E407" s="121">
        <v>167500</v>
      </c>
      <c r="F407" s="119" t="s">
        <v>32</v>
      </c>
      <c r="G407" s="119" t="s">
        <v>33</v>
      </c>
      <c r="H407" s="121">
        <v>167500</v>
      </c>
      <c r="I407" s="121">
        <v>59200</v>
      </c>
      <c r="J407" s="122">
        <f t="shared" si="42"/>
        <v>35.343283582089555</v>
      </c>
      <c r="K407" s="121">
        <v>171801</v>
      </c>
      <c r="L407" s="121">
        <f>H407-165154</f>
        <v>2346</v>
      </c>
      <c r="M407" s="121">
        <v>6647</v>
      </c>
      <c r="N407" s="123">
        <f t="shared" si="43"/>
        <v>3.9683582089552236E-2</v>
      </c>
      <c r="O407" s="124">
        <v>43.44</v>
      </c>
      <c r="P407" s="125">
        <v>138.02000000000001</v>
      </c>
      <c r="Q407" s="126">
        <v>0.13300000000000001</v>
      </c>
      <c r="R407" s="126">
        <v>0.13300000000000001</v>
      </c>
      <c r="S407" s="121">
        <f t="shared" si="44"/>
        <v>54.005524861878456</v>
      </c>
      <c r="T407" s="121">
        <f t="shared" si="45"/>
        <v>17639.097744360901</v>
      </c>
      <c r="U407" s="127">
        <f t="shared" si="46"/>
        <v>0.40493796474657717</v>
      </c>
      <c r="V407" s="126">
        <v>42</v>
      </c>
      <c r="W407" s="126">
        <f t="shared" si="47"/>
        <v>33500</v>
      </c>
      <c r="X407" s="126">
        <f t="shared" si="48"/>
        <v>797.61904761904759</v>
      </c>
      <c r="Y407" s="128" t="s">
        <v>863</v>
      </c>
      <c r="Z407" s="119" t="s">
        <v>35</v>
      </c>
      <c r="AA407" s="119" t="s">
        <v>35</v>
      </c>
      <c r="AB407" s="119" t="s">
        <v>864</v>
      </c>
      <c r="AC407" s="119">
        <v>0</v>
      </c>
      <c r="AD407" s="119">
        <v>1</v>
      </c>
      <c r="AE407" s="119" t="s">
        <v>37</v>
      </c>
      <c r="AF407" s="119" t="s">
        <v>43</v>
      </c>
      <c r="AG407" s="119" t="s">
        <v>38</v>
      </c>
      <c r="AH407" s="119" t="s">
        <v>92</v>
      </c>
    </row>
    <row r="408" spans="1:34" x14ac:dyDescent="0.3">
      <c r="A408" s="107" t="s">
        <v>864</v>
      </c>
      <c r="B408" s="108" t="s">
        <v>879</v>
      </c>
      <c r="C408" s="108" t="s">
        <v>880</v>
      </c>
      <c r="D408" s="109">
        <v>45531</v>
      </c>
      <c r="E408" s="110">
        <v>160000</v>
      </c>
      <c r="F408" s="108" t="s">
        <v>32</v>
      </c>
      <c r="G408" s="108" t="s">
        <v>33</v>
      </c>
      <c r="H408" s="110">
        <v>160000</v>
      </c>
      <c r="I408" s="110">
        <v>60700</v>
      </c>
      <c r="J408" s="111">
        <f t="shared" si="42"/>
        <v>37.9375</v>
      </c>
      <c r="K408" s="110">
        <v>145468</v>
      </c>
      <c r="L408" s="110">
        <f>H408-139138</f>
        <v>20862</v>
      </c>
      <c r="M408" s="110">
        <v>6330</v>
      </c>
      <c r="N408" s="112">
        <f t="shared" si="43"/>
        <v>3.95625E-2</v>
      </c>
      <c r="O408" s="113">
        <v>41.37</v>
      </c>
      <c r="P408" s="114">
        <v>138.02000000000001</v>
      </c>
      <c r="Q408" s="115">
        <v>0.127</v>
      </c>
      <c r="R408" s="115">
        <v>0.127</v>
      </c>
      <c r="S408" s="110">
        <f t="shared" si="44"/>
        <v>504.27846265409721</v>
      </c>
      <c r="T408" s="110">
        <f t="shared" si="45"/>
        <v>164267.71653543308</v>
      </c>
      <c r="U408" s="116">
        <f t="shared" si="46"/>
        <v>3.7710678727142581</v>
      </c>
      <c r="V408" s="115">
        <v>40</v>
      </c>
      <c r="W408" s="115">
        <f t="shared" si="47"/>
        <v>32000</v>
      </c>
      <c r="X408" s="115">
        <f t="shared" si="48"/>
        <v>800</v>
      </c>
      <c r="Y408" s="117" t="s">
        <v>863</v>
      </c>
      <c r="Z408" s="108" t="s">
        <v>35</v>
      </c>
      <c r="AA408" s="108" t="s">
        <v>35</v>
      </c>
      <c r="AB408" s="108" t="s">
        <v>864</v>
      </c>
      <c r="AC408" s="108">
        <v>0</v>
      </c>
      <c r="AD408" s="108">
        <v>1</v>
      </c>
      <c r="AE408" s="108" t="s">
        <v>881</v>
      </c>
      <c r="AF408" s="108" t="s">
        <v>43</v>
      </c>
      <c r="AG408" s="108" t="s">
        <v>38</v>
      </c>
      <c r="AH408" s="108" t="s">
        <v>92</v>
      </c>
    </row>
    <row r="409" spans="1:34" x14ac:dyDescent="0.3">
      <c r="A409" s="107" t="s">
        <v>864</v>
      </c>
      <c r="B409" s="108" t="s">
        <v>873</v>
      </c>
      <c r="C409" s="108" t="s">
        <v>874</v>
      </c>
      <c r="D409" s="109">
        <v>45226</v>
      </c>
      <c r="E409" s="110">
        <v>160500</v>
      </c>
      <c r="F409" s="108" t="s">
        <v>32</v>
      </c>
      <c r="G409" s="108" t="s">
        <v>33</v>
      </c>
      <c r="H409" s="110">
        <v>160500</v>
      </c>
      <c r="I409" s="110">
        <v>50800</v>
      </c>
      <c r="J409" s="111">
        <f t="shared" si="42"/>
        <v>31.651090342679129</v>
      </c>
      <c r="K409" s="110">
        <v>142172</v>
      </c>
      <c r="L409" s="110">
        <f>H409-135842</f>
        <v>24658</v>
      </c>
      <c r="M409" s="110">
        <v>6330</v>
      </c>
      <c r="N409" s="112">
        <f t="shared" si="43"/>
        <v>3.9439252336448599E-2</v>
      </c>
      <c r="O409" s="113">
        <v>41.37</v>
      </c>
      <c r="P409" s="114">
        <v>138</v>
      </c>
      <c r="Q409" s="115">
        <v>0.127</v>
      </c>
      <c r="R409" s="115">
        <v>0.127</v>
      </c>
      <c r="S409" s="110">
        <f t="shared" si="44"/>
        <v>596.03577471597782</v>
      </c>
      <c r="T409" s="110">
        <f t="shared" si="45"/>
        <v>194157.48031496062</v>
      </c>
      <c r="U409" s="116">
        <f t="shared" si="46"/>
        <v>4.4572424314729249</v>
      </c>
      <c r="V409" s="115">
        <v>40</v>
      </c>
      <c r="W409" s="115">
        <f t="shared" si="47"/>
        <v>32100</v>
      </c>
      <c r="X409" s="115">
        <f t="shared" si="48"/>
        <v>802.5</v>
      </c>
      <c r="Y409" s="117" t="s">
        <v>863</v>
      </c>
      <c r="Z409" s="108" t="s">
        <v>35</v>
      </c>
      <c r="AA409" s="108" t="s">
        <v>35</v>
      </c>
      <c r="AB409" s="108" t="s">
        <v>864</v>
      </c>
      <c r="AC409" s="108">
        <v>0</v>
      </c>
      <c r="AD409" s="108">
        <v>1</v>
      </c>
      <c r="AE409" s="108" t="s">
        <v>37</v>
      </c>
      <c r="AF409" s="108" t="s">
        <v>43</v>
      </c>
      <c r="AG409" s="108" t="s">
        <v>38</v>
      </c>
      <c r="AH409" s="108" t="s">
        <v>92</v>
      </c>
    </row>
    <row r="410" spans="1:34" x14ac:dyDescent="0.3">
      <c r="A410" s="118" t="s">
        <v>864</v>
      </c>
      <c r="B410" s="119" t="s">
        <v>904</v>
      </c>
      <c r="C410" s="119" t="s">
        <v>905</v>
      </c>
      <c r="D410" s="120">
        <v>45653</v>
      </c>
      <c r="E410" s="121">
        <v>174900</v>
      </c>
      <c r="F410" s="119" t="s">
        <v>32</v>
      </c>
      <c r="G410" s="119" t="s">
        <v>33</v>
      </c>
      <c r="H410" s="121">
        <v>174900</v>
      </c>
      <c r="I410" s="121">
        <v>65600</v>
      </c>
      <c r="J410" s="122">
        <f t="shared" si="42"/>
        <v>37.507146941109205</v>
      </c>
      <c r="K410" s="121">
        <v>162545</v>
      </c>
      <c r="L410" s="121">
        <f>H410-155898</f>
        <v>19002</v>
      </c>
      <c r="M410" s="121">
        <v>6647</v>
      </c>
      <c r="N410" s="123">
        <f t="shared" si="43"/>
        <v>3.8004574042309891E-2</v>
      </c>
      <c r="O410" s="124">
        <v>43.44</v>
      </c>
      <c r="P410" s="125">
        <v>138.02000000000001</v>
      </c>
      <c r="Q410" s="126">
        <v>0.13300000000000001</v>
      </c>
      <c r="R410" s="126">
        <v>0.13300000000000001</v>
      </c>
      <c r="S410" s="121">
        <f t="shared" si="44"/>
        <v>437.43093922651934</v>
      </c>
      <c r="T410" s="121">
        <f t="shared" si="45"/>
        <v>142872.18045112782</v>
      </c>
      <c r="U410" s="127">
        <f t="shared" si="46"/>
        <v>3.2798939497504089</v>
      </c>
      <c r="V410" s="126">
        <v>42</v>
      </c>
      <c r="W410" s="126">
        <f t="shared" si="47"/>
        <v>34980</v>
      </c>
      <c r="X410" s="126">
        <f t="shared" si="48"/>
        <v>832.85714285714289</v>
      </c>
      <c r="Y410" s="128" t="s">
        <v>863</v>
      </c>
      <c r="Z410" s="119" t="s">
        <v>35</v>
      </c>
      <c r="AA410" s="119" t="s">
        <v>35</v>
      </c>
      <c r="AB410" s="119" t="s">
        <v>864</v>
      </c>
      <c r="AC410" s="119">
        <v>0</v>
      </c>
      <c r="AD410" s="119">
        <v>1</v>
      </c>
      <c r="AE410" s="119" t="s">
        <v>37</v>
      </c>
      <c r="AF410" s="119" t="s">
        <v>35</v>
      </c>
      <c r="AG410" s="119" t="s">
        <v>38</v>
      </c>
      <c r="AH410" s="119" t="s">
        <v>92</v>
      </c>
    </row>
    <row r="411" spans="1:34" x14ac:dyDescent="0.3">
      <c r="A411" s="107" t="s">
        <v>864</v>
      </c>
      <c r="B411" s="108" t="s">
        <v>925</v>
      </c>
      <c r="C411" s="108" t="s">
        <v>926</v>
      </c>
      <c r="D411" s="109">
        <v>45379</v>
      </c>
      <c r="E411" s="110">
        <v>168000</v>
      </c>
      <c r="F411" s="108" t="s">
        <v>32</v>
      </c>
      <c r="G411" s="108" t="s">
        <v>33</v>
      </c>
      <c r="H411" s="110">
        <v>168000</v>
      </c>
      <c r="I411" s="110">
        <v>58300</v>
      </c>
      <c r="J411" s="111">
        <f t="shared" si="42"/>
        <v>34.702380952380949</v>
      </c>
      <c r="K411" s="110">
        <v>170014</v>
      </c>
      <c r="L411" s="110">
        <f>H411-163792</f>
        <v>4208</v>
      </c>
      <c r="M411" s="110">
        <v>6222</v>
      </c>
      <c r="N411" s="112">
        <f t="shared" si="43"/>
        <v>3.7035714285714283E-2</v>
      </c>
      <c r="O411" s="113">
        <v>40.659999999999997</v>
      </c>
      <c r="P411" s="114">
        <v>133.34</v>
      </c>
      <c r="Q411" s="115">
        <v>0.122</v>
      </c>
      <c r="R411" s="115">
        <v>0.122</v>
      </c>
      <c r="S411" s="110">
        <f t="shared" si="44"/>
        <v>103.49237579931138</v>
      </c>
      <c r="T411" s="110">
        <f t="shared" si="45"/>
        <v>34491.803278688523</v>
      </c>
      <c r="U411" s="116">
        <f t="shared" si="46"/>
        <v>0.79182284845474116</v>
      </c>
      <c r="V411" s="115">
        <v>40</v>
      </c>
      <c r="W411" s="115">
        <f t="shared" si="47"/>
        <v>33600</v>
      </c>
      <c r="X411" s="115">
        <f t="shared" si="48"/>
        <v>840</v>
      </c>
      <c r="Y411" s="117" t="s">
        <v>863</v>
      </c>
      <c r="Z411" s="108" t="s">
        <v>35</v>
      </c>
      <c r="AA411" s="108" t="s">
        <v>35</v>
      </c>
      <c r="AB411" s="108" t="s">
        <v>864</v>
      </c>
      <c r="AC411" s="108">
        <v>0</v>
      </c>
      <c r="AD411" s="108">
        <v>1</v>
      </c>
      <c r="AE411" s="108" t="s">
        <v>37</v>
      </c>
      <c r="AF411" s="108" t="s">
        <v>43</v>
      </c>
      <c r="AG411" s="108" t="s">
        <v>38</v>
      </c>
      <c r="AH411" s="108" t="s">
        <v>92</v>
      </c>
    </row>
    <row r="412" spans="1:34" x14ac:dyDescent="0.3">
      <c r="A412" s="107" t="s">
        <v>864</v>
      </c>
      <c r="B412" s="108" t="s">
        <v>861</v>
      </c>
      <c r="C412" s="108" t="s">
        <v>862</v>
      </c>
      <c r="D412" s="109">
        <v>45716</v>
      </c>
      <c r="E412" s="110">
        <v>168000</v>
      </c>
      <c r="F412" s="108" t="s">
        <v>32</v>
      </c>
      <c r="G412" s="108" t="s">
        <v>33</v>
      </c>
      <c r="H412" s="110">
        <v>168000</v>
      </c>
      <c r="I412" s="110">
        <v>53100</v>
      </c>
      <c r="J412" s="111">
        <f t="shared" si="42"/>
        <v>31.607142857142854</v>
      </c>
      <c r="K412" s="110">
        <v>130396</v>
      </c>
      <c r="L412" s="110">
        <f>H412-124066</f>
        <v>43934</v>
      </c>
      <c r="M412" s="110">
        <v>6330</v>
      </c>
      <c r="N412" s="112">
        <f t="shared" si="43"/>
        <v>3.7678571428571429E-2</v>
      </c>
      <c r="O412" s="113">
        <v>41.37</v>
      </c>
      <c r="P412" s="114">
        <v>138</v>
      </c>
      <c r="Q412" s="115">
        <v>0.127</v>
      </c>
      <c r="R412" s="115">
        <v>0.127</v>
      </c>
      <c r="S412" s="110">
        <f t="shared" si="44"/>
        <v>1061.9772782209332</v>
      </c>
      <c r="T412" s="110">
        <f t="shared" si="45"/>
        <v>345937.00787401572</v>
      </c>
      <c r="U412" s="116">
        <f t="shared" si="46"/>
        <v>7.9416209337469175</v>
      </c>
      <c r="V412" s="115">
        <v>40</v>
      </c>
      <c r="W412" s="115">
        <f t="shared" si="47"/>
        <v>33600</v>
      </c>
      <c r="X412" s="115">
        <f t="shared" si="48"/>
        <v>840</v>
      </c>
      <c r="Y412" s="117" t="s">
        <v>863</v>
      </c>
      <c r="Z412" s="108" t="s">
        <v>35</v>
      </c>
      <c r="AA412" s="108" t="s">
        <v>35</v>
      </c>
      <c r="AB412" s="108" t="s">
        <v>864</v>
      </c>
      <c r="AC412" s="108">
        <v>0</v>
      </c>
      <c r="AD412" s="108">
        <v>1</v>
      </c>
      <c r="AE412" s="108" t="s">
        <v>37</v>
      </c>
      <c r="AF412" s="108" t="s">
        <v>35</v>
      </c>
      <c r="AG412" s="108" t="s">
        <v>38</v>
      </c>
      <c r="AH412" s="108" t="s">
        <v>92</v>
      </c>
    </row>
    <row r="413" spans="1:34" x14ac:dyDescent="0.3">
      <c r="A413" s="107" t="s">
        <v>864</v>
      </c>
      <c r="B413" s="108" t="s">
        <v>896</v>
      </c>
      <c r="C413" s="108" t="s">
        <v>897</v>
      </c>
      <c r="D413" s="109">
        <v>45401</v>
      </c>
      <c r="E413" s="110">
        <v>170000</v>
      </c>
      <c r="F413" s="108" t="s">
        <v>32</v>
      </c>
      <c r="G413" s="108" t="s">
        <v>33</v>
      </c>
      <c r="H413" s="110">
        <v>170000</v>
      </c>
      <c r="I413" s="110">
        <v>62100</v>
      </c>
      <c r="J413" s="111">
        <f t="shared" si="42"/>
        <v>36.529411764705884</v>
      </c>
      <c r="K413" s="110">
        <v>146118</v>
      </c>
      <c r="L413" s="110">
        <f>H413-139788</f>
        <v>30212</v>
      </c>
      <c r="M413" s="110">
        <v>6330</v>
      </c>
      <c r="N413" s="112">
        <f t="shared" si="43"/>
        <v>3.7235294117647061E-2</v>
      </c>
      <c r="O413" s="113">
        <v>41.37</v>
      </c>
      <c r="P413" s="114">
        <v>138.02000000000001</v>
      </c>
      <c r="Q413" s="115">
        <v>0.127</v>
      </c>
      <c r="R413" s="115">
        <v>0.127</v>
      </c>
      <c r="S413" s="110">
        <f t="shared" si="44"/>
        <v>730.28764805414551</v>
      </c>
      <c r="T413" s="110">
        <f t="shared" si="45"/>
        <v>237889.76377952757</v>
      </c>
      <c r="U413" s="116">
        <f t="shared" si="46"/>
        <v>5.4611975155998067</v>
      </c>
      <c r="V413" s="115">
        <v>40</v>
      </c>
      <c r="W413" s="115">
        <f t="shared" si="47"/>
        <v>34000</v>
      </c>
      <c r="X413" s="115">
        <f t="shared" si="48"/>
        <v>850</v>
      </c>
      <c r="Y413" s="117" t="s">
        <v>863</v>
      </c>
      <c r="Z413" s="108" t="s">
        <v>35</v>
      </c>
      <c r="AA413" s="108" t="s">
        <v>35</v>
      </c>
      <c r="AB413" s="108" t="s">
        <v>864</v>
      </c>
      <c r="AC413" s="108">
        <v>0</v>
      </c>
      <c r="AD413" s="108">
        <v>1</v>
      </c>
      <c r="AE413" s="108" t="s">
        <v>42</v>
      </c>
      <c r="AF413" s="108" t="s">
        <v>43</v>
      </c>
      <c r="AG413" s="108" t="s">
        <v>38</v>
      </c>
      <c r="AH413" s="108" t="s">
        <v>92</v>
      </c>
    </row>
    <row r="414" spans="1:34" x14ac:dyDescent="0.3">
      <c r="A414" s="107" t="s">
        <v>864</v>
      </c>
      <c r="B414" s="108" t="s">
        <v>908</v>
      </c>
      <c r="C414" s="108" t="s">
        <v>909</v>
      </c>
      <c r="D414" s="109">
        <v>45688</v>
      </c>
      <c r="E414" s="110">
        <v>181000</v>
      </c>
      <c r="F414" s="108" t="s">
        <v>32</v>
      </c>
      <c r="G414" s="108" t="s">
        <v>33</v>
      </c>
      <c r="H414" s="110">
        <v>181000</v>
      </c>
      <c r="I414" s="110">
        <v>64600</v>
      </c>
      <c r="J414" s="111">
        <f t="shared" si="42"/>
        <v>35.690607734806626</v>
      </c>
      <c r="K414" s="110">
        <v>161059</v>
      </c>
      <c r="L414" s="110">
        <f>H414-154412</f>
        <v>26588</v>
      </c>
      <c r="M414" s="110">
        <v>6647</v>
      </c>
      <c r="N414" s="112">
        <f t="shared" si="43"/>
        <v>3.6723756906077348E-2</v>
      </c>
      <c r="O414" s="113">
        <v>43.44</v>
      </c>
      <c r="P414" s="114">
        <v>138.02000000000001</v>
      </c>
      <c r="Q414" s="115">
        <v>0.13300000000000001</v>
      </c>
      <c r="R414" s="115">
        <v>0.13300000000000001</v>
      </c>
      <c r="S414" s="110">
        <f t="shared" si="44"/>
        <v>612.06261510128911</v>
      </c>
      <c r="T414" s="110">
        <f t="shared" si="45"/>
        <v>199909.77443609023</v>
      </c>
      <c r="U414" s="116">
        <f t="shared" si="46"/>
        <v>4.5892969337945413</v>
      </c>
      <c r="V414" s="115">
        <v>42</v>
      </c>
      <c r="W414" s="115">
        <f t="shared" si="47"/>
        <v>36200</v>
      </c>
      <c r="X414" s="115">
        <f t="shared" si="48"/>
        <v>861.90476190476193</v>
      </c>
      <c r="Y414" s="117" t="s">
        <v>863</v>
      </c>
      <c r="Z414" s="108" t="s">
        <v>35</v>
      </c>
      <c r="AA414" s="108" t="s">
        <v>35</v>
      </c>
      <c r="AB414" s="108" t="s">
        <v>864</v>
      </c>
      <c r="AC414" s="108">
        <v>0</v>
      </c>
      <c r="AD414" s="108">
        <v>1</v>
      </c>
      <c r="AE414" s="108" t="s">
        <v>42</v>
      </c>
      <c r="AF414" s="108" t="s">
        <v>35</v>
      </c>
      <c r="AG414" s="108" t="s">
        <v>38</v>
      </c>
      <c r="AH414" s="108" t="s">
        <v>92</v>
      </c>
    </row>
    <row r="415" spans="1:34" x14ac:dyDescent="0.3">
      <c r="A415" s="118" t="s">
        <v>966</v>
      </c>
      <c r="B415" s="119" t="s">
        <v>971</v>
      </c>
      <c r="C415" s="119" t="s">
        <v>972</v>
      </c>
      <c r="D415" s="120">
        <v>45471</v>
      </c>
      <c r="E415" s="121">
        <v>70000</v>
      </c>
      <c r="F415" s="119" t="s">
        <v>32</v>
      </c>
      <c r="G415" s="119" t="s">
        <v>33</v>
      </c>
      <c r="H415" s="121">
        <v>70000</v>
      </c>
      <c r="I415" s="121">
        <v>75500</v>
      </c>
      <c r="J415" s="122">
        <f t="shared" si="42"/>
        <v>107.85714285714285</v>
      </c>
      <c r="K415" s="121">
        <v>112445</v>
      </c>
      <c r="L415" s="121">
        <f>H415-81100</f>
        <v>-11100</v>
      </c>
      <c r="M415" s="121">
        <v>31345</v>
      </c>
      <c r="N415" s="123">
        <f t="shared" si="43"/>
        <v>0.44778571428571429</v>
      </c>
      <c r="O415" s="124">
        <v>129.52000000000001</v>
      </c>
      <c r="P415" s="125">
        <v>304</v>
      </c>
      <c r="Q415" s="126">
        <v>0.97399999999999998</v>
      </c>
      <c r="R415" s="126">
        <v>0.96699999999999997</v>
      </c>
      <c r="S415" s="121">
        <f t="shared" si="44"/>
        <v>-85.701050030883252</v>
      </c>
      <c r="T415" s="121">
        <f t="shared" si="45"/>
        <v>-11396.303901437372</v>
      </c>
      <c r="U415" s="127">
        <f t="shared" si="46"/>
        <v>-0.26162313823318117</v>
      </c>
      <c r="V415" s="126">
        <v>109</v>
      </c>
      <c r="W415" s="126">
        <f t="shared" si="47"/>
        <v>14000</v>
      </c>
      <c r="X415" s="126">
        <f t="shared" si="48"/>
        <v>128.44036697247705</v>
      </c>
      <c r="Y415" s="128" t="s">
        <v>965</v>
      </c>
      <c r="Z415" s="119" t="s">
        <v>35</v>
      </c>
      <c r="AA415" s="119" t="s">
        <v>35</v>
      </c>
      <c r="AB415" s="119" t="s">
        <v>966</v>
      </c>
      <c r="AC415" s="119">
        <v>0</v>
      </c>
      <c r="AD415" s="119">
        <v>1</v>
      </c>
      <c r="AE415" s="119" t="s">
        <v>37</v>
      </c>
      <c r="AF415" s="119" t="s">
        <v>43</v>
      </c>
      <c r="AG415" s="119" t="s">
        <v>38</v>
      </c>
      <c r="AH415" s="119" t="s">
        <v>92</v>
      </c>
    </row>
    <row r="416" spans="1:34" x14ac:dyDescent="0.3">
      <c r="A416" s="118" t="s">
        <v>966</v>
      </c>
      <c r="B416" s="119" t="s">
        <v>973</v>
      </c>
      <c r="C416" s="119" t="s">
        <v>974</v>
      </c>
      <c r="D416" s="120">
        <v>45649</v>
      </c>
      <c r="E416" s="121">
        <v>142500</v>
      </c>
      <c r="F416" s="119" t="s">
        <v>81</v>
      </c>
      <c r="G416" s="119" t="s">
        <v>33</v>
      </c>
      <c r="H416" s="121">
        <v>142500</v>
      </c>
      <c r="I416" s="121">
        <v>74800</v>
      </c>
      <c r="J416" s="122">
        <f t="shared" si="42"/>
        <v>52.491228070175445</v>
      </c>
      <c r="K416" s="121">
        <v>311983</v>
      </c>
      <c r="L416" s="121">
        <f>H416-278363</f>
        <v>-135863</v>
      </c>
      <c r="M416" s="121">
        <v>33620</v>
      </c>
      <c r="N416" s="123">
        <f t="shared" si="43"/>
        <v>0.23592982456140352</v>
      </c>
      <c r="O416" s="124">
        <v>138.91999999999999</v>
      </c>
      <c r="P416" s="125">
        <v>304</v>
      </c>
      <c r="Q416" s="126">
        <v>0.96299999999999997</v>
      </c>
      <c r="R416" s="126">
        <v>0.96299999999999997</v>
      </c>
      <c r="S416" s="121">
        <f t="shared" si="44"/>
        <v>-977.99452922545356</v>
      </c>
      <c r="T416" s="121">
        <f t="shared" si="45"/>
        <v>-141083.07372793354</v>
      </c>
      <c r="U416" s="127">
        <f t="shared" si="46"/>
        <v>-3.2388217109259307</v>
      </c>
      <c r="V416" s="126">
        <v>138.01</v>
      </c>
      <c r="W416" s="126">
        <f t="shared" si="47"/>
        <v>28500</v>
      </c>
      <c r="X416" s="126">
        <f t="shared" si="48"/>
        <v>206.50677487138614</v>
      </c>
      <c r="Y416" s="128" t="s">
        <v>965</v>
      </c>
      <c r="Z416" s="119" t="s">
        <v>35</v>
      </c>
      <c r="AA416" s="119" t="s">
        <v>35</v>
      </c>
      <c r="AB416" s="119" t="s">
        <v>966</v>
      </c>
      <c r="AC416" s="119">
        <v>0</v>
      </c>
      <c r="AD416" s="119">
        <v>1</v>
      </c>
      <c r="AE416" s="119" t="s">
        <v>42</v>
      </c>
      <c r="AF416" s="119" t="s">
        <v>35</v>
      </c>
      <c r="AG416" s="119" t="s">
        <v>38</v>
      </c>
      <c r="AH416" s="119" t="s">
        <v>92</v>
      </c>
    </row>
    <row r="417" spans="1:34" x14ac:dyDescent="0.3">
      <c r="A417" s="107" t="s">
        <v>966</v>
      </c>
      <c r="B417" s="108" t="s">
        <v>969</v>
      </c>
      <c r="C417" s="108" t="s">
        <v>970</v>
      </c>
      <c r="D417" s="109">
        <v>45719</v>
      </c>
      <c r="E417" s="110">
        <v>285000</v>
      </c>
      <c r="F417" s="108" t="s">
        <v>32</v>
      </c>
      <c r="G417" s="108" t="s">
        <v>33</v>
      </c>
      <c r="H417" s="110">
        <v>285000</v>
      </c>
      <c r="I417" s="110">
        <v>104500</v>
      </c>
      <c r="J417" s="111">
        <f t="shared" si="42"/>
        <v>36.666666666666664</v>
      </c>
      <c r="K417" s="110">
        <v>238335</v>
      </c>
      <c r="L417" s="110">
        <f>H417-205769</f>
        <v>79231</v>
      </c>
      <c r="M417" s="110">
        <v>32566</v>
      </c>
      <c r="N417" s="112">
        <f t="shared" si="43"/>
        <v>0.11426666666666667</v>
      </c>
      <c r="O417" s="113">
        <v>134.56</v>
      </c>
      <c r="P417" s="114">
        <v>304</v>
      </c>
      <c r="Q417" s="115">
        <v>0.94599999999999995</v>
      </c>
      <c r="R417" s="115">
        <v>0.94599999999999995</v>
      </c>
      <c r="S417" s="110">
        <f t="shared" si="44"/>
        <v>588.81539833531508</v>
      </c>
      <c r="T417" s="110">
        <f t="shared" si="45"/>
        <v>83753.699788583515</v>
      </c>
      <c r="U417" s="116">
        <f t="shared" si="46"/>
        <v>1.9227203808214766</v>
      </c>
      <c r="V417" s="115">
        <v>129.81</v>
      </c>
      <c r="W417" s="115">
        <f t="shared" si="47"/>
        <v>57000</v>
      </c>
      <c r="X417" s="115">
        <f t="shared" si="48"/>
        <v>439.10330483013632</v>
      </c>
      <c r="Y417" s="117" t="s">
        <v>965</v>
      </c>
      <c r="Z417" s="108" t="s">
        <v>35</v>
      </c>
      <c r="AA417" s="108" t="s">
        <v>35</v>
      </c>
      <c r="AB417" s="108" t="s">
        <v>966</v>
      </c>
      <c r="AC417" s="108">
        <v>0</v>
      </c>
      <c r="AD417" s="108">
        <v>1</v>
      </c>
      <c r="AE417" s="108" t="s">
        <v>42</v>
      </c>
      <c r="AF417" s="108" t="s">
        <v>35</v>
      </c>
      <c r="AG417" s="108" t="s">
        <v>38</v>
      </c>
      <c r="AH417" s="108" t="s">
        <v>92</v>
      </c>
    </row>
    <row r="418" spans="1:34" x14ac:dyDescent="0.3">
      <c r="A418" s="107" t="s">
        <v>966</v>
      </c>
      <c r="B418" s="108" t="s">
        <v>967</v>
      </c>
      <c r="C418" s="108" t="s">
        <v>968</v>
      </c>
      <c r="D418" s="109">
        <v>45345</v>
      </c>
      <c r="E418" s="110">
        <v>300000</v>
      </c>
      <c r="F418" s="108" t="s">
        <v>32</v>
      </c>
      <c r="G418" s="108" t="s">
        <v>33</v>
      </c>
      <c r="H418" s="110">
        <v>300000</v>
      </c>
      <c r="I418" s="110">
        <v>102600</v>
      </c>
      <c r="J418" s="111">
        <f t="shared" si="42"/>
        <v>34.200000000000003</v>
      </c>
      <c r="K418" s="110">
        <v>227760</v>
      </c>
      <c r="L418" s="110">
        <f>H418-207493</f>
        <v>92507</v>
      </c>
      <c r="M418" s="110">
        <v>20267</v>
      </c>
      <c r="N418" s="112">
        <f t="shared" si="43"/>
        <v>6.7556666666666668E-2</v>
      </c>
      <c r="O418" s="113">
        <v>83.74</v>
      </c>
      <c r="P418" s="114">
        <v>298.12</v>
      </c>
      <c r="Q418" s="115">
        <v>0.57499999999999996</v>
      </c>
      <c r="R418" s="115">
        <v>0.57499999999999996</v>
      </c>
      <c r="S418" s="110">
        <f t="shared" si="44"/>
        <v>1104.6930976833055</v>
      </c>
      <c r="T418" s="110">
        <f t="shared" si="45"/>
        <v>160881.73913043478</v>
      </c>
      <c r="U418" s="116">
        <f t="shared" si="46"/>
        <v>3.6933365273286221</v>
      </c>
      <c r="V418" s="115">
        <v>84.01</v>
      </c>
      <c r="W418" s="115">
        <f t="shared" si="47"/>
        <v>60000</v>
      </c>
      <c r="X418" s="115">
        <f t="shared" si="48"/>
        <v>714.20069039400062</v>
      </c>
      <c r="Y418" s="117" t="s">
        <v>965</v>
      </c>
      <c r="Z418" s="108" t="s">
        <v>35</v>
      </c>
      <c r="AA418" s="108" t="s">
        <v>35</v>
      </c>
      <c r="AB418" s="108" t="s">
        <v>966</v>
      </c>
      <c r="AC418" s="108">
        <v>0</v>
      </c>
      <c r="AD418" s="108">
        <v>1</v>
      </c>
      <c r="AE418" s="108" t="s">
        <v>42</v>
      </c>
      <c r="AF418" s="108" t="s">
        <v>43</v>
      </c>
      <c r="AG418" s="108" t="s">
        <v>38</v>
      </c>
      <c r="AH418" s="108" t="s">
        <v>92</v>
      </c>
    </row>
    <row r="419" spans="1:34" x14ac:dyDescent="0.3">
      <c r="A419" s="118" t="s">
        <v>966</v>
      </c>
      <c r="B419" s="119" t="s">
        <v>963</v>
      </c>
      <c r="C419" s="119" t="s">
        <v>964</v>
      </c>
      <c r="D419" s="120">
        <v>45184</v>
      </c>
      <c r="E419" s="121">
        <v>305000</v>
      </c>
      <c r="F419" s="119" t="s">
        <v>32</v>
      </c>
      <c r="G419" s="119" t="s">
        <v>33</v>
      </c>
      <c r="H419" s="121">
        <v>305000</v>
      </c>
      <c r="I419" s="121">
        <v>111600</v>
      </c>
      <c r="J419" s="122">
        <f t="shared" si="42"/>
        <v>36.590163934426229</v>
      </c>
      <c r="K419" s="121">
        <v>248533</v>
      </c>
      <c r="L419" s="121">
        <f>H419-228754</f>
        <v>76246</v>
      </c>
      <c r="M419" s="121">
        <v>19779</v>
      </c>
      <c r="N419" s="123">
        <f t="shared" si="43"/>
        <v>6.4849180327868849E-2</v>
      </c>
      <c r="O419" s="124">
        <v>81.73</v>
      </c>
      <c r="P419" s="125">
        <v>298.04000000000002</v>
      </c>
      <c r="Q419" s="126">
        <v>0.56100000000000005</v>
      </c>
      <c r="R419" s="126">
        <v>0.56100000000000005</v>
      </c>
      <c r="S419" s="121">
        <f t="shared" si="44"/>
        <v>932.90101553896977</v>
      </c>
      <c r="T419" s="121">
        <f t="shared" si="45"/>
        <v>135910.87344028518</v>
      </c>
      <c r="U419" s="127">
        <f t="shared" si="46"/>
        <v>3.1200843305850592</v>
      </c>
      <c r="V419" s="126">
        <v>82</v>
      </c>
      <c r="W419" s="126">
        <f t="shared" si="47"/>
        <v>61000</v>
      </c>
      <c r="X419" s="126">
        <f t="shared" si="48"/>
        <v>743.90243902439022</v>
      </c>
      <c r="Y419" s="128" t="s">
        <v>965</v>
      </c>
      <c r="Z419" s="119" t="s">
        <v>35</v>
      </c>
      <c r="AA419" s="119" t="s">
        <v>35</v>
      </c>
      <c r="AB419" s="119" t="s">
        <v>966</v>
      </c>
      <c r="AC419" s="119">
        <v>0</v>
      </c>
      <c r="AD419" s="119">
        <v>1</v>
      </c>
      <c r="AE419" s="119" t="s">
        <v>42</v>
      </c>
      <c r="AF419" s="119" t="s">
        <v>43</v>
      </c>
      <c r="AG419" s="119" t="s">
        <v>38</v>
      </c>
      <c r="AH419" s="119" t="s">
        <v>92</v>
      </c>
    </row>
    <row r="420" spans="1:34" x14ac:dyDescent="0.3">
      <c r="A420" s="107" t="s">
        <v>652</v>
      </c>
      <c r="B420" s="108" t="s">
        <v>653</v>
      </c>
      <c r="C420" s="108" t="s">
        <v>654</v>
      </c>
      <c r="D420" s="109">
        <v>45653</v>
      </c>
      <c r="E420" s="110">
        <v>45000</v>
      </c>
      <c r="F420" s="108" t="s">
        <v>32</v>
      </c>
      <c r="G420" s="108" t="s">
        <v>33</v>
      </c>
      <c r="H420" s="110">
        <v>45000</v>
      </c>
      <c r="I420" s="110">
        <v>48500</v>
      </c>
      <c r="J420" s="111">
        <f t="shared" si="42"/>
        <v>107.77777777777777</v>
      </c>
      <c r="K420" s="110">
        <v>109016</v>
      </c>
      <c r="L420" s="110">
        <f>H420-102258</f>
        <v>-57258</v>
      </c>
      <c r="M420" s="110">
        <v>6758</v>
      </c>
      <c r="N420" s="112">
        <f t="shared" si="43"/>
        <v>0.15017777777777777</v>
      </c>
      <c r="O420" s="113">
        <v>38.840000000000003</v>
      </c>
      <c r="P420" s="114">
        <v>132</v>
      </c>
      <c r="Q420" s="115">
        <v>0.121</v>
      </c>
      <c r="R420" s="115">
        <v>0.121</v>
      </c>
      <c r="S420" s="110">
        <f t="shared" si="44"/>
        <v>-1474.2018537590111</v>
      </c>
      <c r="T420" s="110">
        <f t="shared" si="45"/>
        <v>-473206.61157024797</v>
      </c>
      <c r="U420" s="116">
        <f t="shared" si="46"/>
        <v>-10.86332900758145</v>
      </c>
      <c r="V420" s="115">
        <v>40</v>
      </c>
      <c r="W420" s="115">
        <f t="shared" si="47"/>
        <v>9000</v>
      </c>
      <c r="X420" s="115">
        <f t="shared" si="48"/>
        <v>225</v>
      </c>
      <c r="Y420" s="117" t="s">
        <v>651</v>
      </c>
      <c r="Z420" s="108" t="s">
        <v>35</v>
      </c>
      <c r="AA420" s="108" t="s">
        <v>35</v>
      </c>
      <c r="AB420" s="108" t="s">
        <v>652</v>
      </c>
      <c r="AC420" s="108">
        <v>0</v>
      </c>
      <c r="AD420" s="108">
        <v>1</v>
      </c>
      <c r="AE420" s="108" t="s">
        <v>37</v>
      </c>
      <c r="AF420" s="108" t="s">
        <v>35</v>
      </c>
      <c r="AG420" s="108" t="s">
        <v>38</v>
      </c>
      <c r="AH420" s="108" t="s">
        <v>92</v>
      </c>
    </row>
    <row r="421" spans="1:34" x14ac:dyDescent="0.3">
      <c r="A421" s="107" t="s">
        <v>652</v>
      </c>
      <c r="B421" s="108" t="s">
        <v>661</v>
      </c>
      <c r="C421" s="108" t="s">
        <v>662</v>
      </c>
      <c r="D421" s="109">
        <v>45338</v>
      </c>
      <c r="E421" s="110">
        <v>91500</v>
      </c>
      <c r="F421" s="108" t="s">
        <v>32</v>
      </c>
      <c r="G421" s="108" t="s">
        <v>33</v>
      </c>
      <c r="H421" s="110">
        <v>91500</v>
      </c>
      <c r="I421" s="110">
        <v>34900</v>
      </c>
      <c r="J421" s="111">
        <f t="shared" si="42"/>
        <v>38.142076502732245</v>
      </c>
      <c r="K421" s="110">
        <v>84276</v>
      </c>
      <c r="L421" s="110">
        <f>H421-74216</f>
        <v>17284</v>
      </c>
      <c r="M421" s="110">
        <v>10060</v>
      </c>
      <c r="N421" s="112">
        <f t="shared" si="43"/>
        <v>0.10994535519125682</v>
      </c>
      <c r="O421" s="113">
        <v>57.81</v>
      </c>
      <c r="P421" s="114">
        <v>130</v>
      </c>
      <c r="Q421" s="115">
        <v>0.17899999999999999</v>
      </c>
      <c r="R421" s="115">
        <v>0.17899999999999999</v>
      </c>
      <c r="S421" s="110">
        <f t="shared" si="44"/>
        <v>298.97941532606814</v>
      </c>
      <c r="T421" s="110">
        <f t="shared" si="45"/>
        <v>96558.659217877095</v>
      </c>
      <c r="U421" s="116">
        <f t="shared" si="46"/>
        <v>2.216681800226747</v>
      </c>
      <c r="V421" s="115">
        <v>60</v>
      </c>
      <c r="W421" s="115">
        <f t="shared" si="47"/>
        <v>18300</v>
      </c>
      <c r="X421" s="115">
        <f t="shared" si="48"/>
        <v>305</v>
      </c>
      <c r="Y421" s="117" t="s">
        <v>651</v>
      </c>
      <c r="Z421" s="108" t="s">
        <v>35</v>
      </c>
      <c r="AA421" s="108" t="s">
        <v>35</v>
      </c>
      <c r="AB421" s="108" t="s">
        <v>652</v>
      </c>
      <c r="AC421" s="108">
        <v>0</v>
      </c>
      <c r="AD421" s="108">
        <v>0</v>
      </c>
      <c r="AE421" s="108" t="s">
        <v>42</v>
      </c>
      <c r="AF421" s="108" t="s">
        <v>43</v>
      </c>
      <c r="AG421" s="108" t="s">
        <v>38</v>
      </c>
      <c r="AH421" s="108" t="s">
        <v>92</v>
      </c>
    </row>
    <row r="422" spans="1:34" x14ac:dyDescent="0.3">
      <c r="A422" s="118" t="s">
        <v>652</v>
      </c>
      <c r="B422" s="119" t="s">
        <v>663</v>
      </c>
      <c r="C422" s="119" t="s">
        <v>664</v>
      </c>
      <c r="D422" s="120">
        <v>45471</v>
      </c>
      <c r="E422" s="121">
        <v>220000</v>
      </c>
      <c r="F422" s="119" t="s">
        <v>32</v>
      </c>
      <c r="G422" s="119" t="s">
        <v>33</v>
      </c>
      <c r="H422" s="121">
        <v>220000</v>
      </c>
      <c r="I422" s="121">
        <v>107400</v>
      </c>
      <c r="J422" s="122">
        <f t="shared" si="42"/>
        <v>48.818181818181813</v>
      </c>
      <c r="K422" s="121">
        <v>239988</v>
      </c>
      <c r="L422" s="121">
        <f>H422-193517</f>
        <v>26483</v>
      </c>
      <c r="M422" s="121">
        <v>46471</v>
      </c>
      <c r="N422" s="123">
        <f t="shared" si="43"/>
        <v>0.21123181818181819</v>
      </c>
      <c r="O422" s="124">
        <v>267.07</v>
      </c>
      <c r="P422" s="125">
        <v>397.99</v>
      </c>
      <c r="Q422" s="126">
        <v>1.6240000000000001</v>
      </c>
      <c r="R422" s="126">
        <v>1.6240000000000001</v>
      </c>
      <c r="S422" s="121">
        <f t="shared" si="44"/>
        <v>99.161268581270832</v>
      </c>
      <c r="T422" s="121">
        <f t="shared" si="45"/>
        <v>16307.266009852216</v>
      </c>
      <c r="U422" s="127">
        <f t="shared" si="46"/>
        <v>0.37436331519403615</v>
      </c>
      <c r="V422" s="126">
        <v>119.82</v>
      </c>
      <c r="W422" s="126">
        <f t="shared" si="47"/>
        <v>44000</v>
      </c>
      <c r="X422" s="126">
        <f t="shared" si="48"/>
        <v>367.21749290602571</v>
      </c>
      <c r="Y422" s="128" t="s">
        <v>651</v>
      </c>
      <c r="Z422" s="119" t="s">
        <v>35</v>
      </c>
      <c r="AA422" s="119" t="s">
        <v>35</v>
      </c>
      <c r="AB422" s="119" t="s">
        <v>652</v>
      </c>
      <c r="AC422" s="119">
        <v>0</v>
      </c>
      <c r="AD422" s="119">
        <v>0</v>
      </c>
      <c r="AE422" s="119" t="s">
        <v>42</v>
      </c>
      <c r="AF422" s="119" t="s">
        <v>43</v>
      </c>
      <c r="AG422" s="119" t="s">
        <v>38</v>
      </c>
      <c r="AH422" s="119" t="s">
        <v>92</v>
      </c>
    </row>
    <row r="423" spans="1:34" x14ac:dyDescent="0.3">
      <c r="A423" s="107" t="s">
        <v>652</v>
      </c>
      <c r="B423" s="108" t="s">
        <v>649</v>
      </c>
      <c r="C423" s="108" t="s">
        <v>650</v>
      </c>
      <c r="D423" s="109">
        <v>45093</v>
      </c>
      <c r="E423" s="110">
        <v>75500</v>
      </c>
      <c r="F423" s="108" t="s">
        <v>32</v>
      </c>
      <c r="G423" s="108" t="s">
        <v>33</v>
      </c>
      <c r="H423" s="110">
        <v>75500</v>
      </c>
      <c r="I423" s="110">
        <v>42900</v>
      </c>
      <c r="J423" s="111">
        <f t="shared" si="42"/>
        <v>56.82119205298013</v>
      </c>
      <c r="K423" s="110">
        <v>103001</v>
      </c>
      <c r="L423" s="110">
        <f>H423-96243</f>
        <v>-20743</v>
      </c>
      <c r="M423" s="110">
        <v>6758</v>
      </c>
      <c r="N423" s="112">
        <f t="shared" si="43"/>
        <v>8.9509933774834433E-2</v>
      </c>
      <c r="O423" s="113">
        <v>38.840000000000003</v>
      </c>
      <c r="P423" s="114">
        <v>132</v>
      </c>
      <c r="Q423" s="115">
        <v>0.121</v>
      </c>
      <c r="R423" s="115">
        <v>0.121</v>
      </c>
      <c r="S423" s="110">
        <f t="shared" si="44"/>
        <v>-534.06282183316159</v>
      </c>
      <c r="T423" s="110">
        <f t="shared" si="45"/>
        <v>-171429.7520661157</v>
      </c>
      <c r="U423" s="116">
        <f t="shared" si="46"/>
        <v>-3.9354855846215728</v>
      </c>
      <c r="V423" s="115">
        <v>40</v>
      </c>
      <c r="W423" s="115">
        <f t="shared" si="47"/>
        <v>15100</v>
      </c>
      <c r="X423" s="115">
        <f t="shared" si="48"/>
        <v>377.5</v>
      </c>
      <c r="Y423" s="117" t="s">
        <v>651</v>
      </c>
      <c r="Z423" s="108" t="s">
        <v>35</v>
      </c>
      <c r="AA423" s="108" t="s">
        <v>35</v>
      </c>
      <c r="AB423" s="108" t="s">
        <v>652</v>
      </c>
      <c r="AC423" s="108">
        <v>0</v>
      </c>
      <c r="AD423" s="108">
        <v>1</v>
      </c>
      <c r="AE423" s="108" t="s">
        <v>42</v>
      </c>
      <c r="AF423" s="108" t="s">
        <v>43</v>
      </c>
      <c r="AG423" s="108" t="s">
        <v>38</v>
      </c>
      <c r="AH423" s="108" t="s">
        <v>92</v>
      </c>
    </row>
    <row r="424" spans="1:34" x14ac:dyDescent="0.3">
      <c r="A424" s="118" t="s">
        <v>652</v>
      </c>
      <c r="B424" s="119" t="s">
        <v>655</v>
      </c>
      <c r="C424" s="119" t="s">
        <v>656</v>
      </c>
      <c r="D424" s="120">
        <v>45141</v>
      </c>
      <c r="E424" s="121">
        <v>138000</v>
      </c>
      <c r="F424" s="119" t="s">
        <v>32</v>
      </c>
      <c r="G424" s="119" t="s">
        <v>33</v>
      </c>
      <c r="H424" s="121">
        <v>138000</v>
      </c>
      <c r="I424" s="121">
        <v>60000</v>
      </c>
      <c r="J424" s="122">
        <f t="shared" si="42"/>
        <v>43.478260869565219</v>
      </c>
      <c r="K424" s="121">
        <v>143740</v>
      </c>
      <c r="L424" s="121">
        <f>H424-126874</f>
        <v>11126</v>
      </c>
      <c r="M424" s="121">
        <v>16866</v>
      </c>
      <c r="N424" s="123">
        <f t="shared" si="43"/>
        <v>0.12221739130434782</v>
      </c>
      <c r="O424" s="124">
        <v>96.92</v>
      </c>
      <c r="P424" s="125">
        <v>354.3</v>
      </c>
      <c r="Q424" s="126">
        <v>0.499</v>
      </c>
      <c r="R424" s="126">
        <v>0.499</v>
      </c>
      <c r="S424" s="121">
        <f t="shared" si="44"/>
        <v>114.79570780024763</v>
      </c>
      <c r="T424" s="121">
        <f t="shared" si="45"/>
        <v>22296.593186372746</v>
      </c>
      <c r="U424" s="127">
        <f t="shared" si="46"/>
        <v>0.51185934771287289</v>
      </c>
      <c r="V424" s="126">
        <v>60</v>
      </c>
      <c r="W424" s="126">
        <f t="shared" si="47"/>
        <v>27600</v>
      </c>
      <c r="X424" s="126">
        <f t="shared" si="48"/>
        <v>460</v>
      </c>
      <c r="Y424" s="128" t="s">
        <v>651</v>
      </c>
      <c r="Z424" s="119" t="s">
        <v>35</v>
      </c>
      <c r="AA424" s="119" t="s">
        <v>35</v>
      </c>
      <c r="AB424" s="119" t="s">
        <v>652</v>
      </c>
      <c r="AC424" s="119">
        <v>0</v>
      </c>
      <c r="AD424" s="119">
        <v>1</v>
      </c>
      <c r="AE424" s="119" t="s">
        <v>42</v>
      </c>
      <c r="AF424" s="119" t="s">
        <v>43</v>
      </c>
      <c r="AG424" s="119" t="s">
        <v>38</v>
      </c>
      <c r="AH424" s="119" t="s">
        <v>92</v>
      </c>
    </row>
    <row r="425" spans="1:34" x14ac:dyDescent="0.3">
      <c r="A425" s="118" t="s">
        <v>652</v>
      </c>
      <c r="B425" s="119" t="s">
        <v>657</v>
      </c>
      <c r="C425" s="119" t="s">
        <v>658</v>
      </c>
      <c r="D425" s="120">
        <v>45666</v>
      </c>
      <c r="E425" s="121">
        <v>140000</v>
      </c>
      <c r="F425" s="119" t="s">
        <v>32</v>
      </c>
      <c r="G425" s="119" t="s">
        <v>33</v>
      </c>
      <c r="H425" s="121">
        <v>140000</v>
      </c>
      <c r="I425" s="121">
        <v>56000</v>
      </c>
      <c r="J425" s="122">
        <f t="shared" si="42"/>
        <v>40</v>
      </c>
      <c r="K425" s="121">
        <v>125013</v>
      </c>
      <c r="L425" s="121">
        <f>H425-109011</f>
        <v>30989</v>
      </c>
      <c r="M425" s="121">
        <v>16002</v>
      </c>
      <c r="N425" s="123">
        <f t="shared" si="43"/>
        <v>0.1143</v>
      </c>
      <c r="O425" s="124">
        <v>91.96</v>
      </c>
      <c r="P425" s="125">
        <v>318.94</v>
      </c>
      <c r="Q425" s="126">
        <v>0.45</v>
      </c>
      <c r="R425" s="126">
        <v>0.45</v>
      </c>
      <c r="S425" s="121">
        <f t="shared" si="44"/>
        <v>336.98347107438019</v>
      </c>
      <c r="T425" s="121">
        <f t="shared" si="45"/>
        <v>68864.444444444438</v>
      </c>
      <c r="U425" s="127">
        <f t="shared" si="46"/>
        <v>1.5809101112131414</v>
      </c>
      <c r="V425" s="126">
        <v>60</v>
      </c>
      <c r="W425" s="126">
        <f t="shared" si="47"/>
        <v>28000</v>
      </c>
      <c r="X425" s="126">
        <f t="shared" si="48"/>
        <v>466.66666666666669</v>
      </c>
      <c r="Y425" s="128" t="s">
        <v>651</v>
      </c>
      <c r="Z425" s="119" t="s">
        <v>35</v>
      </c>
      <c r="AA425" s="119" t="s">
        <v>35</v>
      </c>
      <c r="AB425" s="119" t="s">
        <v>652</v>
      </c>
      <c r="AC425" s="119">
        <v>0</v>
      </c>
      <c r="AD425" s="119">
        <v>1</v>
      </c>
      <c r="AE425" s="119" t="s">
        <v>42</v>
      </c>
      <c r="AF425" s="119" t="s">
        <v>35</v>
      </c>
      <c r="AG425" s="119" t="s">
        <v>38</v>
      </c>
      <c r="AH425" s="119" t="s">
        <v>92</v>
      </c>
    </row>
    <row r="426" spans="1:34" x14ac:dyDescent="0.3">
      <c r="A426" s="107" t="s">
        <v>652</v>
      </c>
      <c r="B426" s="108" t="s">
        <v>659</v>
      </c>
      <c r="C426" s="108" t="s">
        <v>660</v>
      </c>
      <c r="D426" s="109">
        <v>45691</v>
      </c>
      <c r="E426" s="110">
        <v>216900</v>
      </c>
      <c r="F426" s="108" t="s">
        <v>32</v>
      </c>
      <c r="G426" s="108" t="s">
        <v>33</v>
      </c>
      <c r="H426" s="110">
        <v>216900</v>
      </c>
      <c r="I426" s="110">
        <v>110500</v>
      </c>
      <c r="J426" s="111">
        <f t="shared" si="42"/>
        <v>50.945136007376668</v>
      </c>
      <c r="K426" s="110">
        <v>239471</v>
      </c>
      <c r="L426" s="110">
        <f>H426-225953</f>
        <v>-9053</v>
      </c>
      <c r="M426" s="110">
        <v>13518</v>
      </c>
      <c r="N426" s="112">
        <f t="shared" si="43"/>
        <v>6.2323651452282157E-2</v>
      </c>
      <c r="O426" s="113">
        <v>77.680000000000007</v>
      </c>
      <c r="P426" s="114">
        <v>200</v>
      </c>
      <c r="Q426" s="115">
        <v>0.29799999999999999</v>
      </c>
      <c r="R426" s="115">
        <v>0.29799999999999999</v>
      </c>
      <c r="S426" s="110">
        <f t="shared" si="44"/>
        <v>-116.54222451081358</v>
      </c>
      <c r="T426" s="110">
        <f t="shared" si="45"/>
        <v>-30379.194630872484</v>
      </c>
      <c r="U426" s="116">
        <f t="shared" si="46"/>
        <v>-0.6974103450613518</v>
      </c>
      <c r="V426" s="115">
        <v>65</v>
      </c>
      <c r="W426" s="115">
        <f t="shared" si="47"/>
        <v>43380</v>
      </c>
      <c r="X426" s="115">
        <f t="shared" si="48"/>
        <v>667.38461538461536</v>
      </c>
      <c r="Y426" s="117" t="s">
        <v>651</v>
      </c>
      <c r="Z426" s="108" t="s">
        <v>35</v>
      </c>
      <c r="AA426" s="108" t="s">
        <v>35</v>
      </c>
      <c r="AB426" s="108" t="s">
        <v>652</v>
      </c>
      <c r="AC426" s="108">
        <v>0</v>
      </c>
      <c r="AD426" s="108">
        <v>0</v>
      </c>
      <c r="AE426" s="108" t="s">
        <v>42</v>
      </c>
      <c r="AF426" s="108" t="s">
        <v>35</v>
      </c>
      <c r="AG426" s="108" t="s">
        <v>38</v>
      </c>
      <c r="AH426" s="108" t="s">
        <v>92</v>
      </c>
    </row>
    <row r="427" spans="1:34" x14ac:dyDescent="0.3">
      <c r="A427" s="118" t="s">
        <v>611</v>
      </c>
      <c r="B427" s="119" t="s">
        <v>716</v>
      </c>
      <c r="C427" s="119" t="s">
        <v>717</v>
      </c>
      <c r="D427" s="120">
        <v>45470</v>
      </c>
      <c r="E427" s="121">
        <v>95000</v>
      </c>
      <c r="F427" s="119" t="s">
        <v>81</v>
      </c>
      <c r="G427" s="119" t="s">
        <v>33</v>
      </c>
      <c r="H427" s="121">
        <v>95000</v>
      </c>
      <c r="I427" s="121">
        <v>75100</v>
      </c>
      <c r="J427" s="122">
        <f t="shared" si="42"/>
        <v>79.05263157894737</v>
      </c>
      <c r="K427" s="121">
        <v>163087</v>
      </c>
      <c r="L427" s="121">
        <f>H427-151984</f>
        <v>-56984</v>
      </c>
      <c r="M427" s="121">
        <v>11103</v>
      </c>
      <c r="N427" s="123">
        <f t="shared" si="43"/>
        <v>0.11687368421052631</v>
      </c>
      <c r="O427" s="124">
        <v>52.12</v>
      </c>
      <c r="P427" s="125">
        <v>125</v>
      </c>
      <c r="Q427" s="126">
        <v>0.14299999999999999</v>
      </c>
      <c r="R427" s="126">
        <v>0.14299999999999999</v>
      </c>
      <c r="S427" s="121">
        <f t="shared" si="44"/>
        <v>-1093.3231005372218</v>
      </c>
      <c r="T427" s="121">
        <f t="shared" si="45"/>
        <v>-398489.51048951055</v>
      </c>
      <c r="U427" s="127">
        <f t="shared" si="46"/>
        <v>-9.1480603877298101</v>
      </c>
      <c r="V427" s="126">
        <v>50</v>
      </c>
      <c r="W427" s="126">
        <f t="shared" si="47"/>
        <v>19000</v>
      </c>
      <c r="X427" s="126">
        <f t="shared" si="48"/>
        <v>380</v>
      </c>
      <c r="Y427" s="128" t="s">
        <v>610</v>
      </c>
      <c r="Z427" s="119" t="s">
        <v>35</v>
      </c>
      <c r="AA427" s="119" t="s">
        <v>35</v>
      </c>
      <c r="AB427" s="119" t="s">
        <v>611</v>
      </c>
      <c r="AC427" s="119">
        <v>0</v>
      </c>
      <c r="AD427" s="119">
        <v>1</v>
      </c>
      <c r="AE427" s="119" t="s">
        <v>42</v>
      </c>
      <c r="AF427" s="119" t="s">
        <v>43</v>
      </c>
      <c r="AG427" s="119" t="s">
        <v>38</v>
      </c>
      <c r="AH427" s="119" t="s">
        <v>92</v>
      </c>
    </row>
    <row r="428" spans="1:34" x14ac:dyDescent="0.3">
      <c r="A428" s="107" t="s">
        <v>611</v>
      </c>
      <c r="B428" s="108" t="s">
        <v>712</v>
      </c>
      <c r="C428" s="108" t="s">
        <v>713</v>
      </c>
      <c r="D428" s="109">
        <v>45247</v>
      </c>
      <c r="E428" s="110">
        <v>150000</v>
      </c>
      <c r="F428" s="108" t="s">
        <v>32</v>
      </c>
      <c r="G428" s="108" t="s">
        <v>33</v>
      </c>
      <c r="H428" s="110">
        <v>150000</v>
      </c>
      <c r="I428" s="110">
        <v>75600</v>
      </c>
      <c r="J428" s="111">
        <f t="shared" si="42"/>
        <v>50.4</v>
      </c>
      <c r="K428" s="110">
        <v>191478</v>
      </c>
      <c r="L428" s="110">
        <f>H428-177153</f>
        <v>-27153</v>
      </c>
      <c r="M428" s="110">
        <v>14325</v>
      </c>
      <c r="N428" s="112">
        <f t="shared" si="43"/>
        <v>9.5500000000000002E-2</v>
      </c>
      <c r="O428" s="113">
        <v>67.25</v>
      </c>
      <c r="P428" s="114">
        <v>125.02</v>
      </c>
      <c r="Q428" s="115">
        <v>0.185</v>
      </c>
      <c r="R428" s="115">
        <v>0.185</v>
      </c>
      <c r="S428" s="110">
        <f t="shared" si="44"/>
        <v>-403.76208178438662</v>
      </c>
      <c r="T428" s="110">
        <f t="shared" si="45"/>
        <v>-146772.97297297299</v>
      </c>
      <c r="U428" s="116">
        <f t="shared" si="46"/>
        <v>-3.369443823989279</v>
      </c>
      <c r="V428" s="115">
        <v>64.5</v>
      </c>
      <c r="W428" s="115">
        <f t="shared" si="47"/>
        <v>30000</v>
      </c>
      <c r="X428" s="115">
        <f t="shared" si="48"/>
        <v>465.11627906976742</v>
      </c>
      <c r="Y428" s="117" t="s">
        <v>610</v>
      </c>
      <c r="Z428" s="108" t="s">
        <v>35</v>
      </c>
      <c r="AA428" s="108" t="s">
        <v>35</v>
      </c>
      <c r="AB428" s="108" t="s">
        <v>611</v>
      </c>
      <c r="AC428" s="108">
        <v>0</v>
      </c>
      <c r="AD428" s="108">
        <v>1</v>
      </c>
      <c r="AE428" s="108" t="s">
        <v>42</v>
      </c>
      <c r="AF428" s="108" t="s">
        <v>43</v>
      </c>
      <c r="AG428" s="108" t="s">
        <v>38</v>
      </c>
      <c r="AH428" s="108" t="s">
        <v>92</v>
      </c>
    </row>
    <row r="429" spans="1:34" x14ac:dyDescent="0.3">
      <c r="A429" s="107" t="s">
        <v>611</v>
      </c>
      <c r="B429" s="108" t="s">
        <v>684</v>
      </c>
      <c r="C429" s="108" t="s">
        <v>685</v>
      </c>
      <c r="D429" s="109">
        <v>45602</v>
      </c>
      <c r="E429" s="110">
        <v>140000</v>
      </c>
      <c r="F429" s="108" t="s">
        <v>32</v>
      </c>
      <c r="G429" s="108" t="s">
        <v>33</v>
      </c>
      <c r="H429" s="110">
        <v>140000</v>
      </c>
      <c r="I429" s="110">
        <v>84500</v>
      </c>
      <c r="J429" s="111">
        <f t="shared" si="42"/>
        <v>60.357142857142854</v>
      </c>
      <c r="K429" s="110">
        <v>183854</v>
      </c>
      <c r="L429" s="110">
        <f>H429-172689</f>
        <v>-32689</v>
      </c>
      <c r="M429" s="110">
        <v>11165</v>
      </c>
      <c r="N429" s="112">
        <f t="shared" si="43"/>
        <v>7.9750000000000001E-2</v>
      </c>
      <c r="O429" s="113">
        <v>52.41</v>
      </c>
      <c r="P429" s="114">
        <v>118.36</v>
      </c>
      <c r="Q429" s="115">
        <v>0.13600000000000001</v>
      </c>
      <c r="R429" s="115">
        <v>0.13600000000000001</v>
      </c>
      <c r="S429" s="110">
        <f t="shared" si="44"/>
        <v>-623.71684792978442</v>
      </c>
      <c r="T429" s="110">
        <f t="shared" si="45"/>
        <v>-240360.29411764705</v>
      </c>
      <c r="U429" s="116">
        <f t="shared" si="46"/>
        <v>-5.5179130881002534</v>
      </c>
      <c r="V429" s="115">
        <v>55</v>
      </c>
      <c r="W429" s="115">
        <f t="shared" si="47"/>
        <v>28000</v>
      </c>
      <c r="X429" s="115">
        <f t="shared" si="48"/>
        <v>509.09090909090907</v>
      </c>
      <c r="Y429" s="117" t="s">
        <v>610</v>
      </c>
      <c r="Z429" s="108" t="s">
        <v>35</v>
      </c>
      <c r="AA429" s="108" t="s">
        <v>35</v>
      </c>
      <c r="AB429" s="108" t="s">
        <v>611</v>
      </c>
      <c r="AC429" s="108">
        <v>0</v>
      </c>
      <c r="AD429" s="108">
        <v>1</v>
      </c>
      <c r="AE429" s="108" t="s">
        <v>37</v>
      </c>
      <c r="AF429" s="108" t="s">
        <v>35</v>
      </c>
      <c r="AG429" s="108" t="s">
        <v>38</v>
      </c>
      <c r="AH429" s="108" t="s">
        <v>92</v>
      </c>
    </row>
    <row r="430" spans="1:34" x14ac:dyDescent="0.3">
      <c r="A430" s="118" t="s">
        <v>611</v>
      </c>
      <c r="B430" s="119" t="s">
        <v>688</v>
      </c>
      <c r="C430" s="119" t="s">
        <v>689</v>
      </c>
      <c r="D430" s="120">
        <v>45719</v>
      </c>
      <c r="E430" s="121">
        <v>138000</v>
      </c>
      <c r="F430" s="119" t="s">
        <v>32</v>
      </c>
      <c r="G430" s="119" t="s">
        <v>33</v>
      </c>
      <c r="H430" s="121">
        <v>138000</v>
      </c>
      <c r="I430" s="121">
        <v>75000</v>
      </c>
      <c r="J430" s="122">
        <f t="shared" si="42"/>
        <v>54.347826086956516</v>
      </c>
      <c r="K430" s="121">
        <v>160820</v>
      </c>
      <c r="L430" s="121">
        <f>H430-149723</f>
        <v>-11723</v>
      </c>
      <c r="M430" s="121">
        <v>11097</v>
      </c>
      <c r="N430" s="123">
        <f t="shared" si="43"/>
        <v>8.0413043478260865E-2</v>
      </c>
      <c r="O430" s="124">
        <v>52.09</v>
      </c>
      <c r="P430" s="125">
        <v>120</v>
      </c>
      <c r="Q430" s="126">
        <v>0.14000000000000001</v>
      </c>
      <c r="R430" s="126">
        <v>0.14000000000000001</v>
      </c>
      <c r="S430" s="121">
        <f t="shared" si="44"/>
        <v>-225.05279324246496</v>
      </c>
      <c r="T430" s="121">
        <f t="shared" si="45"/>
        <v>-83735.714285714275</v>
      </c>
      <c r="U430" s="127">
        <f t="shared" si="46"/>
        <v>-1.9223074904893085</v>
      </c>
      <c r="V430" s="126">
        <v>51</v>
      </c>
      <c r="W430" s="126">
        <f t="shared" si="47"/>
        <v>27600</v>
      </c>
      <c r="X430" s="126">
        <f t="shared" si="48"/>
        <v>541.17647058823525</v>
      </c>
      <c r="Y430" s="128" t="s">
        <v>610</v>
      </c>
      <c r="Z430" s="119" t="s">
        <v>35</v>
      </c>
      <c r="AA430" s="119" t="s">
        <v>35</v>
      </c>
      <c r="AB430" s="119" t="s">
        <v>611</v>
      </c>
      <c r="AC430" s="119">
        <v>0</v>
      </c>
      <c r="AD430" s="119">
        <v>1</v>
      </c>
      <c r="AE430" s="119" t="s">
        <v>412</v>
      </c>
      <c r="AF430" s="119" t="s">
        <v>35</v>
      </c>
      <c r="AG430" s="119" t="s">
        <v>38</v>
      </c>
      <c r="AH430" s="119" t="s">
        <v>92</v>
      </c>
    </row>
    <row r="431" spans="1:34" x14ac:dyDescent="0.3">
      <c r="A431" s="107" t="s">
        <v>611</v>
      </c>
      <c r="B431" s="108" t="s">
        <v>669</v>
      </c>
      <c r="C431" s="108" t="s">
        <v>670</v>
      </c>
      <c r="D431" s="109">
        <v>45744</v>
      </c>
      <c r="E431" s="110">
        <v>154500</v>
      </c>
      <c r="F431" s="108" t="s">
        <v>32</v>
      </c>
      <c r="G431" s="108" t="s">
        <v>33</v>
      </c>
      <c r="H431" s="110">
        <v>154500</v>
      </c>
      <c r="I431" s="110">
        <v>90100</v>
      </c>
      <c r="J431" s="111">
        <f t="shared" si="42"/>
        <v>58.317152103559863</v>
      </c>
      <c r="K431" s="110">
        <v>195782</v>
      </c>
      <c r="L431" s="110">
        <f>H431-184324</f>
        <v>-29824</v>
      </c>
      <c r="M431" s="110">
        <v>11458</v>
      </c>
      <c r="N431" s="112">
        <f t="shared" si="43"/>
        <v>7.4161812297734622E-2</v>
      </c>
      <c r="O431" s="113">
        <v>53.79</v>
      </c>
      <c r="P431" s="114">
        <v>110</v>
      </c>
      <c r="Q431" s="115">
        <v>0.13900000000000001</v>
      </c>
      <c r="R431" s="115">
        <v>0.13900000000000001</v>
      </c>
      <c r="S431" s="110">
        <f t="shared" si="44"/>
        <v>-554.45250046477042</v>
      </c>
      <c r="T431" s="110">
        <f t="shared" si="45"/>
        <v>-214561.15107913667</v>
      </c>
      <c r="U431" s="116">
        <f t="shared" si="46"/>
        <v>-4.9256462598516224</v>
      </c>
      <c r="V431" s="115">
        <v>55</v>
      </c>
      <c r="W431" s="115">
        <f t="shared" si="47"/>
        <v>30900</v>
      </c>
      <c r="X431" s="115">
        <f t="shared" si="48"/>
        <v>561.81818181818187</v>
      </c>
      <c r="Y431" s="117" t="s">
        <v>610</v>
      </c>
      <c r="Z431" s="108" t="s">
        <v>35</v>
      </c>
      <c r="AA431" s="108" t="s">
        <v>35</v>
      </c>
      <c r="AB431" s="108" t="s">
        <v>611</v>
      </c>
      <c r="AC431" s="108">
        <v>0</v>
      </c>
      <c r="AD431" s="108">
        <v>1</v>
      </c>
      <c r="AE431" s="108" t="s">
        <v>37</v>
      </c>
      <c r="AF431" s="108" t="s">
        <v>35</v>
      </c>
      <c r="AG431" s="108" t="s">
        <v>38</v>
      </c>
      <c r="AH431" s="108" t="s">
        <v>92</v>
      </c>
    </row>
    <row r="432" spans="1:34" x14ac:dyDescent="0.3">
      <c r="A432" s="118" t="s">
        <v>611</v>
      </c>
      <c r="B432" s="119" t="s">
        <v>622</v>
      </c>
      <c r="C432" s="119" t="s">
        <v>623</v>
      </c>
      <c r="D432" s="120">
        <v>45203</v>
      </c>
      <c r="E432" s="121">
        <v>155000</v>
      </c>
      <c r="F432" s="119" t="s">
        <v>32</v>
      </c>
      <c r="G432" s="119" t="s">
        <v>33</v>
      </c>
      <c r="H432" s="121">
        <v>155000</v>
      </c>
      <c r="I432" s="121">
        <v>77200</v>
      </c>
      <c r="J432" s="122">
        <f t="shared" si="42"/>
        <v>49.806451612903224</v>
      </c>
      <c r="K432" s="121">
        <v>196143</v>
      </c>
      <c r="L432" s="121">
        <f>H432-184070</f>
        <v>-29070</v>
      </c>
      <c r="M432" s="121">
        <v>12073</v>
      </c>
      <c r="N432" s="123">
        <f t="shared" si="43"/>
        <v>7.7890322580645155E-2</v>
      </c>
      <c r="O432" s="124">
        <v>56.68</v>
      </c>
      <c r="P432" s="125">
        <v>139.33000000000001</v>
      </c>
      <c r="Q432" s="126">
        <v>0.16200000000000001</v>
      </c>
      <c r="R432" s="126">
        <v>0.16200000000000001</v>
      </c>
      <c r="S432" s="121">
        <f t="shared" si="44"/>
        <v>-512.87932251235009</v>
      </c>
      <c r="T432" s="121">
        <f t="shared" si="45"/>
        <v>-179444.44444444444</v>
      </c>
      <c r="U432" s="127">
        <f t="shared" si="46"/>
        <v>-4.1194776043260894</v>
      </c>
      <c r="V432" s="126">
        <v>52.89</v>
      </c>
      <c r="W432" s="126">
        <f t="shared" si="47"/>
        <v>31000</v>
      </c>
      <c r="X432" s="126">
        <f t="shared" si="48"/>
        <v>586.12214029117035</v>
      </c>
      <c r="Y432" s="128" t="s">
        <v>610</v>
      </c>
      <c r="Z432" s="119" t="s">
        <v>35</v>
      </c>
      <c r="AA432" s="119" t="s">
        <v>35</v>
      </c>
      <c r="AB432" s="119" t="s">
        <v>611</v>
      </c>
      <c r="AC432" s="119">
        <v>0</v>
      </c>
      <c r="AD432" s="119">
        <v>1</v>
      </c>
      <c r="AE432" s="119" t="s">
        <v>37</v>
      </c>
      <c r="AF432" s="119" t="s">
        <v>43</v>
      </c>
      <c r="AG432" s="119" t="s">
        <v>38</v>
      </c>
      <c r="AH432" s="119" t="s">
        <v>92</v>
      </c>
    </row>
    <row r="433" spans="1:34" x14ac:dyDescent="0.3">
      <c r="A433" s="107" t="s">
        <v>611</v>
      </c>
      <c r="B433" s="108" t="s">
        <v>738</v>
      </c>
      <c r="C433" s="108" t="s">
        <v>739</v>
      </c>
      <c r="D433" s="109">
        <v>45030</v>
      </c>
      <c r="E433" s="110">
        <v>152500</v>
      </c>
      <c r="F433" s="108" t="s">
        <v>32</v>
      </c>
      <c r="G433" s="108" t="s">
        <v>33</v>
      </c>
      <c r="H433" s="110">
        <v>152500</v>
      </c>
      <c r="I433" s="110">
        <v>64200</v>
      </c>
      <c r="J433" s="111">
        <f t="shared" si="42"/>
        <v>42.098360655737707</v>
      </c>
      <c r="K433" s="110">
        <v>166679</v>
      </c>
      <c r="L433" s="110">
        <f>H433-155603</f>
        <v>-3103</v>
      </c>
      <c r="M433" s="110">
        <v>11076</v>
      </c>
      <c r="N433" s="112">
        <f t="shared" si="43"/>
        <v>7.2629508196721315E-2</v>
      </c>
      <c r="O433" s="113">
        <v>52</v>
      </c>
      <c r="P433" s="114">
        <v>115</v>
      </c>
      <c r="Q433" s="115">
        <v>0.13700000000000001</v>
      </c>
      <c r="R433" s="115">
        <v>0.13700000000000001</v>
      </c>
      <c r="S433" s="110">
        <f t="shared" si="44"/>
        <v>-59.67307692307692</v>
      </c>
      <c r="T433" s="110">
        <f t="shared" si="45"/>
        <v>-22649.635036496347</v>
      </c>
      <c r="U433" s="116">
        <f t="shared" si="46"/>
        <v>-0.51996407338145889</v>
      </c>
      <c r="V433" s="115">
        <v>52</v>
      </c>
      <c r="W433" s="115">
        <f t="shared" si="47"/>
        <v>30500</v>
      </c>
      <c r="X433" s="115">
        <f t="shared" si="48"/>
        <v>586.53846153846155</v>
      </c>
      <c r="Y433" s="117" t="s">
        <v>610</v>
      </c>
      <c r="Z433" s="108" t="s">
        <v>35</v>
      </c>
      <c r="AA433" s="108" t="s">
        <v>35</v>
      </c>
      <c r="AB433" s="108" t="s">
        <v>611</v>
      </c>
      <c r="AC433" s="108">
        <v>0</v>
      </c>
      <c r="AD433" s="108">
        <v>1</v>
      </c>
      <c r="AE433" s="108" t="s">
        <v>37</v>
      </c>
      <c r="AF433" s="108" t="s">
        <v>43</v>
      </c>
      <c r="AG433" s="108" t="s">
        <v>38</v>
      </c>
      <c r="AH433" s="108" t="s">
        <v>92</v>
      </c>
    </row>
    <row r="434" spans="1:34" x14ac:dyDescent="0.3">
      <c r="A434" s="118" t="s">
        <v>611</v>
      </c>
      <c r="B434" s="119" t="s">
        <v>628</v>
      </c>
      <c r="C434" s="119" t="s">
        <v>629</v>
      </c>
      <c r="D434" s="120">
        <v>45127</v>
      </c>
      <c r="E434" s="121">
        <v>150000</v>
      </c>
      <c r="F434" s="119" t="s">
        <v>32</v>
      </c>
      <c r="G434" s="119" t="s">
        <v>33</v>
      </c>
      <c r="H434" s="121">
        <v>150000</v>
      </c>
      <c r="I434" s="121">
        <v>74900</v>
      </c>
      <c r="J434" s="122">
        <f t="shared" si="42"/>
        <v>49.933333333333337</v>
      </c>
      <c r="K434" s="121">
        <v>190013</v>
      </c>
      <c r="L434" s="121">
        <f>H434-179565</f>
        <v>-29565</v>
      </c>
      <c r="M434" s="121">
        <v>10448</v>
      </c>
      <c r="N434" s="123">
        <f t="shared" si="43"/>
        <v>6.9653333333333331E-2</v>
      </c>
      <c r="O434" s="124">
        <v>49.04</v>
      </c>
      <c r="P434" s="125">
        <v>110.67</v>
      </c>
      <c r="Q434" s="126">
        <v>0.127</v>
      </c>
      <c r="R434" s="126">
        <v>0.127</v>
      </c>
      <c r="S434" s="121">
        <f t="shared" si="44"/>
        <v>-602.87520391517126</v>
      </c>
      <c r="T434" s="121">
        <f t="shared" si="45"/>
        <v>-232795.27559055117</v>
      </c>
      <c r="U434" s="127">
        <f t="shared" si="46"/>
        <v>-5.3442441595626988</v>
      </c>
      <c r="V434" s="126">
        <v>50</v>
      </c>
      <c r="W434" s="126">
        <f t="shared" si="47"/>
        <v>30000</v>
      </c>
      <c r="X434" s="126">
        <f t="shared" si="48"/>
        <v>600</v>
      </c>
      <c r="Y434" s="128" t="s">
        <v>610</v>
      </c>
      <c r="Z434" s="119" t="s">
        <v>35</v>
      </c>
      <c r="AA434" s="119" t="s">
        <v>35</v>
      </c>
      <c r="AB434" s="119" t="s">
        <v>611</v>
      </c>
      <c r="AC434" s="119">
        <v>0</v>
      </c>
      <c r="AD434" s="119">
        <v>1</v>
      </c>
      <c r="AE434" s="119" t="s">
        <v>37</v>
      </c>
      <c r="AF434" s="119" t="s">
        <v>43</v>
      </c>
      <c r="AG434" s="119" t="s">
        <v>38</v>
      </c>
      <c r="AH434" s="119" t="s">
        <v>92</v>
      </c>
    </row>
    <row r="435" spans="1:34" x14ac:dyDescent="0.3">
      <c r="A435" s="118" t="s">
        <v>611</v>
      </c>
      <c r="B435" s="119" t="s">
        <v>714</v>
      </c>
      <c r="C435" s="119" t="s">
        <v>715</v>
      </c>
      <c r="D435" s="120">
        <v>45170</v>
      </c>
      <c r="E435" s="121">
        <v>150000</v>
      </c>
      <c r="F435" s="119" t="s">
        <v>32</v>
      </c>
      <c r="G435" s="119" t="s">
        <v>33</v>
      </c>
      <c r="H435" s="121">
        <v>150000</v>
      </c>
      <c r="I435" s="121">
        <v>70900</v>
      </c>
      <c r="J435" s="122">
        <f t="shared" si="42"/>
        <v>47.266666666666666</v>
      </c>
      <c r="K435" s="121">
        <v>179667</v>
      </c>
      <c r="L435" s="121">
        <f>H435-168564</f>
        <v>-18564</v>
      </c>
      <c r="M435" s="121">
        <v>11103</v>
      </c>
      <c r="N435" s="123">
        <f t="shared" si="43"/>
        <v>7.4020000000000002E-2</v>
      </c>
      <c r="O435" s="124">
        <v>52.12</v>
      </c>
      <c r="P435" s="125">
        <v>125</v>
      </c>
      <c r="Q435" s="126">
        <v>0.14299999999999999</v>
      </c>
      <c r="R435" s="126">
        <v>0.14299999999999999</v>
      </c>
      <c r="S435" s="121">
        <f t="shared" si="44"/>
        <v>-356.17805065234074</v>
      </c>
      <c r="T435" s="121">
        <f t="shared" si="45"/>
        <v>-129818.18181818182</v>
      </c>
      <c r="U435" s="127">
        <f t="shared" si="46"/>
        <v>-2.9802153769095918</v>
      </c>
      <c r="V435" s="126">
        <v>50</v>
      </c>
      <c r="W435" s="126">
        <f t="shared" si="47"/>
        <v>30000</v>
      </c>
      <c r="X435" s="126">
        <f t="shared" si="48"/>
        <v>600</v>
      </c>
      <c r="Y435" s="128" t="s">
        <v>610</v>
      </c>
      <c r="Z435" s="119" t="s">
        <v>35</v>
      </c>
      <c r="AA435" s="119" t="s">
        <v>35</v>
      </c>
      <c r="AB435" s="119" t="s">
        <v>611</v>
      </c>
      <c r="AC435" s="119">
        <v>0</v>
      </c>
      <c r="AD435" s="119">
        <v>1</v>
      </c>
      <c r="AE435" s="119" t="s">
        <v>37</v>
      </c>
      <c r="AF435" s="119" t="s">
        <v>43</v>
      </c>
      <c r="AG435" s="119" t="s">
        <v>38</v>
      </c>
      <c r="AH435" s="119" t="s">
        <v>92</v>
      </c>
    </row>
    <row r="436" spans="1:34" x14ac:dyDescent="0.3">
      <c r="A436" s="118" t="s">
        <v>611</v>
      </c>
      <c r="B436" s="119" t="s">
        <v>700</v>
      </c>
      <c r="C436" s="119" t="s">
        <v>701</v>
      </c>
      <c r="D436" s="120">
        <v>45589</v>
      </c>
      <c r="E436" s="121">
        <v>193500</v>
      </c>
      <c r="F436" s="119" t="s">
        <v>32</v>
      </c>
      <c r="G436" s="119" t="s">
        <v>33</v>
      </c>
      <c r="H436" s="121">
        <v>193500</v>
      </c>
      <c r="I436" s="121">
        <v>87200</v>
      </c>
      <c r="J436" s="122">
        <f t="shared" si="42"/>
        <v>45.064599483204134</v>
      </c>
      <c r="K436" s="121">
        <v>189417</v>
      </c>
      <c r="L436" s="121">
        <f>H436-173480</f>
        <v>20020</v>
      </c>
      <c r="M436" s="121">
        <v>15937</v>
      </c>
      <c r="N436" s="123">
        <f t="shared" si="43"/>
        <v>8.2361757105943151E-2</v>
      </c>
      <c r="O436" s="124">
        <v>74.819999999999993</v>
      </c>
      <c r="P436" s="125">
        <v>150.01</v>
      </c>
      <c r="Q436" s="126">
        <v>0.22700000000000001</v>
      </c>
      <c r="R436" s="126">
        <v>0.22700000000000001</v>
      </c>
      <c r="S436" s="121">
        <f t="shared" si="44"/>
        <v>267.57551456829725</v>
      </c>
      <c r="T436" s="121">
        <f t="shared" si="45"/>
        <v>88193.832599118934</v>
      </c>
      <c r="U436" s="127">
        <f t="shared" si="46"/>
        <v>2.0246518043874868</v>
      </c>
      <c r="V436" s="126">
        <v>64.5</v>
      </c>
      <c r="W436" s="126">
        <f t="shared" si="47"/>
        <v>38700</v>
      </c>
      <c r="X436" s="126">
        <f t="shared" si="48"/>
        <v>600</v>
      </c>
      <c r="Y436" s="128" t="s">
        <v>610</v>
      </c>
      <c r="Z436" s="119" t="s">
        <v>35</v>
      </c>
      <c r="AA436" s="119" t="s">
        <v>35</v>
      </c>
      <c r="AB436" s="119" t="s">
        <v>611</v>
      </c>
      <c r="AC436" s="119">
        <v>0</v>
      </c>
      <c r="AD436" s="119">
        <v>1</v>
      </c>
      <c r="AE436" s="119" t="s">
        <v>42</v>
      </c>
      <c r="AF436" s="119" t="s">
        <v>35</v>
      </c>
      <c r="AG436" s="119" t="s">
        <v>38</v>
      </c>
      <c r="AH436" s="119" t="s">
        <v>92</v>
      </c>
    </row>
    <row r="437" spans="1:34" x14ac:dyDescent="0.3">
      <c r="A437" s="118" t="s">
        <v>611</v>
      </c>
      <c r="B437" s="119" t="s">
        <v>630</v>
      </c>
      <c r="C437" s="119" t="s">
        <v>631</v>
      </c>
      <c r="D437" s="120">
        <v>45301</v>
      </c>
      <c r="E437" s="121">
        <v>193500</v>
      </c>
      <c r="F437" s="119" t="s">
        <v>32</v>
      </c>
      <c r="G437" s="119" t="s">
        <v>33</v>
      </c>
      <c r="H437" s="121">
        <v>193500</v>
      </c>
      <c r="I437" s="121">
        <v>80800</v>
      </c>
      <c r="J437" s="122">
        <f t="shared" si="42"/>
        <v>41.757105943152453</v>
      </c>
      <c r="K437" s="121">
        <v>205313</v>
      </c>
      <c r="L437" s="121">
        <f>H437-194042</f>
        <v>-542</v>
      </c>
      <c r="M437" s="121">
        <v>11271</v>
      </c>
      <c r="N437" s="123">
        <f t="shared" si="43"/>
        <v>5.8248062015503879E-2</v>
      </c>
      <c r="O437" s="124">
        <v>52.91</v>
      </c>
      <c r="P437" s="125">
        <v>106.64</v>
      </c>
      <c r="Q437" s="126">
        <v>0.124</v>
      </c>
      <c r="R437" s="126">
        <v>0.124</v>
      </c>
      <c r="S437" s="121">
        <f t="shared" si="44"/>
        <v>-10.243810243810245</v>
      </c>
      <c r="T437" s="121">
        <f t="shared" si="45"/>
        <v>-4370.9677419354839</v>
      </c>
      <c r="U437" s="127">
        <f t="shared" si="46"/>
        <v>-0.10034361207381735</v>
      </c>
      <c r="V437" s="126">
        <v>63.72</v>
      </c>
      <c r="W437" s="126">
        <f t="shared" si="47"/>
        <v>38700</v>
      </c>
      <c r="X437" s="126">
        <f t="shared" si="48"/>
        <v>607.34463276836163</v>
      </c>
      <c r="Y437" s="128" t="s">
        <v>610</v>
      </c>
      <c r="Z437" s="119" t="s">
        <v>35</v>
      </c>
      <c r="AA437" s="119" t="s">
        <v>35</v>
      </c>
      <c r="AB437" s="119" t="s">
        <v>611</v>
      </c>
      <c r="AC437" s="119">
        <v>0</v>
      </c>
      <c r="AD437" s="119">
        <v>1</v>
      </c>
      <c r="AE437" s="119" t="s">
        <v>632</v>
      </c>
      <c r="AF437" s="119" t="s">
        <v>43</v>
      </c>
      <c r="AG437" s="119" t="s">
        <v>38</v>
      </c>
      <c r="AH437" s="119" t="s">
        <v>92</v>
      </c>
    </row>
    <row r="438" spans="1:34" x14ac:dyDescent="0.3">
      <c r="A438" s="107" t="s">
        <v>611</v>
      </c>
      <c r="B438" s="108" t="s">
        <v>718</v>
      </c>
      <c r="C438" s="108" t="s">
        <v>719</v>
      </c>
      <c r="D438" s="109">
        <v>45033</v>
      </c>
      <c r="E438" s="110">
        <v>162500</v>
      </c>
      <c r="F438" s="108" t="s">
        <v>32</v>
      </c>
      <c r="G438" s="108" t="s">
        <v>33</v>
      </c>
      <c r="H438" s="110">
        <v>162500</v>
      </c>
      <c r="I438" s="110">
        <v>83700</v>
      </c>
      <c r="J438" s="111">
        <f t="shared" si="42"/>
        <v>51.507692307692309</v>
      </c>
      <c r="K438" s="110">
        <v>220497</v>
      </c>
      <c r="L438" s="110">
        <f>H438-209264</f>
        <v>-46764</v>
      </c>
      <c r="M438" s="110">
        <v>11233</v>
      </c>
      <c r="N438" s="112">
        <f t="shared" si="43"/>
        <v>6.9126153846153851E-2</v>
      </c>
      <c r="O438" s="113">
        <v>52.73</v>
      </c>
      <c r="P438" s="114">
        <v>118.29</v>
      </c>
      <c r="Q438" s="115">
        <v>0.14099999999999999</v>
      </c>
      <c r="R438" s="115">
        <v>0.14099999999999999</v>
      </c>
      <c r="S438" s="110">
        <f t="shared" si="44"/>
        <v>-886.85757633225876</v>
      </c>
      <c r="T438" s="110">
        <f t="shared" si="45"/>
        <v>-331659.57446808513</v>
      </c>
      <c r="U438" s="116">
        <f t="shared" si="46"/>
        <v>-7.6138561631791815</v>
      </c>
      <c r="V438" s="115">
        <v>52</v>
      </c>
      <c r="W438" s="115">
        <f t="shared" si="47"/>
        <v>32500</v>
      </c>
      <c r="X438" s="115">
        <f t="shared" si="48"/>
        <v>625</v>
      </c>
      <c r="Y438" s="117" t="s">
        <v>610</v>
      </c>
      <c r="Z438" s="108" t="s">
        <v>35</v>
      </c>
      <c r="AA438" s="108" t="s">
        <v>35</v>
      </c>
      <c r="AB438" s="108" t="s">
        <v>611</v>
      </c>
      <c r="AC438" s="108">
        <v>0</v>
      </c>
      <c r="AD438" s="108">
        <v>1</v>
      </c>
      <c r="AE438" s="108" t="s">
        <v>42</v>
      </c>
      <c r="AF438" s="108" t="s">
        <v>43</v>
      </c>
      <c r="AG438" s="108" t="s">
        <v>38</v>
      </c>
      <c r="AH438" s="108" t="s">
        <v>92</v>
      </c>
    </row>
    <row r="439" spans="1:34" x14ac:dyDescent="0.3">
      <c r="A439" s="107" t="s">
        <v>611</v>
      </c>
      <c r="B439" s="108" t="s">
        <v>726</v>
      </c>
      <c r="C439" s="108" t="s">
        <v>727</v>
      </c>
      <c r="D439" s="109">
        <v>45327</v>
      </c>
      <c r="E439" s="110">
        <v>163300</v>
      </c>
      <c r="F439" s="108" t="s">
        <v>32</v>
      </c>
      <c r="G439" s="108" t="s">
        <v>33</v>
      </c>
      <c r="H439" s="110">
        <v>163300</v>
      </c>
      <c r="I439" s="110">
        <v>68000</v>
      </c>
      <c r="J439" s="111">
        <f t="shared" si="42"/>
        <v>41.641151255358238</v>
      </c>
      <c r="K439" s="110">
        <v>177846</v>
      </c>
      <c r="L439" s="110">
        <f>H439-166770</f>
        <v>-3470</v>
      </c>
      <c r="M439" s="110">
        <v>11076</v>
      </c>
      <c r="N439" s="112">
        <f t="shared" si="43"/>
        <v>6.7826086956521744E-2</v>
      </c>
      <c r="O439" s="113">
        <v>52</v>
      </c>
      <c r="P439" s="114">
        <v>115</v>
      </c>
      <c r="Q439" s="115">
        <v>0.13700000000000001</v>
      </c>
      <c r="R439" s="115">
        <v>0.13700000000000001</v>
      </c>
      <c r="S439" s="110">
        <f t="shared" si="44"/>
        <v>-66.730769230769226</v>
      </c>
      <c r="T439" s="110">
        <f t="shared" si="45"/>
        <v>-25328.46715328467</v>
      </c>
      <c r="U439" s="116">
        <f t="shared" si="46"/>
        <v>-0.58146159672370679</v>
      </c>
      <c r="V439" s="115">
        <v>52</v>
      </c>
      <c r="W439" s="115">
        <f t="shared" si="47"/>
        <v>32660</v>
      </c>
      <c r="X439" s="115">
        <f t="shared" si="48"/>
        <v>628.07692307692309</v>
      </c>
      <c r="Y439" s="117" t="s">
        <v>610</v>
      </c>
      <c r="Z439" s="108" t="s">
        <v>35</v>
      </c>
      <c r="AA439" s="108" t="s">
        <v>35</v>
      </c>
      <c r="AB439" s="108" t="s">
        <v>611</v>
      </c>
      <c r="AC439" s="108">
        <v>0</v>
      </c>
      <c r="AD439" s="108">
        <v>1</v>
      </c>
      <c r="AE439" s="108" t="s">
        <v>42</v>
      </c>
      <c r="AF439" s="108" t="s">
        <v>43</v>
      </c>
      <c r="AG439" s="108" t="s">
        <v>38</v>
      </c>
      <c r="AH439" s="108" t="s">
        <v>92</v>
      </c>
    </row>
    <row r="440" spans="1:34" x14ac:dyDescent="0.3">
      <c r="A440" s="118" t="s">
        <v>611</v>
      </c>
      <c r="B440" s="119" t="s">
        <v>620</v>
      </c>
      <c r="C440" s="119" t="s">
        <v>621</v>
      </c>
      <c r="D440" s="120">
        <v>45716</v>
      </c>
      <c r="E440" s="121">
        <v>222500</v>
      </c>
      <c r="F440" s="119" t="s">
        <v>32</v>
      </c>
      <c r="G440" s="119" t="s">
        <v>33</v>
      </c>
      <c r="H440" s="121">
        <v>222500</v>
      </c>
      <c r="I440" s="121">
        <v>86500</v>
      </c>
      <c r="J440" s="122">
        <f t="shared" si="42"/>
        <v>38.876404494382022</v>
      </c>
      <c r="K440" s="121">
        <v>187912</v>
      </c>
      <c r="L440" s="121">
        <f>H440-175451</f>
        <v>47049</v>
      </c>
      <c r="M440" s="121">
        <v>12461</v>
      </c>
      <c r="N440" s="123">
        <f t="shared" si="43"/>
        <v>5.6004494382022471E-2</v>
      </c>
      <c r="O440" s="124">
        <v>58.5</v>
      </c>
      <c r="P440" s="125">
        <v>112.21</v>
      </c>
      <c r="Q440" s="126">
        <v>0.13900000000000001</v>
      </c>
      <c r="R440" s="126">
        <v>0.13900000000000001</v>
      </c>
      <c r="S440" s="121">
        <f t="shared" si="44"/>
        <v>804.25641025641028</v>
      </c>
      <c r="T440" s="121">
        <f t="shared" si="45"/>
        <v>338482.01438848919</v>
      </c>
      <c r="U440" s="127">
        <f t="shared" si="46"/>
        <v>7.7704778326099442</v>
      </c>
      <c r="V440" s="126">
        <v>69.72</v>
      </c>
      <c r="W440" s="126">
        <f t="shared" si="47"/>
        <v>44500</v>
      </c>
      <c r="X440" s="126">
        <f t="shared" si="48"/>
        <v>638.26735513482504</v>
      </c>
      <c r="Y440" s="128" t="s">
        <v>610</v>
      </c>
      <c r="Z440" s="119" t="s">
        <v>35</v>
      </c>
      <c r="AA440" s="119" t="s">
        <v>35</v>
      </c>
      <c r="AB440" s="119" t="s">
        <v>611</v>
      </c>
      <c r="AC440" s="119">
        <v>0</v>
      </c>
      <c r="AD440" s="119">
        <v>1</v>
      </c>
      <c r="AE440" s="119" t="s">
        <v>37</v>
      </c>
      <c r="AF440" s="119" t="s">
        <v>35</v>
      </c>
      <c r="AG440" s="119" t="s">
        <v>38</v>
      </c>
      <c r="AH440" s="119" t="s">
        <v>92</v>
      </c>
    </row>
    <row r="441" spans="1:34" x14ac:dyDescent="0.3">
      <c r="A441" s="118" t="s">
        <v>611</v>
      </c>
      <c r="B441" s="119" t="s">
        <v>736</v>
      </c>
      <c r="C441" s="119" t="s">
        <v>737</v>
      </c>
      <c r="D441" s="120">
        <v>45618</v>
      </c>
      <c r="E441" s="121">
        <v>169000</v>
      </c>
      <c r="F441" s="119" t="s">
        <v>32</v>
      </c>
      <c r="G441" s="119" t="s">
        <v>33</v>
      </c>
      <c r="H441" s="121">
        <v>169000</v>
      </c>
      <c r="I441" s="121">
        <v>77600</v>
      </c>
      <c r="J441" s="122">
        <f t="shared" si="42"/>
        <v>45.917159763313606</v>
      </c>
      <c r="K441" s="121">
        <v>168812</v>
      </c>
      <c r="L441" s="121">
        <f>H441-157736</f>
        <v>11264</v>
      </c>
      <c r="M441" s="121">
        <v>11076</v>
      </c>
      <c r="N441" s="123">
        <f t="shared" si="43"/>
        <v>6.5538461538461532E-2</v>
      </c>
      <c r="O441" s="124">
        <v>52</v>
      </c>
      <c r="P441" s="125">
        <v>115</v>
      </c>
      <c r="Q441" s="126">
        <v>0.13700000000000001</v>
      </c>
      <c r="R441" s="126">
        <v>0.13700000000000001</v>
      </c>
      <c r="S441" s="121">
        <f t="shared" si="44"/>
        <v>216.61538461538461</v>
      </c>
      <c r="T441" s="121">
        <f t="shared" si="45"/>
        <v>82218.97810218978</v>
      </c>
      <c r="U441" s="127">
        <f t="shared" si="46"/>
        <v>1.8874880188748802</v>
      </c>
      <c r="V441" s="126">
        <v>52</v>
      </c>
      <c r="W441" s="126">
        <f t="shared" si="47"/>
        <v>33800</v>
      </c>
      <c r="X441" s="126">
        <f t="shared" si="48"/>
        <v>650</v>
      </c>
      <c r="Y441" s="128" t="s">
        <v>610</v>
      </c>
      <c r="Z441" s="119" t="s">
        <v>35</v>
      </c>
      <c r="AA441" s="119" t="s">
        <v>35</v>
      </c>
      <c r="AB441" s="119" t="s">
        <v>611</v>
      </c>
      <c r="AC441" s="119">
        <v>0</v>
      </c>
      <c r="AD441" s="119">
        <v>1</v>
      </c>
      <c r="AE441" s="119" t="s">
        <v>37</v>
      </c>
      <c r="AF441" s="119" t="s">
        <v>35</v>
      </c>
      <c r="AG441" s="119" t="s">
        <v>38</v>
      </c>
      <c r="AH441" s="119" t="s">
        <v>92</v>
      </c>
    </row>
    <row r="442" spans="1:34" x14ac:dyDescent="0.3">
      <c r="A442" s="118" t="s">
        <v>611</v>
      </c>
      <c r="B442" s="119" t="s">
        <v>726</v>
      </c>
      <c r="C442" s="119" t="s">
        <v>727</v>
      </c>
      <c r="D442" s="120">
        <v>45741</v>
      </c>
      <c r="E442" s="121">
        <v>170000</v>
      </c>
      <c r="F442" s="119" t="s">
        <v>32</v>
      </c>
      <c r="G442" s="119" t="s">
        <v>33</v>
      </c>
      <c r="H442" s="121">
        <v>170000</v>
      </c>
      <c r="I442" s="121">
        <v>79400</v>
      </c>
      <c r="J442" s="122">
        <f t="shared" si="42"/>
        <v>46.705882352941174</v>
      </c>
      <c r="K442" s="121">
        <v>177846</v>
      </c>
      <c r="L442" s="121">
        <f>H442-166770</f>
        <v>3230</v>
      </c>
      <c r="M442" s="121">
        <v>11076</v>
      </c>
      <c r="N442" s="123">
        <f t="shared" si="43"/>
        <v>6.5152941176470594E-2</v>
      </c>
      <c r="O442" s="124">
        <v>52</v>
      </c>
      <c r="P442" s="125">
        <v>115</v>
      </c>
      <c r="Q442" s="126">
        <v>0.13700000000000001</v>
      </c>
      <c r="R442" s="126">
        <v>0.13700000000000001</v>
      </c>
      <c r="S442" s="121">
        <f t="shared" si="44"/>
        <v>62.115384615384613</v>
      </c>
      <c r="T442" s="121">
        <f t="shared" si="45"/>
        <v>23576.642335766421</v>
      </c>
      <c r="U442" s="127">
        <f t="shared" si="46"/>
        <v>0.54124523268517954</v>
      </c>
      <c r="V442" s="126">
        <v>52</v>
      </c>
      <c r="W442" s="126">
        <f t="shared" si="47"/>
        <v>34000</v>
      </c>
      <c r="X442" s="126">
        <f t="shared" si="48"/>
        <v>653.84615384615381</v>
      </c>
      <c r="Y442" s="128" t="s">
        <v>610</v>
      </c>
      <c r="Z442" s="119" t="s">
        <v>35</v>
      </c>
      <c r="AA442" s="119" t="s">
        <v>35</v>
      </c>
      <c r="AB442" s="119" t="s">
        <v>611</v>
      </c>
      <c r="AC442" s="119">
        <v>0</v>
      </c>
      <c r="AD442" s="119">
        <v>1</v>
      </c>
      <c r="AE442" s="119" t="s">
        <v>42</v>
      </c>
      <c r="AF442" s="119" t="s">
        <v>35</v>
      </c>
      <c r="AG442" s="119" t="s">
        <v>38</v>
      </c>
      <c r="AH442" s="119" t="s">
        <v>92</v>
      </c>
    </row>
    <row r="443" spans="1:34" x14ac:dyDescent="0.3">
      <c r="A443" s="107" t="s">
        <v>611</v>
      </c>
      <c r="B443" s="108" t="s">
        <v>724</v>
      </c>
      <c r="C443" s="108" t="s">
        <v>725</v>
      </c>
      <c r="D443" s="109">
        <v>45681</v>
      </c>
      <c r="E443" s="110">
        <v>171000</v>
      </c>
      <c r="F443" s="108" t="s">
        <v>32</v>
      </c>
      <c r="G443" s="108" t="s">
        <v>33</v>
      </c>
      <c r="H443" s="110">
        <v>171000</v>
      </c>
      <c r="I443" s="110">
        <v>77800</v>
      </c>
      <c r="J443" s="111">
        <f t="shared" si="42"/>
        <v>45.497076023391813</v>
      </c>
      <c r="K443" s="110">
        <v>170795</v>
      </c>
      <c r="L443" s="110">
        <f>H443-159719</f>
        <v>11281</v>
      </c>
      <c r="M443" s="110">
        <v>11076</v>
      </c>
      <c r="N443" s="112">
        <f t="shared" si="43"/>
        <v>6.4771929824561397E-2</v>
      </c>
      <c r="O443" s="113">
        <v>52</v>
      </c>
      <c r="P443" s="114">
        <v>115</v>
      </c>
      <c r="Q443" s="115">
        <v>0.13700000000000001</v>
      </c>
      <c r="R443" s="115">
        <v>0.13700000000000001</v>
      </c>
      <c r="S443" s="110">
        <f t="shared" si="44"/>
        <v>216.94230769230768</v>
      </c>
      <c r="T443" s="110">
        <f t="shared" si="45"/>
        <v>82343.065693430646</v>
      </c>
      <c r="U443" s="116">
        <f t="shared" si="46"/>
        <v>1.8903366779942756</v>
      </c>
      <c r="V443" s="115">
        <v>52</v>
      </c>
      <c r="W443" s="115">
        <f t="shared" si="47"/>
        <v>34200</v>
      </c>
      <c r="X443" s="115">
        <f t="shared" si="48"/>
        <v>657.69230769230774</v>
      </c>
      <c r="Y443" s="117" t="s">
        <v>610</v>
      </c>
      <c r="Z443" s="108" t="s">
        <v>35</v>
      </c>
      <c r="AA443" s="108" t="s">
        <v>35</v>
      </c>
      <c r="AB443" s="108" t="s">
        <v>611</v>
      </c>
      <c r="AC443" s="108">
        <v>0</v>
      </c>
      <c r="AD443" s="108">
        <v>1</v>
      </c>
      <c r="AE443" s="108" t="s">
        <v>42</v>
      </c>
      <c r="AF443" s="108" t="s">
        <v>35</v>
      </c>
      <c r="AG443" s="108" t="s">
        <v>38</v>
      </c>
      <c r="AH443" s="108" t="s">
        <v>92</v>
      </c>
    </row>
    <row r="444" spans="1:34" x14ac:dyDescent="0.3">
      <c r="A444" s="118" t="s">
        <v>611</v>
      </c>
      <c r="B444" s="119" t="s">
        <v>708</v>
      </c>
      <c r="C444" s="119" t="s">
        <v>709</v>
      </c>
      <c r="D444" s="120">
        <v>45532</v>
      </c>
      <c r="E444" s="121">
        <v>182900</v>
      </c>
      <c r="F444" s="119" t="s">
        <v>32</v>
      </c>
      <c r="G444" s="119" t="s">
        <v>33</v>
      </c>
      <c r="H444" s="121">
        <v>182900</v>
      </c>
      <c r="I444" s="121">
        <v>82000</v>
      </c>
      <c r="J444" s="122">
        <f t="shared" si="42"/>
        <v>44.8332422088573</v>
      </c>
      <c r="K444" s="121">
        <v>178494</v>
      </c>
      <c r="L444" s="121">
        <f>H444-166280</f>
        <v>16620</v>
      </c>
      <c r="M444" s="121">
        <v>12214</v>
      </c>
      <c r="N444" s="123">
        <f t="shared" si="43"/>
        <v>6.6779661016949154E-2</v>
      </c>
      <c r="O444" s="124">
        <v>57.34</v>
      </c>
      <c r="P444" s="125">
        <v>125</v>
      </c>
      <c r="Q444" s="126">
        <v>0.158</v>
      </c>
      <c r="R444" s="126">
        <v>0.158</v>
      </c>
      <c r="S444" s="121">
        <f t="shared" si="44"/>
        <v>289.85001743983258</v>
      </c>
      <c r="T444" s="121">
        <f t="shared" si="45"/>
        <v>105189.87341772152</v>
      </c>
      <c r="U444" s="127">
        <f t="shared" si="46"/>
        <v>2.414827213446316</v>
      </c>
      <c r="V444" s="126">
        <v>55</v>
      </c>
      <c r="W444" s="126">
        <f t="shared" si="47"/>
        <v>36580</v>
      </c>
      <c r="X444" s="126">
        <f t="shared" si="48"/>
        <v>665.09090909090912</v>
      </c>
      <c r="Y444" s="128" t="s">
        <v>610</v>
      </c>
      <c r="Z444" s="119" t="s">
        <v>35</v>
      </c>
      <c r="AA444" s="119" t="s">
        <v>35</v>
      </c>
      <c r="AB444" s="119" t="s">
        <v>611</v>
      </c>
      <c r="AC444" s="119">
        <v>0</v>
      </c>
      <c r="AD444" s="119">
        <v>1</v>
      </c>
      <c r="AE444" s="119" t="s">
        <v>42</v>
      </c>
      <c r="AF444" s="119" t="s">
        <v>43</v>
      </c>
      <c r="AG444" s="119" t="s">
        <v>38</v>
      </c>
      <c r="AH444" s="119" t="s">
        <v>92</v>
      </c>
    </row>
    <row r="445" spans="1:34" x14ac:dyDescent="0.3">
      <c r="A445" s="118" t="s">
        <v>611</v>
      </c>
      <c r="B445" s="119" t="s">
        <v>637</v>
      </c>
      <c r="C445" s="119" t="s">
        <v>638</v>
      </c>
      <c r="D445" s="120">
        <v>45251</v>
      </c>
      <c r="E445" s="121">
        <v>186000</v>
      </c>
      <c r="F445" s="119" t="s">
        <v>32</v>
      </c>
      <c r="G445" s="119" t="s">
        <v>33</v>
      </c>
      <c r="H445" s="121">
        <v>186000</v>
      </c>
      <c r="I445" s="121">
        <v>75100</v>
      </c>
      <c r="J445" s="122">
        <f t="shared" si="42"/>
        <v>40.376344086021504</v>
      </c>
      <c r="K445" s="121">
        <v>190511</v>
      </c>
      <c r="L445" s="121">
        <f>H445-179565</f>
        <v>6435</v>
      </c>
      <c r="M445" s="121">
        <v>10946</v>
      </c>
      <c r="N445" s="123">
        <f t="shared" si="43"/>
        <v>5.8849462365591396E-2</v>
      </c>
      <c r="O445" s="124">
        <v>51.38</v>
      </c>
      <c r="P445" s="125">
        <v>109.76</v>
      </c>
      <c r="Q445" s="126">
        <v>0.25800000000000001</v>
      </c>
      <c r="R445" s="126">
        <v>0.129</v>
      </c>
      <c r="S445" s="121">
        <f t="shared" si="44"/>
        <v>125.24328532502919</v>
      </c>
      <c r="T445" s="121">
        <f t="shared" si="45"/>
        <v>24941.860465116279</v>
      </c>
      <c r="U445" s="127">
        <f t="shared" si="46"/>
        <v>0.5725863284002819</v>
      </c>
      <c r="V445" s="126">
        <v>55.4</v>
      </c>
      <c r="W445" s="126">
        <f t="shared" si="47"/>
        <v>37200</v>
      </c>
      <c r="X445" s="126">
        <f t="shared" si="48"/>
        <v>671.48014440433212</v>
      </c>
      <c r="Y445" s="128" t="s">
        <v>610</v>
      </c>
      <c r="Z445" s="119" t="s">
        <v>35</v>
      </c>
      <c r="AA445" s="119" t="s">
        <v>35</v>
      </c>
      <c r="AB445" s="119" t="s">
        <v>611</v>
      </c>
      <c r="AC445" s="119">
        <v>0</v>
      </c>
      <c r="AD445" s="119">
        <v>1</v>
      </c>
      <c r="AE445" s="119" t="s">
        <v>37</v>
      </c>
      <c r="AF445" s="119" t="s">
        <v>43</v>
      </c>
      <c r="AG445" s="119" t="s">
        <v>38</v>
      </c>
      <c r="AH445" s="119" t="s">
        <v>92</v>
      </c>
    </row>
    <row r="446" spans="1:34" x14ac:dyDescent="0.3">
      <c r="A446" s="118" t="s">
        <v>611</v>
      </c>
      <c r="B446" s="119" t="s">
        <v>680</v>
      </c>
      <c r="C446" s="119" t="s">
        <v>681</v>
      </c>
      <c r="D446" s="120">
        <v>45138</v>
      </c>
      <c r="E446" s="121">
        <v>185000</v>
      </c>
      <c r="F446" s="119" t="s">
        <v>32</v>
      </c>
      <c r="G446" s="119" t="s">
        <v>33</v>
      </c>
      <c r="H446" s="121">
        <v>185000</v>
      </c>
      <c r="I446" s="121">
        <v>72800</v>
      </c>
      <c r="J446" s="122">
        <f t="shared" si="42"/>
        <v>39.351351351351347</v>
      </c>
      <c r="K446" s="121">
        <v>184813</v>
      </c>
      <c r="L446" s="121">
        <f>H446-173226</f>
        <v>11774</v>
      </c>
      <c r="M446" s="121">
        <v>11587</v>
      </c>
      <c r="N446" s="123">
        <f t="shared" si="43"/>
        <v>6.2632432432432439E-2</v>
      </c>
      <c r="O446" s="124">
        <v>54.39</v>
      </c>
      <c r="P446" s="125">
        <v>112.5</v>
      </c>
      <c r="Q446" s="126">
        <v>0.14199999999999999</v>
      </c>
      <c r="R446" s="126">
        <v>0.14199999999999999</v>
      </c>
      <c r="S446" s="121">
        <f t="shared" si="44"/>
        <v>216.47361647361646</v>
      </c>
      <c r="T446" s="121">
        <f t="shared" si="45"/>
        <v>82915.492957746479</v>
      </c>
      <c r="U446" s="127">
        <f t="shared" si="46"/>
        <v>1.9034777997646115</v>
      </c>
      <c r="V446" s="126">
        <v>55</v>
      </c>
      <c r="W446" s="126">
        <f t="shared" si="47"/>
        <v>37000</v>
      </c>
      <c r="X446" s="126">
        <f t="shared" si="48"/>
        <v>672.72727272727275</v>
      </c>
      <c r="Y446" s="128" t="s">
        <v>610</v>
      </c>
      <c r="Z446" s="119" t="s">
        <v>35</v>
      </c>
      <c r="AA446" s="119" t="s">
        <v>35</v>
      </c>
      <c r="AB446" s="119" t="s">
        <v>611</v>
      </c>
      <c r="AC446" s="119">
        <v>0</v>
      </c>
      <c r="AD446" s="119">
        <v>1</v>
      </c>
      <c r="AE446" s="119" t="s">
        <v>42</v>
      </c>
      <c r="AF446" s="119" t="s">
        <v>43</v>
      </c>
      <c r="AG446" s="119" t="s">
        <v>38</v>
      </c>
      <c r="AH446" s="119" t="s">
        <v>92</v>
      </c>
    </row>
    <row r="447" spans="1:34" x14ac:dyDescent="0.3">
      <c r="A447" s="118" t="s">
        <v>611</v>
      </c>
      <c r="B447" s="119" t="s">
        <v>647</v>
      </c>
      <c r="C447" s="119" t="s">
        <v>648</v>
      </c>
      <c r="D447" s="120">
        <v>45297</v>
      </c>
      <c r="E447" s="121">
        <v>169900</v>
      </c>
      <c r="F447" s="119" t="s">
        <v>32</v>
      </c>
      <c r="G447" s="119" t="s">
        <v>33</v>
      </c>
      <c r="H447" s="121">
        <v>169900</v>
      </c>
      <c r="I447" s="121">
        <v>75200</v>
      </c>
      <c r="J447" s="122">
        <f t="shared" si="42"/>
        <v>44.261330194231903</v>
      </c>
      <c r="K447" s="121">
        <v>190979</v>
      </c>
      <c r="L447" s="121">
        <f>H447-180563</f>
        <v>-10663</v>
      </c>
      <c r="M447" s="121">
        <v>10416</v>
      </c>
      <c r="N447" s="123">
        <f t="shared" si="43"/>
        <v>6.1306650971159504E-2</v>
      </c>
      <c r="O447" s="124">
        <v>48.9</v>
      </c>
      <c r="P447" s="125">
        <v>110</v>
      </c>
      <c r="Q447" s="126">
        <v>0.126</v>
      </c>
      <c r="R447" s="126">
        <v>0.126</v>
      </c>
      <c r="S447" s="121">
        <f t="shared" si="44"/>
        <v>-218.05725971370143</v>
      </c>
      <c r="T447" s="121">
        <f t="shared" si="45"/>
        <v>-84626.984126984127</v>
      </c>
      <c r="U447" s="127">
        <f t="shared" si="46"/>
        <v>-1.9427682306470184</v>
      </c>
      <c r="V447" s="126">
        <v>50</v>
      </c>
      <c r="W447" s="126">
        <f t="shared" si="47"/>
        <v>33980</v>
      </c>
      <c r="X447" s="126">
        <f t="shared" si="48"/>
        <v>679.6</v>
      </c>
      <c r="Y447" s="128" t="s">
        <v>610</v>
      </c>
      <c r="Z447" s="119" t="s">
        <v>35</v>
      </c>
      <c r="AA447" s="119" t="s">
        <v>35</v>
      </c>
      <c r="AB447" s="119" t="s">
        <v>611</v>
      </c>
      <c r="AC447" s="119">
        <v>0</v>
      </c>
      <c r="AD447" s="119">
        <v>1</v>
      </c>
      <c r="AE447" s="119" t="s">
        <v>37</v>
      </c>
      <c r="AF447" s="119" t="s">
        <v>43</v>
      </c>
      <c r="AG447" s="119" t="s">
        <v>38</v>
      </c>
      <c r="AH447" s="119" t="s">
        <v>92</v>
      </c>
    </row>
    <row r="448" spans="1:34" x14ac:dyDescent="0.3">
      <c r="A448" s="107" t="s">
        <v>611</v>
      </c>
      <c r="B448" s="108" t="s">
        <v>624</v>
      </c>
      <c r="C448" s="108" t="s">
        <v>625</v>
      </c>
      <c r="D448" s="109">
        <v>45041</v>
      </c>
      <c r="E448" s="110">
        <v>170000</v>
      </c>
      <c r="F448" s="108" t="s">
        <v>32</v>
      </c>
      <c r="G448" s="108" t="s">
        <v>33</v>
      </c>
      <c r="H448" s="110">
        <v>170000</v>
      </c>
      <c r="I448" s="110">
        <v>73100</v>
      </c>
      <c r="J448" s="111">
        <f t="shared" si="42"/>
        <v>43</v>
      </c>
      <c r="K448" s="110">
        <v>185557</v>
      </c>
      <c r="L448" s="110">
        <f>H448-175023</f>
        <v>-5023</v>
      </c>
      <c r="M448" s="110">
        <v>10534</v>
      </c>
      <c r="N448" s="112">
        <f t="shared" si="43"/>
        <v>6.1964705882352943E-2</v>
      </c>
      <c r="O448" s="113">
        <v>49.45</v>
      </c>
      <c r="P448" s="114">
        <v>112.5</v>
      </c>
      <c r="Q448" s="115">
        <v>0.129</v>
      </c>
      <c r="R448" s="115">
        <v>0.129</v>
      </c>
      <c r="S448" s="110">
        <f t="shared" si="44"/>
        <v>-101.57735085945399</v>
      </c>
      <c r="T448" s="110">
        <f t="shared" si="45"/>
        <v>-38937.984496124031</v>
      </c>
      <c r="U448" s="116">
        <f t="shared" si="46"/>
        <v>-0.893893124337099</v>
      </c>
      <c r="V448" s="115">
        <v>50</v>
      </c>
      <c r="W448" s="115">
        <f t="shared" si="47"/>
        <v>34000</v>
      </c>
      <c r="X448" s="115">
        <f t="shared" si="48"/>
        <v>680</v>
      </c>
      <c r="Y448" s="117" t="s">
        <v>610</v>
      </c>
      <c r="Z448" s="108" t="s">
        <v>35</v>
      </c>
      <c r="AA448" s="108" t="s">
        <v>35</v>
      </c>
      <c r="AB448" s="108" t="s">
        <v>611</v>
      </c>
      <c r="AC448" s="108">
        <v>0</v>
      </c>
      <c r="AD448" s="108">
        <v>1</v>
      </c>
      <c r="AE448" s="108" t="s">
        <v>37</v>
      </c>
      <c r="AF448" s="108" t="s">
        <v>43</v>
      </c>
      <c r="AG448" s="108" t="s">
        <v>38</v>
      </c>
      <c r="AH448" s="108" t="s">
        <v>92</v>
      </c>
    </row>
    <row r="449" spans="1:34" x14ac:dyDescent="0.3">
      <c r="A449" s="107" t="s">
        <v>611</v>
      </c>
      <c r="B449" s="108" t="s">
        <v>686</v>
      </c>
      <c r="C449" s="108" t="s">
        <v>687</v>
      </c>
      <c r="D449" s="109">
        <v>45051</v>
      </c>
      <c r="E449" s="110">
        <v>170000</v>
      </c>
      <c r="F449" s="108" t="s">
        <v>32</v>
      </c>
      <c r="G449" s="108" t="s">
        <v>33</v>
      </c>
      <c r="H449" s="110">
        <v>170000</v>
      </c>
      <c r="I449" s="110">
        <v>66800</v>
      </c>
      <c r="J449" s="111">
        <f t="shared" si="42"/>
        <v>39.294117647058826</v>
      </c>
      <c r="K449" s="110">
        <v>167295</v>
      </c>
      <c r="L449" s="110">
        <f>H449-156416</f>
        <v>13584</v>
      </c>
      <c r="M449" s="110">
        <v>10879</v>
      </c>
      <c r="N449" s="112">
        <f t="shared" si="43"/>
        <v>6.3994117647058826E-2</v>
      </c>
      <c r="O449" s="113">
        <v>51.07</v>
      </c>
      <c r="P449" s="114">
        <v>120</v>
      </c>
      <c r="Q449" s="115">
        <v>0.13800000000000001</v>
      </c>
      <c r="R449" s="115">
        <v>0.13800000000000001</v>
      </c>
      <c r="S449" s="110">
        <f t="shared" si="44"/>
        <v>265.98785980027412</v>
      </c>
      <c r="T449" s="110">
        <f t="shared" si="45"/>
        <v>98434.782608695648</v>
      </c>
      <c r="U449" s="116">
        <f t="shared" si="46"/>
        <v>2.2597516668662911</v>
      </c>
      <c r="V449" s="115">
        <v>50</v>
      </c>
      <c r="W449" s="115">
        <f t="shared" si="47"/>
        <v>34000</v>
      </c>
      <c r="X449" s="115">
        <f t="shared" si="48"/>
        <v>680</v>
      </c>
      <c r="Y449" s="117" t="s">
        <v>610</v>
      </c>
      <c r="Z449" s="108" t="s">
        <v>35</v>
      </c>
      <c r="AA449" s="108" t="s">
        <v>35</v>
      </c>
      <c r="AB449" s="108" t="s">
        <v>611</v>
      </c>
      <c r="AC449" s="108">
        <v>0</v>
      </c>
      <c r="AD449" s="108">
        <v>1</v>
      </c>
      <c r="AE449" s="108" t="s">
        <v>37</v>
      </c>
      <c r="AF449" s="108" t="s">
        <v>43</v>
      </c>
      <c r="AG449" s="108" t="s">
        <v>38</v>
      </c>
      <c r="AH449" s="108" t="s">
        <v>92</v>
      </c>
    </row>
    <row r="450" spans="1:34" x14ac:dyDescent="0.3">
      <c r="A450" s="107" t="s">
        <v>611</v>
      </c>
      <c r="B450" s="108" t="s">
        <v>704</v>
      </c>
      <c r="C450" s="108" t="s">
        <v>705</v>
      </c>
      <c r="D450" s="109">
        <v>45065</v>
      </c>
      <c r="E450" s="110">
        <v>174250</v>
      </c>
      <c r="F450" s="108" t="s">
        <v>32</v>
      </c>
      <c r="G450" s="108" t="s">
        <v>33</v>
      </c>
      <c r="H450" s="110">
        <v>174250</v>
      </c>
      <c r="I450" s="110">
        <v>68100</v>
      </c>
      <c r="J450" s="111">
        <f t="shared" ref="J450:J513" si="49">I450/H450*100</f>
        <v>39.081779053084645</v>
      </c>
      <c r="K450" s="110">
        <v>172562</v>
      </c>
      <c r="L450" s="110">
        <f>H450-160399</f>
        <v>13851</v>
      </c>
      <c r="M450" s="110">
        <v>12163</v>
      </c>
      <c r="N450" s="112">
        <f t="shared" ref="N450:N513" si="50">M450/E450</f>
        <v>6.9802008608321378E-2</v>
      </c>
      <c r="O450" s="113">
        <v>57.1</v>
      </c>
      <c r="P450" s="114">
        <v>150</v>
      </c>
      <c r="Q450" s="115">
        <v>0.17199999999999999</v>
      </c>
      <c r="R450" s="115">
        <v>0.17199999999999999</v>
      </c>
      <c r="S450" s="110">
        <f t="shared" ref="S450:S513" si="51">L450/O450</f>
        <v>242.57443082311732</v>
      </c>
      <c r="T450" s="110">
        <f t="shared" ref="T450:T513" si="52">L450/Q450</f>
        <v>80529.069767441862</v>
      </c>
      <c r="U450" s="116">
        <f t="shared" ref="U450:U513" si="53">L450/Q450/43560</f>
        <v>1.848693061695176</v>
      </c>
      <c r="V450" s="115">
        <v>50</v>
      </c>
      <c r="W450" s="115">
        <f t="shared" ref="W450:W513" si="54">0.2*E450</f>
        <v>34850</v>
      </c>
      <c r="X450" s="115">
        <f t="shared" ref="X450:X513" si="55">W450/V450</f>
        <v>697</v>
      </c>
      <c r="Y450" s="117" t="s">
        <v>610</v>
      </c>
      <c r="Z450" s="108" t="s">
        <v>35</v>
      </c>
      <c r="AA450" s="108" t="s">
        <v>35</v>
      </c>
      <c r="AB450" s="108" t="s">
        <v>611</v>
      </c>
      <c r="AC450" s="108">
        <v>0</v>
      </c>
      <c r="AD450" s="108">
        <v>1</v>
      </c>
      <c r="AE450" s="108" t="s">
        <v>37</v>
      </c>
      <c r="AF450" s="108" t="s">
        <v>43</v>
      </c>
      <c r="AG450" s="108" t="s">
        <v>38</v>
      </c>
      <c r="AH450" s="108" t="s">
        <v>92</v>
      </c>
    </row>
    <row r="451" spans="1:34" x14ac:dyDescent="0.3">
      <c r="A451" s="107" t="s">
        <v>611</v>
      </c>
      <c r="B451" s="108" t="s">
        <v>616</v>
      </c>
      <c r="C451" s="108" t="s">
        <v>617</v>
      </c>
      <c r="D451" s="109">
        <v>45287</v>
      </c>
      <c r="E451" s="110">
        <v>200000</v>
      </c>
      <c r="F451" s="108" t="s">
        <v>32</v>
      </c>
      <c r="G451" s="108" t="s">
        <v>33</v>
      </c>
      <c r="H451" s="110">
        <v>200000</v>
      </c>
      <c r="I451" s="110">
        <v>76600</v>
      </c>
      <c r="J451" s="111">
        <f t="shared" si="49"/>
        <v>38.299999999999997</v>
      </c>
      <c r="K451" s="110">
        <v>194766</v>
      </c>
      <c r="L451" s="110">
        <f>H451-183051</f>
        <v>16949</v>
      </c>
      <c r="M451" s="110">
        <v>11715</v>
      </c>
      <c r="N451" s="112">
        <f t="shared" si="50"/>
        <v>5.8575000000000002E-2</v>
      </c>
      <c r="O451" s="113">
        <v>54.99</v>
      </c>
      <c r="P451" s="114">
        <v>118.91</v>
      </c>
      <c r="Q451" s="115">
        <v>0.14499999999999999</v>
      </c>
      <c r="R451" s="115">
        <v>0.14499999999999999</v>
      </c>
      <c r="S451" s="110">
        <f t="shared" si="51"/>
        <v>308.21967630478269</v>
      </c>
      <c r="T451" s="110">
        <f t="shared" si="52"/>
        <v>116889.6551724138</v>
      </c>
      <c r="U451" s="116">
        <f t="shared" si="53"/>
        <v>2.6834172445457711</v>
      </c>
      <c r="V451" s="115">
        <v>56.38</v>
      </c>
      <c r="W451" s="115">
        <f t="shared" si="54"/>
        <v>40000</v>
      </c>
      <c r="X451" s="115">
        <f t="shared" si="55"/>
        <v>709.47144377438804</v>
      </c>
      <c r="Y451" s="117" t="s">
        <v>610</v>
      </c>
      <c r="Z451" s="108" t="s">
        <v>35</v>
      </c>
      <c r="AA451" s="108" t="s">
        <v>35</v>
      </c>
      <c r="AB451" s="108" t="s">
        <v>611</v>
      </c>
      <c r="AC451" s="108">
        <v>0</v>
      </c>
      <c r="AD451" s="108">
        <v>1</v>
      </c>
      <c r="AE451" s="108" t="s">
        <v>37</v>
      </c>
      <c r="AF451" s="108" t="s">
        <v>43</v>
      </c>
      <c r="AG451" s="108" t="s">
        <v>38</v>
      </c>
      <c r="AH451" s="108" t="s">
        <v>92</v>
      </c>
    </row>
    <row r="452" spans="1:34" x14ac:dyDescent="0.3">
      <c r="A452" s="118" t="s">
        <v>611</v>
      </c>
      <c r="B452" s="119" t="s">
        <v>720</v>
      </c>
      <c r="C452" s="119" t="s">
        <v>721</v>
      </c>
      <c r="D452" s="120">
        <v>45727</v>
      </c>
      <c r="E452" s="121">
        <v>185000</v>
      </c>
      <c r="F452" s="119" t="s">
        <v>32</v>
      </c>
      <c r="G452" s="119" t="s">
        <v>33</v>
      </c>
      <c r="H452" s="121">
        <v>185000</v>
      </c>
      <c r="I452" s="121">
        <v>83500</v>
      </c>
      <c r="J452" s="122">
        <f t="shared" si="49"/>
        <v>45.135135135135137</v>
      </c>
      <c r="K452" s="121">
        <v>183589</v>
      </c>
      <c r="L452" s="121">
        <f>H452-172513</f>
        <v>12487</v>
      </c>
      <c r="M452" s="121">
        <v>11076</v>
      </c>
      <c r="N452" s="123">
        <f t="shared" si="50"/>
        <v>5.9870270270270268E-2</v>
      </c>
      <c r="O452" s="124">
        <v>52</v>
      </c>
      <c r="P452" s="125">
        <v>115</v>
      </c>
      <c r="Q452" s="126">
        <v>0.13700000000000001</v>
      </c>
      <c r="R452" s="126">
        <v>0.13700000000000001</v>
      </c>
      <c r="S452" s="121">
        <f t="shared" si="51"/>
        <v>240.13461538461539</v>
      </c>
      <c r="T452" s="121">
        <f t="shared" si="52"/>
        <v>91145.985401459853</v>
      </c>
      <c r="U452" s="127">
        <f t="shared" si="53"/>
        <v>2.0924239072878752</v>
      </c>
      <c r="V452" s="126">
        <v>52</v>
      </c>
      <c r="W452" s="126">
        <f t="shared" si="54"/>
        <v>37000</v>
      </c>
      <c r="X452" s="126">
        <f t="shared" si="55"/>
        <v>711.53846153846155</v>
      </c>
      <c r="Y452" s="128" t="s">
        <v>610</v>
      </c>
      <c r="Z452" s="119" t="s">
        <v>35</v>
      </c>
      <c r="AA452" s="119" t="s">
        <v>35</v>
      </c>
      <c r="AB452" s="119" t="s">
        <v>611</v>
      </c>
      <c r="AC452" s="119">
        <v>0</v>
      </c>
      <c r="AD452" s="119">
        <v>1</v>
      </c>
      <c r="AE452" s="119" t="s">
        <v>42</v>
      </c>
      <c r="AF452" s="119" t="s">
        <v>35</v>
      </c>
      <c r="AG452" s="119" t="s">
        <v>38</v>
      </c>
      <c r="AH452" s="119" t="s">
        <v>92</v>
      </c>
    </row>
    <row r="453" spans="1:34" x14ac:dyDescent="0.3">
      <c r="A453" s="118" t="s">
        <v>611</v>
      </c>
      <c r="B453" s="119" t="s">
        <v>671</v>
      </c>
      <c r="C453" s="119" t="s">
        <v>672</v>
      </c>
      <c r="D453" s="120">
        <v>45597</v>
      </c>
      <c r="E453" s="121">
        <v>189900</v>
      </c>
      <c r="F453" s="119" t="s">
        <v>32</v>
      </c>
      <c r="G453" s="119" t="s">
        <v>33</v>
      </c>
      <c r="H453" s="121">
        <v>189900</v>
      </c>
      <c r="I453" s="121">
        <v>92100</v>
      </c>
      <c r="J453" s="122">
        <f t="shared" si="49"/>
        <v>48.499210110584521</v>
      </c>
      <c r="K453" s="121">
        <v>200449</v>
      </c>
      <c r="L453" s="121">
        <f>H453-189444</f>
        <v>456</v>
      </c>
      <c r="M453" s="121">
        <v>11005</v>
      </c>
      <c r="N453" s="123">
        <f t="shared" si="50"/>
        <v>5.7951553449183783E-2</v>
      </c>
      <c r="O453" s="124">
        <v>51.66</v>
      </c>
      <c r="P453" s="125">
        <v>110</v>
      </c>
      <c r="Q453" s="126">
        <v>0.13300000000000001</v>
      </c>
      <c r="R453" s="126">
        <v>0.13300000000000001</v>
      </c>
      <c r="S453" s="121">
        <f t="shared" si="51"/>
        <v>8.8269454123112663</v>
      </c>
      <c r="T453" s="121">
        <f t="shared" si="52"/>
        <v>3428.5714285714284</v>
      </c>
      <c r="U453" s="127">
        <f t="shared" si="53"/>
        <v>7.8709169618260522E-2</v>
      </c>
      <c r="V453" s="126">
        <v>52.83</v>
      </c>
      <c r="W453" s="126">
        <f t="shared" si="54"/>
        <v>37980</v>
      </c>
      <c r="X453" s="126">
        <f t="shared" si="55"/>
        <v>718.90971039182284</v>
      </c>
      <c r="Y453" s="128" t="s">
        <v>610</v>
      </c>
      <c r="Z453" s="119" t="s">
        <v>35</v>
      </c>
      <c r="AA453" s="119" t="s">
        <v>35</v>
      </c>
      <c r="AB453" s="119" t="s">
        <v>611</v>
      </c>
      <c r="AC453" s="119">
        <v>0</v>
      </c>
      <c r="AD453" s="119">
        <v>1</v>
      </c>
      <c r="AE453" s="119" t="s">
        <v>673</v>
      </c>
      <c r="AF453" s="119" t="s">
        <v>35</v>
      </c>
      <c r="AG453" s="119" t="s">
        <v>38</v>
      </c>
      <c r="AH453" s="119" t="s">
        <v>92</v>
      </c>
    </row>
    <row r="454" spans="1:34" x14ac:dyDescent="0.3">
      <c r="A454" s="107" t="s">
        <v>611</v>
      </c>
      <c r="B454" s="108" t="s">
        <v>667</v>
      </c>
      <c r="C454" s="108" t="s">
        <v>668</v>
      </c>
      <c r="D454" s="109">
        <v>45054</v>
      </c>
      <c r="E454" s="110">
        <v>180000</v>
      </c>
      <c r="F454" s="108" t="s">
        <v>32</v>
      </c>
      <c r="G454" s="108" t="s">
        <v>33</v>
      </c>
      <c r="H454" s="110">
        <v>180000</v>
      </c>
      <c r="I454" s="110">
        <v>77100</v>
      </c>
      <c r="J454" s="111">
        <f t="shared" si="49"/>
        <v>42.833333333333336</v>
      </c>
      <c r="K454" s="110">
        <v>195647</v>
      </c>
      <c r="L454" s="110">
        <f>H454-185231</f>
        <v>-5231</v>
      </c>
      <c r="M454" s="110">
        <v>10416</v>
      </c>
      <c r="N454" s="112">
        <f t="shared" si="50"/>
        <v>5.7866666666666663E-2</v>
      </c>
      <c r="O454" s="113">
        <v>48.9</v>
      </c>
      <c r="P454" s="114">
        <v>110</v>
      </c>
      <c r="Q454" s="115">
        <v>0.126</v>
      </c>
      <c r="R454" s="115">
        <v>0.126</v>
      </c>
      <c r="S454" s="110">
        <f t="shared" si="51"/>
        <v>-106.97341513292434</v>
      </c>
      <c r="T454" s="110">
        <f t="shared" si="52"/>
        <v>-41515.873015873018</v>
      </c>
      <c r="U454" s="116">
        <f t="shared" si="53"/>
        <v>-0.95307330155815007</v>
      </c>
      <c r="V454" s="115">
        <v>50</v>
      </c>
      <c r="W454" s="115">
        <f t="shared" si="54"/>
        <v>36000</v>
      </c>
      <c r="X454" s="115">
        <f t="shared" si="55"/>
        <v>720</v>
      </c>
      <c r="Y454" s="117" t="s">
        <v>610</v>
      </c>
      <c r="Z454" s="108" t="s">
        <v>35</v>
      </c>
      <c r="AA454" s="108" t="s">
        <v>35</v>
      </c>
      <c r="AB454" s="108" t="s">
        <v>611</v>
      </c>
      <c r="AC454" s="108">
        <v>0</v>
      </c>
      <c r="AD454" s="108">
        <v>1</v>
      </c>
      <c r="AE454" s="108" t="s">
        <v>37</v>
      </c>
      <c r="AF454" s="108" t="s">
        <v>43</v>
      </c>
      <c r="AG454" s="108" t="s">
        <v>38</v>
      </c>
      <c r="AH454" s="108" t="s">
        <v>92</v>
      </c>
    </row>
    <row r="455" spans="1:34" x14ac:dyDescent="0.3">
      <c r="A455" s="107" t="s">
        <v>611</v>
      </c>
      <c r="B455" s="108" t="s">
        <v>633</v>
      </c>
      <c r="C455" s="108" t="s">
        <v>634</v>
      </c>
      <c r="D455" s="109">
        <v>45244</v>
      </c>
      <c r="E455" s="110">
        <v>180000</v>
      </c>
      <c r="F455" s="108" t="s">
        <v>32</v>
      </c>
      <c r="G455" s="108" t="s">
        <v>33</v>
      </c>
      <c r="H455" s="110">
        <v>180000</v>
      </c>
      <c r="I455" s="110">
        <v>77200</v>
      </c>
      <c r="J455" s="111">
        <f t="shared" si="49"/>
        <v>42.888888888888886</v>
      </c>
      <c r="K455" s="110">
        <v>196515</v>
      </c>
      <c r="L455" s="110">
        <f>H455-185981</f>
        <v>-5981</v>
      </c>
      <c r="M455" s="110">
        <v>10534</v>
      </c>
      <c r="N455" s="112">
        <f t="shared" si="50"/>
        <v>5.8522222222222225E-2</v>
      </c>
      <c r="O455" s="113">
        <v>49.45</v>
      </c>
      <c r="P455" s="114">
        <v>112.5</v>
      </c>
      <c r="Q455" s="115">
        <v>0.129</v>
      </c>
      <c r="R455" s="115">
        <v>0.129</v>
      </c>
      <c r="S455" s="110">
        <f t="shared" si="51"/>
        <v>-120.9504550050556</v>
      </c>
      <c r="T455" s="110">
        <f t="shared" si="52"/>
        <v>-46364.341085271313</v>
      </c>
      <c r="U455" s="116">
        <f t="shared" si="53"/>
        <v>-1.064378812793189</v>
      </c>
      <c r="V455" s="115">
        <v>50</v>
      </c>
      <c r="W455" s="115">
        <f t="shared" si="54"/>
        <v>36000</v>
      </c>
      <c r="X455" s="115">
        <f t="shared" si="55"/>
        <v>720</v>
      </c>
      <c r="Y455" s="117" t="s">
        <v>610</v>
      </c>
      <c r="Z455" s="108" t="s">
        <v>35</v>
      </c>
      <c r="AA455" s="108" t="s">
        <v>35</v>
      </c>
      <c r="AB455" s="108" t="s">
        <v>611</v>
      </c>
      <c r="AC455" s="108">
        <v>0</v>
      </c>
      <c r="AD455" s="108">
        <v>1</v>
      </c>
      <c r="AE455" s="108" t="s">
        <v>37</v>
      </c>
      <c r="AF455" s="108" t="s">
        <v>43</v>
      </c>
      <c r="AG455" s="108" t="s">
        <v>38</v>
      </c>
      <c r="AH455" s="108" t="s">
        <v>92</v>
      </c>
    </row>
    <row r="456" spans="1:34" x14ac:dyDescent="0.3">
      <c r="A456" s="118" t="s">
        <v>611</v>
      </c>
      <c r="B456" s="119" t="s">
        <v>742</v>
      </c>
      <c r="C456" s="119" t="s">
        <v>743</v>
      </c>
      <c r="D456" s="120">
        <v>45219</v>
      </c>
      <c r="E456" s="121">
        <v>190000</v>
      </c>
      <c r="F456" s="119" t="s">
        <v>32</v>
      </c>
      <c r="G456" s="119" t="s">
        <v>33</v>
      </c>
      <c r="H456" s="121">
        <v>190000</v>
      </c>
      <c r="I456" s="121">
        <v>63800</v>
      </c>
      <c r="J456" s="122">
        <f t="shared" si="49"/>
        <v>33.578947368421055</v>
      </c>
      <c r="K456" s="121">
        <v>161858</v>
      </c>
      <c r="L456" s="121">
        <f>H456-150782</f>
        <v>39218</v>
      </c>
      <c r="M456" s="121">
        <v>11076</v>
      </c>
      <c r="N456" s="123">
        <f t="shared" si="50"/>
        <v>5.829473684210526E-2</v>
      </c>
      <c r="O456" s="124">
        <v>52</v>
      </c>
      <c r="P456" s="125">
        <v>115</v>
      </c>
      <c r="Q456" s="126">
        <v>0.13700000000000001</v>
      </c>
      <c r="R456" s="126">
        <v>0.13700000000000001</v>
      </c>
      <c r="S456" s="121">
        <f t="shared" si="51"/>
        <v>754.19230769230774</v>
      </c>
      <c r="T456" s="121">
        <f t="shared" si="52"/>
        <v>286262.77372262772</v>
      </c>
      <c r="U456" s="127">
        <f t="shared" si="53"/>
        <v>6.5716890202623448</v>
      </c>
      <c r="V456" s="126">
        <v>52</v>
      </c>
      <c r="W456" s="126">
        <f t="shared" si="54"/>
        <v>38000</v>
      </c>
      <c r="X456" s="126">
        <f t="shared" si="55"/>
        <v>730.76923076923072</v>
      </c>
      <c r="Y456" s="128" t="s">
        <v>610</v>
      </c>
      <c r="Z456" s="119" t="s">
        <v>35</v>
      </c>
      <c r="AA456" s="119" t="s">
        <v>35</v>
      </c>
      <c r="AB456" s="119" t="s">
        <v>611</v>
      </c>
      <c r="AC456" s="119">
        <v>0</v>
      </c>
      <c r="AD456" s="119">
        <v>1</v>
      </c>
      <c r="AE456" s="119" t="s">
        <v>37</v>
      </c>
      <c r="AF456" s="119" t="s">
        <v>43</v>
      </c>
      <c r="AG456" s="119" t="s">
        <v>38</v>
      </c>
      <c r="AH456" s="119" t="s">
        <v>92</v>
      </c>
    </row>
    <row r="457" spans="1:34" x14ac:dyDescent="0.3">
      <c r="A457" s="107" t="s">
        <v>611</v>
      </c>
      <c r="B457" s="108" t="s">
        <v>702</v>
      </c>
      <c r="C457" s="108" t="s">
        <v>703</v>
      </c>
      <c r="D457" s="109">
        <v>45023</v>
      </c>
      <c r="E457" s="110">
        <v>185000</v>
      </c>
      <c r="F457" s="108" t="s">
        <v>32</v>
      </c>
      <c r="G457" s="108" t="s">
        <v>33</v>
      </c>
      <c r="H457" s="110">
        <v>185000</v>
      </c>
      <c r="I457" s="110">
        <v>68000</v>
      </c>
      <c r="J457" s="111">
        <f t="shared" si="49"/>
        <v>36.756756756756758</v>
      </c>
      <c r="K457" s="110">
        <v>175601</v>
      </c>
      <c r="L457" s="110">
        <f>H457-163438</f>
        <v>21562</v>
      </c>
      <c r="M457" s="110">
        <v>12163</v>
      </c>
      <c r="N457" s="112">
        <f t="shared" si="50"/>
        <v>6.5745945945945947E-2</v>
      </c>
      <c r="O457" s="113">
        <v>57.1</v>
      </c>
      <c r="P457" s="114">
        <v>150</v>
      </c>
      <c r="Q457" s="115">
        <v>0.17199999999999999</v>
      </c>
      <c r="R457" s="115">
        <v>0.17199999999999999</v>
      </c>
      <c r="S457" s="110">
        <f t="shared" si="51"/>
        <v>377.61821366024515</v>
      </c>
      <c r="T457" s="110">
        <f t="shared" si="52"/>
        <v>125360.46511627908</v>
      </c>
      <c r="U457" s="116">
        <f t="shared" si="53"/>
        <v>2.8778802827428622</v>
      </c>
      <c r="V457" s="115">
        <v>50</v>
      </c>
      <c r="W457" s="115">
        <f t="shared" si="54"/>
        <v>37000</v>
      </c>
      <c r="X457" s="115">
        <f t="shared" si="55"/>
        <v>740</v>
      </c>
      <c r="Y457" s="117" t="s">
        <v>610</v>
      </c>
      <c r="Z457" s="108" t="s">
        <v>35</v>
      </c>
      <c r="AA457" s="108" t="s">
        <v>35</v>
      </c>
      <c r="AB457" s="108" t="s">
        <v>611</v>
      </c>
      <c r="AC457" s="108">
        <v>0</v>
      </c>
      <c r="AD457" s="108">
        <v>1</v>
      </c>
      <c r="AE457" s="108" t="s">
        <v>42</v>
      </c>
      <c r="AF457" s="108" t="s">
        <v>43</v>
      </c>
      <c r="AG457" s="108" t="s">
        <v>38</v>
      </c>
      <c r="AH457" s="108" t="s">
        <v>92</v>
      </c>
    </row>
    <row r="458" spans="1:34" x14ac:dyDescent="0.3">
      <c r="A458" s="118" t="s">
        <v>611</v>
      </c>
      <c r="B458" s="119" t="s">
        <v>728</v>
      </c>
      <c r="C458" s="119" t="s">
        <v>729</v>
      </c>
      <c r="D458" s="120">
        <v>45089</v>
      </c>
      <c r="E458" s="121">
        <v>205000</v>
      </c>
      <c r="F458" s="119" t="s">
        <v>32</v>
      </c>
      <c r="G458" s="119" t="s">
        <v>33</v>
      </c>
      <c r="H458" s="121">
        <v>205000</v>
      </c>
      <c r="I458" s="121">
        <v>89800</v>
      </c>
      <c r="J458" s="122">
        <f t="shared" si="49"/>
        <v>43.804878048780488</v>
      </c>
      <c r="K458" s="121">
        <v>229570</v>
      </c>
      <c r="L458" s="121">
        <f>H458-217855</f>
        <v>-12855</v>
      </c>
      <c r="M458" s="121">
        <v>11715</v>
      </c>
      <c r="N458" s="123">
        <f t="shared" si="50"/>
        <v>5.7146341463414636E-2</v>
      </c>
      <c r="O458" s="124">
        <v>55</v>
      </c>
      <c r="P458" s="125">
        <v>115</v>
      </c>
      <c r="Q458" s="126">
        <v>0.14499999999999999</v>
      </c>
      <c r="R458" s="126">
        <v>0.14499999999999999</v>
      </c>
      <c r="S458" s="121">
        <f t="shared" si="51"/>
        <v>-233.72727272727272</v>
      </c>
      <c r="T458" s="121">
        <f t="shared" si="52"/>
        <v>-88655.172413793116</v>
      </c>
      <c r="U458" s="127">
        <f t="shared" si="53"/>
        <v>-2.0352427092239007</v>
      </c>
      <c r="V458" s="126">
        <v>55</v>
      </c>
      <c r="W458" s="126">
        <f t="shared" si="54"/>
        <v>41000</v>
      </c>
      <c r="X458" s="126">
        <f t="shared" si="55"/>
        <v>745.4545454545455</v>
      </c>
      <c r="Y458" s="128" t="s">
        <v>610</v>
      </c>
      <c r="Z458" s="119" t="s">
        <v>35</v>
      </c>
      <c r="AA458" s="119" t="s">
        <v>35</v>
      </c>
      <c r="AB458" s="119" t="s">
        <v>611</v>
      </c>
      <c r="AC458" s="119">
        <v>0</v>
      </c>
      <c r="AD458" s="119">
        <v>1</v>
      </c>
      <c r="AE458" s="119" t="s">
        <v>42</v>
      </c>
      <c r="AF458" s="119" t="s">
        <v>43</v>
      </c>
      <c r="AG458" s="119" t="s">
        <v>38</v>
      </c>
      <c r="AH458" s="119" t="s">
        <v>92</v>
      </c>
    </row>
    <row r="459" spans="1:34" x14ac:dyDescent="0.3">
      <c r="A459" s="107" t="s">
        <v>611</v>
      </c>
      <c r="B459" s="108" t="s">
        <v>643</v>
      </c>
      <c r="C459" s="108" t="s">
        <v>644</v>
      </c>
      <c r="D459" s="109">
        <v>45569</v>
      </c>
      <c r="E459" s="110">
        <v>187000</v>
      </c>
      <c r="F459" s="108" t="s">
        <v>32</v>
      </c>
      <c r="G459" s="108" t="s">
        <v>33</v>
      </c>
      <c r="H459" s="110">
        <v>187000</v>
      </c>
      <c r="I459" s="110">
        <v>89000</v>
      </c>
      <c r="J459" s="111">
        <f t="shared" si="49"/>
        <v>47.593582887700535</v>
      </c>
      <c r="K459" s="110">
        <v>193358</v>
      </c>
      <c r="L459" s="110">
        <f>H459-182942</f>
        <v>4058</v>
      </c>
      <c r="M459" s="110">
        <v>10416</v>
      </c>
      <c r="N459" s="112">
        <f t="shared" si="50"/>
        <v>5.5700534759358288E-2</v>
      </c>
      <c r="O459" s="113">
        <v>48.9</v>
      </c>
      <c r="P459" s="114">
        <v>110</v>
      </c>
      <c r="Q459" s="115">
        <v>0.126</v>
      </c>
      <c r="R459" s="115">
        <v>0.126</v>
      </c>
      <c r="S459" s="110">
        <f t="shared" si="51"/>
        <v>82.98568507157465</v>
      </c>
      <c r="T459" s="110">
        <f t="shared" si="52"/>
        <v>32206.349206349205</v>
      </c>
      <c r="U459" s="116">
        <f t="shared" si="53"/>
        <v>0.73935604238634534</v>
      </c>
      <c r="V459" s="115">
        <v>50</v>
      </c>
      <c r="W459" s="115">
        <f t="shared" si="54"/>
        <v>37400</v>
      </c>
      <c r="X459" s="115">
        <f t="shared" si="55"/>
        <v>748</v>
      </c>
      <c r="Y459" s="117" t="s">
        <v>610</v>
      </c>
      <c r="Z459" s="108" t="s">
        <v>35</v>
      </c>
      <c r="AA459" s="108" t="s">
        <v>35</v>
      </c>
      <c r="AB459" s="108" t="s">
        <v>611</v>
      </c>
      <c r="AC459" s="108">
        <v>0</v>
      </c>
      <c r="AD459" s="108">
        <v>1</v>
      </c>
      <c r="AE459" s="108" t="s">
        <v>37</v>
      </c>
      <c r="AF459" s="108" t="s">
        <v>43</v>
      </c>
      <c r="AG459" s="108" t="s">
        <v>38</v>
      </c>
      <c r="AH459" s="108" t="s">
        <v>92</v>
      </c>
    </row>
    <row r="460" spans="1:34" x14ac:dyDescent="0.3">
      <c r="A460" s="118" t="s">
        <v>611</v>
      </c>
      <c r="B460" s="119" t="s">
        <v>734</v>
      </c>
      <c r="C460" s="119" t="s">
        <v>735</v>
      </c>
      <c r="D460" s="120">
        <v>45520</v>
      </c>
      <c r="E460" s="121">
        <v>195000</v>
      </c>
      <c r="F460" s="119" t="s">
        <v>32</v>
      </c>
      <c r="G460" s="119" t="s">
        <v>33</v>
      </c>
      <c r="H460" s="121">
        <v>195000</v>
      </c>
      <c r="I460" s="121">
        <v>75200</v>
      </c>
      <c r="J460" s="122">
        <f t="shared" si="49"/>
        <v>38.564102564102562</v>
      </c>
      <c r="K460" s="121">
        <v>163578</v>
      </c>
      <c r="L460" s="121">
        <f>H460-152502</f>
        <v>42498</v>
      </c>
      <c r="M460" s="121">
        <v>11076</v>
      </c>
      <c r="N460" s="123">
        <f t="shared" si="50"/>
        <v>5.6800000000000003E-2</v>
      </c>
      <c r="O460" s="124">
        <v>52</v>
      </c>
      <c r="P460" s="125">
        <v>115</v>
      </c>
      <c r="Q460" s="126">
        <v>0.13700000000000001</v>
      </c>
      <c r="R460" s="126">
        <v>0.13700000000000001</v>
      </c>
      <c r="S460" s="121">
        <f t="shared" si="51"/>
        <v>817.26923076923072</v>
      </c>
      <c r="T460" s="121">
        <f t="shared" si="52"/>
        <v>310204.37956204376</v>
      </c>
      <c r="U460" s="127">
        <f t="shared" si="53"/>
        <v>7.1213126621222171</v>
      </c>
      <c r="V460" s="126">
        <v>52</v>
      </c>
      <c r="W460" s="126">
        <f t="shared" si="54"/>
        <v>39000</v>
      </c>
      <c r="X460" s="126">
        <f t="shared" si="55"/>
        <v>750</v>
      </c>
      <c r="Y460" s="128" t="s">
        <v>610</v>
      </c>
      <c r="Z460" s="119" t="s">
        <v>35</v>
      </c>
      <c r="AA460" s="119" t="s">
        <v>35</v>
      </c>
      <c r="AB460" s="119" t="s">
        <v>611</v>
      </c>
      <c r="AC460" s="119">
        <v>0</v>
      </c>
      <c r="AD460" s="119">
        <v>1</v>
      </c>
      <c r="AE460" s="119" t="s">
        <v>37</v>
      </c>
      <c r="AF460" s="119" t="s">
        <v>43</v>
      </c>
      <c r="AG460" s="119" t="s">
        <v>38</v>
      </c>
      <c r="AH460" s="119" t="s">
        <v>92</v>
      </c>
    </row>
    <row r="461" spans="1:34" x14ac:dyDescent="0.3">
      <c r="A461" s="118" t="s">
        <v>611</v>
      </c>
      <c r="B461" s="119" t="s">
        <v>674</v>
      </c>
      <c r="C461" s="119" t="s">
        <v>675</v>
      </c>
      <c r="D461" s="120">
        <v>45554</v>
      </c>
      <c r="E461" s="121">
        <v>190000</v>
      </c>
      <c r="F461" s="119" t="s">
        <v>32</v>
      </c>
      <c r="G461" s="119" t="s">
        <v>33</v>
      </c>
      <c r="H461" s="121">
        <v>190000</v>
      </c>
      <c r="I461" s="121">
        <v>89900</v>
      </c>
      <c r="J461" s="122">
        <f t="shared" si="49"/>
        <v>47.315789473684212</v>
      </c>
      <c r="K461" s="121">
        <v>195221</v>
      </c>
      <c r="L461" s="121">
        <f>H461-184805</f>
        <v>5195</v>
      </c>
      <c r="M461" s="121">
        <v>10416</v>
      </c>
      <c r="N461" s="123">
        <f t="shared" si="50"/>
        <v>5.4821052631578944E-2</v>
      </c>
      <c r="O461" s="124">
        <v>48.9</v>
      </c>
      <c r="P461" s="125">
        <v>110</v>
      </c>
      <c r="Q461" s="126">
        <v>0.126</v>
      </c>
      <c r="R461" s="126">
        <v>0.126</v>
      </c>
      <c r="S461" s="121">
        <f t="shared" si="51"/>
        <v>106.23721881390594</v>
      </c>
      <c r="T461" s="121">
        <f t="shared" si="52"/>
        <v>41230.158730158728</v>
      </c>
      <c r="U461" s="127">
        <f t="shared" si="53"/>
        <v>0.94651420408996156</v>
      </c>
      <c r="V461" s="126">
        <v>50</v>
      </c>
      <c r="W461" s="126">
        <f t="shared" si="54"/>
        <v>38000</v>
      </c>
      <c r="X461" s="126">
        <f t="shared" si="55"/>
        <v>760</v>
      </c>
      <c r="Y461" s="128" t="s">
        <v>610</v>
      </c>
      <c r="Z461" s="119" t="s">
        <v>35</v>
      </c>
      <c r="AA461" s="119" t="s">
        <v>35</v>
      </c>
      <c r="AB461" s="119" t="s">
        <v>611</v>
      </c>
      <c r="AC461" s="119">
        <v>0</v>
      </c>
      <c r="AD461" s="119">
        <v>1</v>
      </c>
      <c r="AE461" s="119" t="s">
        <v>42</v>
      </c>
      <c r="AF461" s="119" t="s">
        <v>43</v>
      </c>
      <c r="AG461" s="119" t="s">
        <v>38</v>
      </c>
      <c r="AH461" s="119" t="s">
        <v>92</v>
      </c>
    </row>
    <row r="462" spans="1:34" x14ac:dyDescent="0.3">
      <c r="A462" s="107" t="s">
        <v>611</v>
      </c>
      <c r="B462" s="108" t="s">
        <v>710</v>
      </c>
      <c r="C462" s="108" t="s">
        <v>711</v>
      </c>
      <c r="D462" s="109">
        <v>45352</v>
      </c>
      <c r="E462" s="110">
        <v>190000</v>
      </c>
      <c r="F462" s="108" t="s">
        <v>32</v>
      </c>
      <c r="G462" s="108" t="s">
        <v>33</v>
      </c>
      <c r="H462" s="110">
        <v>190000</v>
      </c>
      <c r="I462" s="110">
        <v>68800</v>
      </c>
      <c r="J462" s="111">
        <f t="shared" si="49"/>
        <v>36.21052631578948</v>
      </c>
      <c r="K462" s="110">
        <v>177524</v>
      </c>
      <c r="L462" s="110">
        <f>H462-166421</f>
        <v>23579</v>
      </c>
      <c r="M462" s="110">
        <v>11103</v>
      </c>
      <c r="N462" s="112">
        <f t="shared" si="50"/>
        <v>5.8436842105263155E-2</v>
      </c>
      <c r="O462" s="113">
        <v>52.12</v>
      </c>
      <c r="P462" s="114">
        <v>125</v>
      </c>
      <c r="Q462" s="115">
        <v>0.14299999999999999</v>
      </c>
      <c r="R462" s="115">
        <v>0.14299999999999999</v>
      </c>
      <c r="S462" s="110">
        <f t="shared" si="51"/>
        <v>452.3983115886416</v>
      </c>
      <c r="T462" s="110">
        <f t="shared" si="52"/>
        <v>164888.11188811189</v>
      </c>
      <c r="U462" s="116">
        <f t="shared" si="53"/>
        <v>3.7853101902688682</v>
      </c>
      <c r="V462" s="115">
        <v>50</v>
      </c>
      <c r="W462" s="115">
        <f t="shared" si="54"/>
        <v>38000</v>
      </c>
      <c r="X462" s="115">
        <f t="shared" si="55"/>
        <v>760</v>
      </c>
      <c r="Y462" s="117" t="s">
        <v>610</v>
      </c>
      <c r="Z462" s="108" t="s">
        <v>35</v>
      </c>
      <c r="AA462" s="108" t="s">
        <v>35</v>
      </c>
      <c r="AB462" s="108" t="s">
        <v>611</v>
      </c>
      <c r="AC462" s="108">
        <v>0</v>
      </c>
      <c r="AD462" s="108">
        <v>1</v>
      </c>
      <c r="AE462" s="108" t="s">
        <v>42</v>
      </c>
      <c r="AF462" s="108" t="s">
        <v>43</v>
      </c>
      <c r="AG462" s="108" t="s">
        <v>38</v>
      </c>
      <c r="AH462" s="108" t="s">
        <v>92</v>
      </c>
    </row>
    <row r="463" spans="1:34" x14ac:dyDescent="0.3">
      <c r="A463" s="107" t="s">
        <v>611</v>
      </c>
      <c r="B463" s="108" t="s">
        <v>730</v>
      </c>
      <c r="C463" s="108" t="s">
        <v>731</v>
      </c>
      <c r="D463" s="109">
        <v>45495</v>
      </c>
      <c r="E463" s="110">
        <v>200000</v>
      </c>
      <c r="F463" s="108" t="s">
        <v>32</v>
      </c>
      <c r="G463" s="108" t="s">
        <v>33</v>
      </c>
      <c r="H463" s="110">
        <v>200000</v>
      </c>
      <c r="I463" s="110">
        <v>67200</v>
      </c>
      <c r="J463" s="111">
        <f t="shared" si="49"/>
        <v>33.6</v>
      </c>
      <c r="K463" s="110">
        <v>146769</v>
      </c>
      <c r="L463" s="110">
        <f>H463-135693</f>
        <v>64307</v>
      </c>
      <c r="M463" s="110">
        <v>11076</v>
      </c>
      <c r="N463" s="112">
        <f t="shared" si="50"/>
        <v>5.5379999999999999E-2</v>
      </c>
      <c r="O463" s="113">
        <v>52</v>
      </c>
      <c r="P463" s="114">
        <v>115</v>
      </c>
      <c r="Q463" s="115">
        <v>0.13700000000000001</v>
      </c>
      <c r="R463" s="115">
        <v>0.13700000000000001</v>
      </c>
      <c r="S463" s="110">
        <f t="shared" si="51"/>
        <v>1236.6730769230769</v>
      </c>
      <c r="T463" s="110">
        <f t="shared" si="52"/>
        <v>469394.16058394156</v>
      </c>
      <c r="U463" s="116">
        <f t="shared" si="53"/>
        <v>10.775807175939889</v>
      </c>
      <c r="V463" s="115">
        <v>52</v>
      </c>
      <c r="W463" s="115">
        <f t="shared" si="54"/>
        <v>40000</v>
      </c>
      <c r="X463" s="115">
        <f t="shared" si="55"/>
        <v>769.23076923076928</v>
      </c>
      <c r="Y463" s="117" t="s">
        <v>610</v>
      </c>
      <c r="Z463" s="108" t="s">
        <v>35</v>
      </c>
      <c r="AA463" s="108" t="s">
        <v>35</v>
      </c>
      <c r="AB463" s="108" t="s">
        <v>611</v>
      </c>
      <c r="AC463" s="108">
        <v>0</v>
      </c>
      <c r="AD463" s="108">
        <v>1</v>
      </c>
      <c r="AE463" s="108" t="s">
        <v>42</v>
      </c>
      <c r="AF463" s="108" t="s">
        <v>43</v>
      </c>
      <c r="AG463" s="108" t="s">
        <v>38</v>
      </c>
      <c r="AH463" s="108" t="s">
        <v>92</v>
      </c>
    </row>
    <row r="464" spans="1:34" x14ac:dyDescent="0.3">
      <c r="A464" s="107" t="s">
        <v>611</v>
      </c>
      <c r="B464" s="108" t="s">
        <v>608</v>
      </c>
      <c r="C464" s="108" t="s">
        <v>609</v>
      </c>
      <c r="D464" s="109">
        <v>45736</v>
      </c>
      <c r="E464" s="110">
        <v>199000</v>
      </c>
      <c r="F464" s="108" t="s">
        <v>32</v>
      </c>
      <c r="G464" s="108" t="s">
        <v>33</v>
      </c>
      <c r="H464" s="110">
        <v>199000</v>
      </c>
      <c r="I464" s="110">
        <v>78500</v>
      </c>
      <c r="J464" s="111">
        <f t="shared" si="49"/>
        <v>39.447236180904518</v>
      </c>
      <c r="K464" s="110">
        <v>171192</v>
      </c>
      <c r="L464" s="110">
        <f>H464-159758</f>
        <v>39242</v>
      </c>
      <c r="M464" s="110">
        <v>11434</v>
      </c>
      <c r="N464" s="112">
        <f t="shared" si="50"/>
        <v>5.7457286432160803E-2</v>
      </c>
      <c r="O464" s="113">
        <v>53.67</v>
      </c>
      <c r="P464" s="114">
        <v>132.38999999999999</v>
      </c>
      <c r="Q464" s="115">
        <v>0.152</v>
      </c>
      <c r="R464" s="115">
        <v>0.152</v>
      </c>
      <c r="S464" s="110">
        <f t="shared" si="51"/>
        <v>731.17197689584498</v>
      </c>
      <c r="T464" s="110">
        <f t="shared" si="52"/>
        <v>258171.05263157896</v>
      </c>
      <c r="U464" s="116">
        <f t="shared" si="53"/>
        <v>5.9267918418636123</v>
      </c>
      <c r="V464" s="115">
        <v>50</v>
      </c>
      <c r="W464" s="115">
        <f t="shared" si="54"/>
        <v>39800</v>
      </c>
      <c r="X464" s="115">
        <f t="shared" si="55"/>
        <v>796</v>
      </c>
      <c r="Y464" s="117" t="s">
        <v>610</v>
      </c>
      <c r="Z464" s="108" t="s">
        <v>35</v>
      </c>
      <c r="AA464" s="108" t="s">
        <v>35</v>
      </c>
      <c r="AB464" s="108" t="s">
        <v>611</v>
      </c>
      <c r="AC464" s="108">
        <v>0</v>
      </c>
      <c r="AD464" s="108">
        <v>1</v>
      </c>
      <c r="AE464" s="108" t="s">
        <v>37</v>
      </c>
      <c r="AF464" s="108" t="s">
        <v>35</v>
      </c>
      <c r="AG464" s="108" t="s">
        <v>38</v>
      </c>
      <c r="AH464" s="108" t="s">
        <v>92</v>
      </c>
    </row>
    <row r="465" spans="1:34" x14ac:dyDescent="0.3">
      <c r="A465" s="107" t="s">
        <v>611</v>
      </c>
      <c r="B465" s="108" t="s">
        <v>678</v>
      </c>
      <c r="C465" s="108" t="s">
        <v>679</v>
      </c>
      <c r="D465" s="109">
        <v>45246</v>
      </c>
      <c r="E465" s="110">
        <v>200000</v>
      </c>
      <c r="F465" s="108" t="s">
        <v>32</v>
      </c>
      <c r="G465" s="108" t="s">
        <v>33</v>
      </c>
      <c r="H465" s="110">
        <v>200000</v>
      </c>
      <c r="I465" s="110">
        <v>79000</v>
      </c>
      <c r="J465" s="111">
        <f t="shared" si="49"/>
        <v>39.5</v>
      </c>
      <c r="K465" s="110">
        <v>200796</v>
      </c>
      <c r="L465" s="110">
        <f>H465-187967</f>
        <v>12033</v>
      </c>
      <c r="M465" s="110">
        <v>12829</v>
      </c>
      <c r="N465" s="112">
        <f t="shared" si="50"/>
        <v>6.4144999999999994E-2</v>
      </c>
      <c r="O465" s="113">
        <v>60.22</v>
      </c>
      <c r="P465" s="114">
        <v>166.86</v>
      </c>
      <c r="Q465" s="115">
        <v>0.192</v>
      </c>
      <c r="R465" s="115">
        <v>0.192</v>
      </c>
      <c r="S465" s="110">
        <f t="shared" si="51"/>
        <v>199.81733643307871</v>
      </c>
      <c r="T465" s="110">
        <f t="shared" si="52"/>
        <v>62671.875</v>
      </c>
      <c r="U465" s="116">
        <f t="shared" si="53"/>
        <v>1.4387482782369145</v>
      </c>
      <c r="V465" s="115">
        <v>50</v>
      </c>
      <c r="W465" s="115">
        <f t="shared" si="54"/>
        <v>40000</v>
      </c>
      <c r="X465" s="115">
        <f t="shared" si="55"/>
        <v>800</v>
      </c>
      <c r="Y465" s="117" t="s">
        <v>610</v>
      </c>
      <c r="Z465" s="108" t="s">
        <v>35</v>
      </c>
      <c r="AA465" s="108" t="s">
        <v>35</v>
      </c>
      <c r="AB465" s="108" t="s">
        <v>611</v>
      </c>
      <c r="AC465" s="108">
        <v>0</v>
      </c>
      <c r="AD465" s="108">
        <v>1</v>
      </c>
      <c r="AE465" s="108" t="s">
        <v>37</v>
      </c>
      <c r="AF465" s="108" t="s">
        <v>43</v>
      </c>
      <c r="AG465" s="108" t="s">
        <v>38</v>
      </c>
      <c r="AH465" s="108" t="s">
        <v>92</v>
      </c>
    </row>
    <row r="466" spans="1:34" x14ac:dyDescent="0.3">
      <c r="A466" s="118" t="s">
        <v>611</v>
      </c>
      <c r="B466" s="119" t="s">
        <v>722</v>
      </c>
      <c r="C466" s="119" t="s">
        <v>723</v>
      </c>
      <c r="D466" s="120">
        <v>45476</v>
      </c>
      <c r="E466" s="121">
        <v>210000</v>
      </c>
      <c r="F466" s="119" t="s">
        <v>32</v>
      </c>
      <c r="G466" s="119" t="s">
        <v>33</v>
      </c>
      <c r="H466" s="121">
        <v>210000</v>
      </c>
      <c r="I466" s="121">
        <v>99000</v>
      </c>
      <c r="J466" s="122">
        <f t="shared" si="49"/>
        <v>47.142857142857139</v>
      </c>
      <c r="K466" s="121">
        <v>216095</v>
      </c>
      <c r="L466" s="121">
        <f>H466-205019</f>
        <v>4981</v>
      </c>
      <c r="M466" s="121">
        <v>11076</v>
      </c>
      <c r="N466" s="123">
        <f t="shared" si="50"/>
        <v>5.274285714285714E-2</v>
      </c>
      <c r="O466" s="124">
        <v>52</v>
      </c>
      <c r="P466" s="125">
        <v>115</v>
      </c>
      <c r="Q466" s="126">
        <v>0.13700000000000001</v>
      </c>
      <c r="R466" s="126">
        <v>0.13700000000000001</v>
      </c>
      <c r="S466" s="121">
        <f t="shared" si="51"/>
        <v>95.788461538461533</v>
      </c>
      <c r="T466" s="121">
        <f t="shared" si="52"/>
        <v>36357.664233576637</v>
      </c>
      <c r="U466" s="127">
        <f t="shared" si="53"/>
        <v>0.83465712198293474</v>
      </c>
      <c r="V466" s="126">
        <v>52</v>
      </c>
      <c r="W466" s="126">
        <f t="shared" si="54"/>
        <v>42000</v>
      </c>
      <c r="X466" s="126">
        <f t="shared" si="55"/>
        <v>807.69230769230774</v>
      </c>
      <c r="Y466" s="128" t="s">
        <v>610</v>
      </c>
      <c r="Z466" s="119" t="s">
        <v>35</v>
      </c>
      <c r="AA466" s="119" t="s">
        <v>35</v>
      </c>
      <c r="AB466" s="119" t="s">
        <v>611</v>
      </c>
      <c r="AC466" s="119">
        <v>0</v>
      </c>
      <c r="AD466" s="119">
        <v>1</v>
      </c>
      <c r="AE466" s="119" t="s">
        <v>42</v>
      </c>
      <c r="AF466" s="119" t="s">
        <v>43</v>
      </c>
      <c r="AG466" s="119" t="s">
        <v>38</v>
      </c>
      <c r="AH466" s="119" t="s">
        <v>92</v>
      </c>
    </row>
    <row r="467" spans="1:34" x14ac:dyDescent="0.3">
      <c r="A467" s="107" t="s">
        <v>611</v>
      </c>
      <c r="B467" s="108" t="s">
        <v>716</v>
      </c>
      <c r="C467" s="108" t="s">
        <v>717</v>
      </c>
      <c r="D467" s="109">
        <v>45593</v>
      </c>
      <c r="E467" s="110">
        <v>209900</v>
      </c>
      <c r="F467" s="108" t="s">
        <v>32</v>
      </c>
      <c r="G467" s="108" t="s">
        <v>33</v>
      </c>
      <c r="H467" s="110">
        <v>209900</v>
      </c>
      <c r="I467" s="110">
        <v>75100</v>
      </c>
      <c r="J467" s="111">
        <f t="shared" si="49"/>
        <v>35.77894235350167</v>
      </c>
      <c r="K467" s="110">
        <v>163087</v>
      </c>
      <c r="L467" s="110">
        <f>H467-151984</f>
        <v>57916</v>
      </c>
      <c r="M467" s="110">
        <v>11103</v>
      </c>
      <c r="N467" s="112">
        <f t="shared" si="50"/>
        <v>5.2896617436874703E-2</v>
      </c>
      <c r="O467" s="113">
        <v>52.12</v>
      </c>
      <c r="P467" s="114">
        <v>125</v>
      </c>
      <c r="Q467" s="115">
        <v>0.14299999999999999</v>
      </c>
      <c r="R467" s="115">
        <v>0.14299999999999999</v>
      </c>
      <c r="S467" s="110">
        <f t="shared" si="51"/>
        <v>1111.2049117421336</v>
      </c>
      <c r="T467" s="110">
        <f t="shared" si="52"/>
        <v>405006.99300699303</v>
      </c>
      <c r="U467" s="116">
        <f t="shared" si="53"/>
        <v>9.2976811985076449</v>
      </c>
      <c r="V467" s="115">
        <v>50</v>
      </c>
      <c r="W467" s="115">
        <f t="shared" si="54"/>
        <v>41980</v>
      </c>
      <c r="X467" s="115">
        <f t="shared" si="55"/>
        <v>839.6</v>
      </c>
      <c r="Y467" s="117" t="s">
        <v>610</v>
      </c>
      <c r="Z467" s="108" t="s">
        <v>35</v>
      </c>
      <c r="AA467" s="108" t="s">
        <v>35</v>
      </c>
      <c r="AB467" s="108" t="s">
        <v>611</v>
      </c>
      <c r="AC467" s="108">
        <v>0</v>
      </c>
      <c r="AD467" s="108">
        <v>1</v>
      </c>
      <c r="AE467" s="108" t="s">
        <v>42</v>
      </c>
      <c r="AF467" s="108" t="s">
        <v>35</v>
      </c>
      <c r="AG467" s="108" t="s">
        <v>38</v>
      </c>
      <c r="AH467" s="108" t="s">
        <v>92</v>
      </c>
    </row>
    <row r="468" spans="1:34" x14ac:dyDescent="0.3">
      <c r="A468" s="107" t="s">
        <v>611</v>
      </c>
      <c r="B468" s="108" t="s">
        <v>635</v>
      </c>
      <c r="C468" s="108" t="s">
        <v>636</v>
      </c>
      <c r="D468" s="109">
        <v>45639</v>
      </c>
      <c r="E468" s="110">
        <v>210000</v>
      </c>
      <c r="F468" s="108" t="s">
        <v>32</v>
      </c>
      <c r="G468" s="108" t="s">
        <v>33</v>
      </c>
      <c r="H468" s="110">
        <v>210000</v>
      </c>
      <c r="I468" s="110">
        <v>88500</v>
      </c>
      <c r="J468" s="111">
        <f t="shared" si="49"/>
        <v>42.142857142857146</v>
      </c>
      <c r="K468" s="110">
        <v>192921</v>
      </c>
      <c r="L468" s="110">
        <f>H468-182387</f>
        <v>27613</v>
      </c>
      <c r="M468" s="110">
        <v>10534</v>
      </c>
      <c r="N468" s="112">
        <f t="shared" si="50"/>
        <v>5.0161904761904762E-2</v>
      </c>
      <c r="O468" s="113">
        <v>49.45</v>
      </c>
      <c r="P468" s="114">
        <v>112.5</v>
      </c>
      <c r="Q468" s="115">
        <v>0.129</v>
      </c>
      <c r="R468" s="115">
        <v>0.129</v>
      </c>
      <c r="S468" s="110">
        <f t="shared" si="51"/>
        <v>558.40242669362988</v>
      </c>
      <c r="T468" s="110">
        <f t="shared" si="52"/>
        <v>214054.26356589148</v>
      </c>
      <c r="U468" s="116">
        <f t="shared" si="53"/>
        <v>4.9140097237348828</v>
      </c>
      <c r="V468" s="115">
        <v>50</v>
      </c>
      <c r="W468" s="115">
        <f t="shared" si="54"/>
        <v>42000</v>
      </c>
      <c r="X468" s="115">
        <f t="shared" si="55"/>
        <v>840</v>
      </c>
      <c r="Y468" s="117" t="s">
        <v>610</v>
      </c>
      <c r="Z468" s="108" t="s">
        <v>35</v>
      </c>
      <c r="AA468" s="108" t="s">
        <v>35</v>
      </c>
      <c r="AB468" s="108" t="s">
        <v>611</v>
      </c>
      <c r="AC468" s="108">
        <v>0</v>
      </c>
      <c r="AD468" s="108">
        <v>1</v>
      </c>
      <c r="AE468" s="108" t="s">
        <v>37</v>
      </c>
      <c r="AF468" s="108" t="s">
        <v>35</v>
      </c>
      <c r="AG468" s="108" t="s">
        <v>38</v>
      </c>
      <c r="AH468" s="108" t="s">
        <v>92</v>
      </c>
    </row>
    <row r="469" spans="1:34" x14ac:dyDescent="0.3">
      <c r="A469" s="107" t="s">
        <v>611</v>
      </c>
      <c r="B469" s="108" t="s">
        <v>732</v>
      </c>
      <c r="C469" s="108" t="s">
        <v>733</v>
      </c>
      <c r="D469" s="109">
        <v>45436</v>
      </c>
      <c r="E469" s="110">
        <v>220000</v>
      </c>
      <c r="F469" s="108" t="s">
        <v>32</v>
      </c>
      <c r="G469" s="108" t="s">
        <v>33</v>
      </c>
      <c r="H469" s="110">
        <v>220000</v>
      </c>
      <c r="I469" s="110">
        <v>77700</v>
      </c>
      <c r="J469" s="111">
        <f t="shared" si="49"/>
        <v>35.31818181818182</v>
      </c>
      <c r="K469" s="110">
        <v>168883</v>
      </c>
      <c r="L469" s="110">
        <f>H469-157807</f>
        <v>62193</v>
      </c>
      <c r="M469" s="110">
        <v>11076</v>
      </c>
      <c r="N469" s="112">
        <f t="shared" si="50"/>
        <v>5.0345454545454547E-2</v>
      </c>
      <c r="O469" s="113">
        <v>52</v>
      </c>
      <c r="P469" s="114">
        <v>115</v>
      </c>
      <c r="Q469" s="115">
        <v>0.13700000000000001</v>
      </c>
      <c r="R469" s="115">
        <v>0.13700000000000001</v>
      </c>
      <c r="S469" s="110">
        <f t="shared" si="51"/>
        <v>1196.0192307692307</v>
      </c>
      <c r="T469" s="110">
        <f t="shared" si="52"/>
        <v>453963.50364963501</v>
      </c>
      <c r="U469" s="116">
        <f t="shared" si="53"/>
        <v>10.421568036033861</v>
      </c>
      <c r="V469" s="115">
        <v>52</v>
      </c>
      <c r="W469" s="115">
        <f t="shared" si="54"/>
        <v>44000</v>
      </c>
      <c r="X469" s="115">
        <f t="shared" si="55"/>
        <v>846.15384615384619</v>
      </c>
      <c r="Y469" s="117" t="s">
        <v>610</v>
      </c>
      <c r="Z469" s="108" t="s">
        <v>35</v>
      </c>
      <c r="AA469" s="108" t="s">
        <v>35</v>
      </c>
      <c r="AB469" s="108" t="s">
        <v>611</v>
      </c>
      <c r="AC469" s="108">
        <v>0</v>
      </c>
      <c r="AD469" s="108">
        <v>1</v>
      </c>
      <c r="AE469" s="108" t="s">
        <v>37</v>
      </c>
      <c r="AF469" s="108" t="s">
        <v>43</v>
      </c>
      <c r="AG469" s="108" t="s">
        <v>38</v>
      </c>
      <c r="AH469" s="108" t="s">
        <v>92</v>
      </c>
    </row>
    <row r="470" spans="1:34" x14ac:dyDescent="0.3">
      <c r="A470" s="107" t="s">
        <v>611</v>
      </c>
      <c r="B470" s="108" t="s">
        <v>740</v>
      </c>
      <c r="C470" s="108" t="s">
        <v>741</v>
      </c>
      <c r="D470" s="109">
        <v>45223</v>
      </c>
      <c r="E470" s="110">
        <v>222500</v>
      </c>
      <c r="F470" s="108" t="s">
        <v>32</v>
      </c>
      <c r="G470" s="108" t="s">
        <v>33</v>
      </c>
      <c r="H470" s="110">
        <v>222500</v>
      </c>
      <c r="I470" s="110">
        <v>63800</v>
      </c>
      <c r="J470" s="111">
        <f t="shared" si="49"/>
        <v>28.674157303370784</v>
      </c>
      <c r="K470" s="110">
        <v>161858</v>
      </c>
      <c r="L470" s="110">
        <f>H470-150782</f>
        <v>71718</v>
      </c>
      <c r="M470" s="110">
        <v>11076</v>
      </c>
      <c r="N470" s="112">
        <f t="shared" si="50"/>
        <v>4.9779775280898879E-2</v>
      </c>
      <c r="O470" s="113">
        <v>52</v>
      </c>
      <c r="P470" s="114">
        <v>115</v>
      </c>
      <c r="Q470" s="115">
        <v>0.13700000000000001</v>
      </c>
      <c r="R470" s="115">
        <v>0.13700000000000001</v>
      </c>
      <c r="S470" s="110">
        <f t="shared" si="51"/>
        <v>1379.1923076923076</v>
      </c>
      <c r="T470" s="110">
        <f t="shared" si="52"/>
        <v>523489.05109489046</v>
      </c>
      <c r="U470" s="116">
        <f t="shared" si="53"/>
        <v>12.017654983812912</v>
      </c>
      <c r="V470" s="115">
        <v>52</v>
      </c>
      <c r="W470" s="115">
        <f t="shared" si="54"/>
        <v>44500</v>
      </c>
      <c r="X470" s="115">
        <f t="shared" si="55"/>
        <v>855.76923076923072</v>
      </c>
      <c r="Y470" s="117" t="s">
        <v>610</v>
      </c>
      <c r="Z470" s="108" t="s">
        <v>35</v>
      </c>
      <c r="AA470" s="108" t="s">
        <v>35</v>
      </c>
      <c r="AB470" s="108" t="s">
        <v>611</v>
      </c>
      <c r="AC470" s="108">
        <v>0</v>
      </c>
      <c r="AD470" s="108">
        <v>1</v>
      </c>
      <c r="AE470" s="108" t="s">
        <v>37</v>
      </c>
      <c r="AF470" s="108" t="s">
        <v>43</v>
      </c>
      <c r="AG470" s="108" t="s">
        <v>38</v>
      </c>
      <c r="AH470" s="108" t="s">
        <v>92</v>
      </c>
    </row>
    <row r="471" spans="1:34" x14ac:dyDescent="0.3">
      <c r="A471" s="118" t="s">
        <v>611</v>
      </c>
      <c r="B471" s="119" t="s">
        <v>706</v>
      </c>
      <c r="C471" s="119" t="s">
        <v>707</v>
      </c>
      <c r="D471" s="120">
        <v>45558</v>
      </c>
      <c r="E471" s="121">
        <v>215000</v>
      </c>
      <c r="F471" s="119" t="s">
        <v>32</v>
      </c>
      <c r="G471" s="119" t="s">
        <v>33</v>
      </c>
      <c r="H471" s="121">
        <v>215000</v>
      </c>
      <c r="I471" s="121">
        <v>83900</v>
      </c>
      <c r="J471" s="122">
        <f t="shared" si="49"/>
        <v>39.02325581395349</v>
      </c>
      <c r="K471" s="121">
        <v>182400</v>
      </c>
      <c r="L471" s="121">
        <f>H471-170237</f>
        <v>44763</v>
      </c>
      <c r="M471" s="121">
        <v>12163</v>
      </c>
      <c r="N471" s="123">
        <f t="shared" si="50"/>
        <v>5.6572093023255811E-2</v>
      </c>
      <c r="O471" s="124">
        <v>57.1</v>
      </c>
      <c r="P471" s="125">
        <v>150</v>
      </c>
      <c r="Q471" s="126">
        <v>0.17199999999999999</v>
      </c>
      <c r="R471" s="126">
        <v>0.17199999999999999</v>
      </c>
      <c r="S471" s="121">
        <f t="shared" si="51"/>
        <v>783.94045534150609</v>
      </c>
      <c r="T471" s="121">
        <f t="shared" si="52"/>
        <v>260250.00000000003</v>
      </c>
      <c r="U471" s="127">
        <f t="shared" si="53"/>
        <v>5.9745179063360885</v>
      </c>
      <c r="V471" s="126">
        <v>50</v>
      </c>
      <c r="W471" s="126">
        <f t="shared" si="54"/>
        <v>43000</v>
      </c>
      <c r="X471" s="126">
        <f t="shared" si="55"/>
        <v>860</v>
      </c>
      <c r="Y471" s="128" t="s">
        <v>610</v>
      </c>
      <c r="Z471" s="119" t="s">
        <v>35</v>
      </c>
      <c r="AA471" s="119" t="s">
        <v>35</v>
      </c>
      <c r="AB471" s="119" t="s">
        <v>611</v>
      </c>
      <c r="AC471" s="119">
        <v>0</v>
      </c>
      <c r="AD471" s="119">
        <v>1</v>
      </c>
      <c r="AE471" s="119" t="s">
        <v>37</v>
      </c>
      <c r="AF471" s="119" t="s">
        <v>43</v>
      </c>
      <c r="AG471" s="119" t="s">
        <v>38</v>
      </c>
      <c r="AH471" s="119" t="s">
        <v>92</v>
      </c>
    </row>
    <row r="472" spans="1:34" x14ac:dyDescent="0.3">
      <c r="A472" s="107" t="s">
        <v>611</v>
      </c>
      <c r="B472" s="108" t="s">
        <v>641</v>
      </c>
      <c r="C472" s="108" t="s">
        <v>642</v>
      </c>
      <c r="D472" s="109">
        <v>45446</v>
      </c>
      <c r="E472" s="110">
        <v>211200</v>
      </c>
      <c r="F472" s="108" t="s">
        <v>32</v>
      </c>
      <c r="G472" s="108" t="s">
        <v>33</v>
      </c>
      <c r="H472" s="110">
        <v>211200</v>
      </c>
      <c r="I472" s="110">
        <v>103500</v>
      </c>
      <c r="J472" s="111">
        <f t="shared" si="49"/>
        <v>49.00568181818182</v>
      </c>
      <c r="K472" s="110">
        <v>226608</v>
      </c>
      <c r="L472" s="110">
        <f>H472-215931</f>
        <v>-4731</v>
      </c>
      <c r="M472" s="110">
        <v>10677</v>
      </c>
      <c r="N472" s="112">
        <f t="shared" si="50"/>
        <v>5.0553977272727271E-2</v>
      </c>
      <c r="O472" s="113">
        <v>50.12</v>
      </c>
      <c r="P472" s="114">
        <v>111.09</v>
      </c>
      <c r="Q472" s="115">
        <v>0.13300000000000001</v>
      </c>
      <c r="R472" s="115">
        <v>0.13300000000000001</v>
      </c>
      <c r="S472" s="110">
        <f t="shared" si="51"/>
        <v>-94.393455706304877</v>
      </c>
      <c r="T472" s="110">
        <f t="shared" si="52"/>
        <v>-35571.428571428572</v>
      </c>
      <c r="U472" s="116">
        <f t="shared" si="53"/>
        <v>-0.81660763478945297</v>
      </c>
      <c r="V472" s="115">
        <v>49</v>
      </c>
      <c r="W472" s="115">
        <f t="shared" si="54"/>
        <v>42240</v>
      </c>
      <c r="X472" s="115">
        <f t="shared" si="55"/>
        <v>862.0408163265306</v>
      </c>
      <c r="Y472" s="117" t="s">
        <v>610</v>
      </c>
      <c r="Z472" s="108" t="s">
        <v>35</v>
      </c>
      <c r="AA472" s="108" t="s">
        <v>35</v>
      </c>
      <c r="AB472" s="108" t="s">
        <v>611</v>
      </c>
      <c r="AC472" s="108">
        <v>0</v>
      </c>
      <c r="AD472" s="108">
        <v>1</v>
      </c>
      <c r="AE472" s="108" t="s">
        <v>42</v>
      </c>
      <c r="AF472" s="108" t="s">
        <v>43</v>
      </c>
      <c r="AG472" s="108" t="s">
        <v>38</v>
      </c>
      <c r="AH472" s="108" t="s">
        <v>92</v>
      </c>
    </row>
    <row r="473" spans="1:34" x14ac:dyDescent="0.3">
      <c r="A473" s="107" t="s">
        <v>611</v>
      </c>
      <c r="B473" s="108" t="s">
        <v>676</v>
      </c>
      <c r="C473" s="108" t="s">
        <v>677</v>
      </c>
      <c r="D473" s="109">
        <v>45519</v>
      </c>
      <c r="E473" s="110">
        <v>219900</v>
      </c>
      <c r="F473" s="108" t="s">
        <v>32</v>
      </c>
      <c r="G473" s="108" t="s">
        <v>33</v>
      </c>
      <c r="H473" s="110">
        <v>219900</v>
      </c>
      <c r="I473" s="110">
        <v>90200</v>
      </c>
      <c r="J473" s="111">
        <f t="shared" si="49"/>
        <v>41.018644838562984</v>
      </c>
      <c r="K473" s="110">
        <v>196096</v>
      </c>
      <c r="L473" s="110">
        <f>H473-183281</f>
        <v>36619</v>
      </c>
      <c r="M473" s="110">
        <v>12815</v>
      </c>
      <c r="N473" s="112">
        <f t="shared" si="50"/>
        <v>5.8276489313324235E-2</v>
      </c>
      <c r="O473" s="113">
        <v>60.16</v>
      </c>
      <c r="P473" s="114">
        <v>166.5</v>
      </c>
      <c r="Q473" s="115">
        <v>0.191</v>
      </c>
      <c r="R473" s="115">
        <v>0.191</v>
      </c>
      <c r="S473" s="110">
        <f t="shared" si="51"/>
        <v>608.69348404255322</v>
      </c>
      <c r="T473" s="110">
        <f t="shared" si="52"/>
        <v>191722.51308900522</v>
      </c>
      <c r="U473" s="116">
        <f t="shared" si="53"/>
        <v>4.4013432756888253</v>
      </c>
      <c r="V473" s="115">
        <v>50</v>
      </c>
      <c r="W473" s="115">
        <f t="shared" si="54"/>
        <v>43980</v>
      </c>
      <c r="X473" s="115">
        <f t="shared" si="55"/>
        <v>879.6</v>
      </c>
      <c r="Y473" s="117" t="s">
        <v>610</v>
      </c>
      <c r="Z473" s="108" t="s">
        <v>35</v>
      </c>
      <c r="AA473" s="108" t="s">
        <v>35</v>
      </c>
      <c r="AB473" s="108" t="s">
        <v>611</v>
      </c>
      <c r="AC473" s="108">
        <v>0</v>
      </c>
      <c r="AD473" s="108">
        <v>1</v>
      </c>
      <c r="AE473" s="108" t="s">
        <v>37</v>
      </c>
      <c r="AF473" s="108" t="s">
        <v>43</v>
      </c>
      <c r="AG473" s="108" t="s">
        <v>38</v>
      </c>
      <c r="AH473" s="108" t="s">
        <v>92</v>
      </c>
    </row>
    <row r="474" spans="1:34" x14ac:dyDescent="0.3">
      <c r="A474" s="107" t="s">
        <v>611</v>
      </c>
      <c r="B474" s="108" t="s">
        <v>626</v>
      </c>
      <c r="C474" s="108" t="s">
        <v>627</v>
      </c>
      <c r="D474" s="109">
        <v>45516</v>
      </c>
      <c r="E474" s="110">
        <v>220000</v>
      </c>
      <c r="F474" s="108" t="s">
        <v>32</v>
      </c>
      <c r="G474" s="108" t="s">
        <v>33</v>
      </c>
      <c r="H474" s="110">
        <v>220000</v>
      </c>
      <c r="I474" s="110">
        <v>90100</v>
      </c>
      <c r="J474" s="111">
        <f t="shared" si="49"/>
        <v>40.954545454545453</v>
      </c>
      <c r="K474" s="110">
        <v>196083</v>
      </c>
      <c r="L474" s="110">
        <f>H474-185549</f>
        <v>34451</v>
      </c>
      <c r="M474" s="110">
        <v>10534</v>
      </c>
      <c r="N474" s="112">
        <f t="shared" si="50"/>
        <v>4.7881818181818185E-2</v>
      </c>
      <c r="O474" s="113">
        <v>49.45</v>
      </c>
      <c r="P474" s="114">
        <v>112.5</v>
      </c>
      <c r="Q474" s="115">
        <v>0.129</v>
      </c>
      <c r="R474" s="115">
        <v>0.129</v>
      </c>
      <c r="S474" s="110">
        <f t="shared" si="51"/>
        <v>696.68351870576339</v>
      </c>
      <c r="T474" s="110">
        <f t="shared" si="52"/>
        <v>267062.01550387597</v>
      </c>
      <c r="U474" s="116">
        <f t="shared" si="53"/>
        <v>6.1309002640926531</v>
      </c>
      <c r="V474" s="115">
        <v>50</v>
      </c>
      <c r="W474" s="115">
        <f t="shared" si="54"/>
        <v>44000</v>
      </c>
      <c r="X474" s="115">
        <f t="shared" si="55"/>
        <v>880</v>
      </c>
      <c r="Y474" s="117" t="s">
        <v>610</v>
      </c>
      <c r="Z474" s="108" t="s">
        <v>35</v>
      </c>
      <c r="AA474" s="108" t="s">
        <v>35</v>
      </c>
      <c r="AB474" s="108" t="s">
        <v>611</v>
      </c>
      <c r="AC474" s="108">
        <v>0</v>
      </c>
      <c r="AD474" s="108">
        <v>1</v>
      </c>
      <c r="AE474" s="108" t="s">
        <v>37</v>
      </c>
      <c r="AF474" s="108" t="s">
        <v>43</v>
      </c>
      <c r="AG474" s="108" t="s">
        <v>38</v>
      </c>
      <c r="AH474" s="108" t="s">
        <v>92</v>
      </c>
    </row>
    <row r="475" spans="1:34" x14ac:dyDescent="0.3">
      <c r="A475" s="118" t="s">
        <v>611</v>
      </c>
      <c r="B475" s="119" t="s">
        <v>612</v>
      </c>
      <c r="C475" s="119" t="s">
        <v>613</v>
      </c>
      <c r="D475" s="120">
        <v>45107</v>
      </c>
      <c r="E475" s="121">
        <v>221000</v>
      </c>
      <c r="F475" s="119" t="s">
        <v>32</v>
      </c>
      <c r="G475" s="119" t="s">
        <v>33</v>
      </c>
      <c r="H475" s="121">
        <v>221000</v>
      </c>
      <c r="I475" s="121">
        <v>73800</v>
      </c>
      <c r="J475" s="122">
        <f t="shared" si="49"/>
        <v>33.393665158371036</v>
      </c>
      <c r="K475" s="121">
        <v>187231</v>
      </c>
      <c r="L475" s="121">
        <f>H475-176064</f>
        <v>44936</v>
      </c>
      <c r="M475" s="121">
        <v>11167</v>
      </c>
      <c r="N475" s="123">
        <f t="shared" si="50"/>
        <v>5.0529411764705885E-2</v>
      </c>
      <c r="O475" s="124">
        <v>52.42</v>
      </c>
      <c r="P475" s="125">
        <v>126.27</v>
      </c>
      <c r="Q475" s="126">
        <v>0.14499999999999999</v>
      </c>
      <c r="R475" s="126">
        <v>0.14499999999999999</v>
      </c>
      <c r="S475" s="121">
        <f t="shared" si="51"/>
        <v>857.23006486074019</v>
      </c>
      <c r="T475" s="121">
        <f t="shared" si="52"/>
        <v>309903.44827586209</v>
      </c>
      <c r="U475" s="127">
        <f t="shared" si="53"/>
        <v>7.1144042303916919</v>
      </c>
      <c r="V475" s="126">
        <v>50</v>
      </c>
      <c r="W475" s="126">
        <f t="shared" si="54"/>
        <v>44200</v>
      </c>
      <c r="X475" s="126">
        <f t="shared" si="55"/>
        <v>884</v>
      </c>
      <c r="Y475" s="128" t="s">
        <v>610</v>
      </c>
      <c r="Z475" s="119" t="s">
        <v>35</v>
      </c>
      <c r="AA475" s="119" t="s">
        <v>35</v>
      </c>
      <c r="AB475" s="119" t="s">
        <v>611</v>
      </c>
      <c r="AC475" s="119">
        <v>0</v>
      </c>
      <c r="AD475" s="119">
        <v>1</v>
      </c>
      <c r="AE475" s="119" t="s">
        <v>37</v>
      </c>
      <c r="AF475" s="119" t="s">
        <v>43</v>
      </c>
      <c r="AG475" s="119" t="s">
        <v>38</v>
      </c>
      <c r="AH475" s="119" t="s">
        <v>92</v>
      </c>
    </row>
    <row r="476" spans="1:34" x14ac:dyDescent="0.3">
      <c r="A476" s="118" t="s">
        <v>611</v>
      </c>
      <c r="B476" s="119" t="s">
        <v>639</v>
      </c>
      <c r="C476" s="119" t="s">
        <v>640</v>
      </c>
      <c r="D476" s="120">
        <v>45485</v>
      </c>
      <c r="E476" s="121">
        <v>222000</v>
      </c>
      <c r="F476" s="119" t="s">
        <v>32</v>
      </c>
      <c r="G476" s="119" t="s">
        <v>33</v>
      </c>
      <c r="H476" s="121">
        <v>222000</v>
      </c>
      <c r="I476" s="121">
        <v>87400</v>
      </c>
      <c r="J476" s="122">
        <f t="shared" si="49"/>
        <v>39.369369369369366</v>
      </c>
      <c r="K476" s="121">
        <v>189981</v>
      </c>
      <c r="L476" s="121">
        <f>H476-179565</f>
        <v>42435</v>
      </c>
      <c r="M476" s="121">
        <v>10416</v>
      </c>
      <c r="N476" s="123">
        <f t="shared" si="50"/>
        <v>4.6918918918918917E-2</v>
      </c>
      <c r="O476" s="124">
        <v>48.9</v>
      </c>
      <c r="P476" s="125">
        <v>110</v>
      </c>
      <c r="Q476" s="126">
        <v>0.126</v>
      </c>
      <c r="R476" s="126">
        <v>0.126</v>
      </c>
      <c r="S476" s="121">
        <f t="shared" si="51"/>
        <v>867.79141104294479</v>
      </c>
      <c r="T476" s="121">
        <f t="shared" si="52"/>
        <v>336785.71428571426</v>
      </c>
      <c r="U476" s="127">
        <f t="shared" si="53"/>
        <v>7.7315361406270489</v>
      </c>
      <c r="V476" s="126">
        <v>50</v>
      </c>
      <c r="W476" s="126">
        <f t="shared" si="54"/>
        <v>44400</v>
      </c>
      <c r="X476" s="126">
        <f t="shared" si="55"/>
        <v>888</v>
      </c>
      <c r="Y476" s="128" t="s">
        <v>610</v>
      </c>
      <c r="Z476" s="119" t="s">
        <v>35</v>
      </c>
      <c r="AA476" s="119" t="s">
        <v>35</v>
      </c>
      <c r="AB476" s="119" t="s">
        <v>611</v>
      </c>
      <c r="AC476" s="119">
        <v>0</v>
      </c>
      <c r="AD476" s="119">
        <v>1</v>
      </c>
      <c r="AE476" s="119" t="s">
        <v>37</v>
      </c>
      <c r="AF476" s="119" t="s">
        <v>43</v>
      </c>
      <c r="AG476" s="119" t="s">
        <v>38</v>
      </c>
      <c r="AH476" s="119" t="s">
        <v>92</v>
      </c>
    </row>
    <row r="477" spans="1:34" x14ac:dyDescent="0.3">
      <c r="A477" s="118" t="s">
        <v>611</v>
      </c>
      <c r="B477" s="119" t="s">
        <v>614</v>
      </c>
      <c r="C477" s="119" t="s">
        <v>615</v>
      </c>
      <c r="D477" s="120">
        <v>45370</v>
      </c>
      <c r="E477" s="121">
        <v>225000</v>
      </c>
      <c r="F477" s="119" t="s">
        <v>32</v>
      </c>
      <c r="G477" s="119" t="s">
        <v>33</v>
      </c>
      <c r="H477" s="121">
        <v>225000</v>
      </c>
      <c r="I477" s="121">
        <v>71400</v>
      </c>
      <c r="J477" s="122">
        <f t="shared" si="49"/>
        <v>31.733333333333334</v>
      </c>
      <c r="K477" s="121">
        <v>180367</v>
      </c>
      <c r="L477" s="121">
        <f>H477-169373</f>
        <v>55627</v>
      </c>
      <c r="M477" s="121">
        <v>10994</v>
      </c>
      <c r="N477" s="123">
        <f t="shared" si="50"/>
        <v>4.8862222222222224E-2</v>
      </c>
      <c r="O477" s="124">
        <v>51.61</v>
      </c>
      <c r="P477" s="125">
        <v>114.46</v>
      </c>
      <c r="Q477" s="126">
        <v>0.13800000000000001</v>
      </c>
      <c r="R477" s="126">
        <v>0.13800000000000001</v>
      </c>
      <c r="S477" s="121">
        <f t="shared" si="51"/>
        <v>1077.8337531486147</v>
      </c>
      <c r="T477" s="121">
        <f t="shared" si="52"/>
        <v>403094.20289855066</v>
      </c>
      <c r="U477" s="127">
        <f t="shared" si="53"/>
        <v>9.2537695798565345</v>
      </c>
      <c r="V477" s="126">
        <v>50</v>
      </c>
      <c r="W477" s="126">
        <f t="shared" si="54"/>
        <v>45000</v>
      </c>
      <c r="X477" s="126">
        <f t="shared" si="55"/>
        <v>900</v>
      </c>
      <c r="Y477" s="128" t="s">
        <v>610</v>
      </c>
      <c r="Z477" s="119" t="s">
        <v>35</v>
      </c>
      <c r="AA477" s="119" t="s">
        <v>35</v>
      </c>
      <c r="AB477" s="119" t="s">
        <v>611</v>
      </c>
      <c r="AC477" s="119">
        <v>0</v>
      </c>
      <c r="AD477" s="119">
        <v>1</v>
      </c>
      <c r="AE477" s="119" t="s">
        <v>42</v>
      </c>
      <c r="AF477" s="119" t="s">
        <v>43</v>
      </c>
      <c r="AG477" s="119" t="s">
        <v>38</v>
      </c>
      <c r="AH477" s="119" t="s">
        <v>92</v>
      </c>
    </row>
    <row r="478" spans="1:34" x14ac:dyDescent="0.3">
      <c r="A478" s="118" t="s">
        <v>611</v>
      </c>
      <c r="B478" s="119" t="s">
        <v>645</v>
      </c>
      <c r="C478" s="119" t="s">
        <v>646</v>
      </c>
      <c r="D478" s="120">
        <v>45569</v>
      </c>
      <c r="E478" s="121">
        <v>232000</v>
      </c>
      <c r="F478" s="119" t="s">
        <v>32</v>
      </c>
      <c r="G478" s="119" t="s">
        <v>33</v>
      </c>
      <c r="H478" s="121">
        <v>232000</v>
      </c>
      <c r="I478" s="121">
        <v>86900</v>
      </c>
      <c r="J478" s="122">
        <f t="shared" si="49"/>
        <v>37.456896551724142</v>
      </c>
      <c r="K478" s="121">
        <v>188939</v>
      </c>
      <c r="L478" s="121">
        <f>H478-178523</f>
        <v>53477</v>
      </c>
      <c r="M478" s="121">
        <v>10416</v>
      </c>
      <c r="N478" s="123">
        <f t="shared" si="50"/>
        <v>4.489655172413793E-2</v>
      </c>
      <c r="O478" s="124">
        <v>48.9</v>
      </c>
      <c r="P478" s="125">
        <v>110</v>
      </c>
      <c r="Q478" s="126">
        <v>0.126</v>
      </c>
      <c r="R478" s="126">
        <v>0.126</v>
      </c>
      <c r="S478" s="121">
        <f t="shared" si="51"/>
        <v>1093.5991820040899</v>
      </c>
      <c r="T478" s="121">
        <f t="shared" si="52"/>
        <v>424420.63492063491</v>
      </c>
      <c r="U478" s="127">
        <f t="shared" si="53"/>
        <v>9.7433570918419399</v>
      </c>
      <c r="V478" s="126">
        <v>50</v>
      </c>
      <c r="W478" s="126">
        <f t="shared" si="54"/>
        <v>46400</v>
      </c>
      <c r="X478" s="126">
        <f t="shared" si="55"/>
        <v>928</v>
      </c>
      <c r="Y478" s="128" t="s">
        <v>610</v>
      </c>
      <c r="Z478" s="119" t="s">
        <v>35</v>
      </c>
      <c r="AA478" s="119" t="s">
        <v>35</v>
      </c>
      <c r="AB478" s="119" t="s">
        <v>611</v>
      </c>
      <c r="AC478" s="119">
        <v>0</v>
      </c>
      <c r="AD478" s="119">
        <v>1</v>
      </c>
      <c r="AE478" s="119" t="s">
        <v>37</v>
      </c>
      <c r="AF478" s="119" t="s">
        <v>43</v>
      </c>
      <c r="AG478" s="119" t="s">
        <v>38</v>
      </c>
      <c r="AH478" s="119" t="s">
        <v>92</v>
      </c>
    </row>
    <row r="479" spans="1:34" x14ac:dyDescent="0.3">
      <c r="A479" s="118" t="s">
        <v>611</v>
      </c>
      <c r="B479" s="119" t="s">
        <v>665</v>
      </c>
      <c r="C479" s="119" t="s">
        <v>666</v>
      </c>
      <c r="D479" s="120">
        <v>45065</v>
      </c>
      <c r="E479" s="121">
        <v>235000</v>
      </c>
      <c r="F479" s="119" t="s">
        <v>32</v>
      </c>
      <c r="G479" s="119" t="s">
        <v>33</v>
      </c>
      <c r="H479" s="121">
        <v>235000</v>
      </c>
      <c r="I479" s="121">
        <v>73000</v>
      </c>
      <c r="J479" s="122">
        <f t="shared" si="49"/>
        <v>31.063829787234042</v>
      </c>
      <c r="K479" s="121">
        <v>185321</v>
      </c>
      <c r="L479" s="121">
        <f>H479-174905</f>
        <v>60095</v>
      </c>
      <c r="M479" s="121">
        <v>10416</v>
      </c>
      <c r="N479" s="123">
        <f t="shared" si="50"/>
        <v>4.4323404255319152E-2</v>
      </c>
      <c r="O479" s="124">
        <v>48.9</v>
      </c>
      <c r="P479" s="125">
        <v>110</v>
      </c>
      <c r="Q479" s="126">
        <v>0.126</v>
      </c>
      <c r="R479" s="126">
        <v>0.126</v>
      </c>
      <c r="S479" s="121">
        <f t="shared" si="51"/>
        <v>1228.9366053169736</v>
      </c>
      <c r="T479" s="121">
        <f t="shared" si="52"/>
        <v>476944.44444444444</v>
      </c>
      <c r="U479" s="127">
        <f t="shared" si="53"/>
        <v>10.949137843077237</v>
      </c>
      <c r="V479" s="126">
        <v>50</v>
      </c>
      <c r="W479" s="126">
        <f t="shared" si="54"/>
        <v>47000</v>
      </c>
      <c r="X479" s="126">
        <f t="shared" si="55"/>
        <v>940</v>
      </c>
      <c r="Y479" s="128" t="s">
        <v>610</v>
      </c>
      <c r="Z479" s="119" t="s">
        <v>35</v>
      </c>
      <c r="AA479" s="119" t="s">
        <v>35</v>
      </c>
      <c r="AB479" s="119" t="s">
        <v>611</v>
      </c>
      <c r="AC479" s="119">
        <v>0</v>
      </c>
      <c r="AD479" s="119">
        <v>1</v>
      </c>
      <c r="AE479" s="119" t="s">
        <v>37</v>
      </c>
      <c r="AF479" s="119" t="s">
        <v>43</v>
      </c>
      <c r="AG479" s="119" t="s">
        <v>38</v>
      </c>
      <c r="AH479" s="119" t="s">
        <v>92</v>
      </c>
    </row>
    <row r="480" spans="1:34" x14ac:dyDescent="0.3">
      <c r="A480" s="118" t="s">
        <v>611</v>
      </c>
      <c r="B480" s="119" t="s">
        <v>682</v>
      </c>
      <c r="C480" s="119" t="s">
        <v>683</v>
      </c>
      <c r="D480" s="120">
        <v>45485</v>
      </c>
      <c r="E480" s="121">
        <v>250000</v>
      </c>
      <c r="F480" s="119" t="s">
        <v>32</v>
      </c>
      <c r="G480" s="119" t="s">
        <v>33</v>
      </c>
      <c r="H480" s="121">
        <v>250000</v>
      </c>
      <c r="I480" s="121">
        <v>90100</v>
      </c>
      <c r="J480" s="122">
        <f t="shared" si="49"/>
        <v>36.04</v>
      </c>
      <c r="K480" s="121">
        <v>195682</v>
      </c>
      <c r="L480" s="121">
        <f>H480-185077</f>
        <v>64923</v>
      </c>
      <c r="M480" s="121">
        <v>10605</v>
      </c>
      <c r="N480" s="123">
        <f t="shared" si="50"/>
        <v>4.2419999999999999E-2</v>
      </c>
      <c r="O480" s="124">
        <v>49.79</v>
      </c>
      <c r="P480" s="125">
        <v>114.04</v>
      </c>
      <c r="Q480" s="126">
        <v>0.13100000000000001</v>
      </c>
      <c r="R480" s="126">
        <v>0.13100000000000001</v>
      </c>
      <c r="S480" s="121">
        <f t="shared" si="51"/>
        <v>1303.9365334404499</v>
      </c>
      <c r="T480" s="121">
        <f t="shared" si="52"/>
        <v>495595.41984732822</v>
      </c>
      <c r="U480" s="127">
        <f t="shared" si="53"/>
        <v>11.377305322482282</v>
      </c>
      <c r="V480" s="126">
        <v>50</v>
      </c>
      <c r="W480" s="126">
        <f t="shared" si="54"/>
        <v>50000</v>
      </c>
      <c r="X480" s="126">
        <f t="shared" si="55"/>
        <v>1000</v>
      </c>
      <c r="Y480" s="128" t="s">
        <v>610</v>
      </c>
      <c r="Z480" s="119" t="s">
        <v>35</v>
      </c>
      <c r="AA480" s="119" t="s">
        <v>35</v>
      </c>
      <c r="AB480" s="119" t="s">
        <v>611</v>
      </c>
      <c r="AC480" s="119">
        <v>0</v>
      </c>
      <c r="AD480" s="119">
        <v>1</v>
      </c>
      <c r="AE480" s="119" t="s">
        <v>37</v>
      </c>
      <c r="AF480" s="119" t="s">
        <v>43</v>
      </c>
      <c r="AG480" s="119" t="s">
        <v>38</v>
      </c>
      <c r="AH480" s="119" t="s">
        <v>92</v>
      </c>
    </row>
    <row r="481" spans="1:34" x14ac:dyDescent="0.3">
      <c r="A481" s="107" t="s">
        <v>611</v>
      </c>
      <c r="B481" s="108" t="s">
        <v>618</v>
      </c>
      <c r="C481" s="108" t="s">
        <v>619</v>
      </c>
      <c r="D481" s="109">
        <v>45499</v>
      </c>
      <c r="E481" s="110">
        <v>250000</v>
      </c>
      <c r="F481" s="108" t="s">
        <v>32</v>
      </c>
      <c r="G481" s="108" t="s">
        <v>33</v>
      </c>
      <c r="H481" s="110">
        <v>250000</v>
      </c>
      <c r="I481" s="110">
        <v>93000</v>
      </c>
      <c r="J481" s="111">
        <f t="shared" si="49"/>
        <v>37.200000000000003</v>
      </c>
      <c r="K481" s="110">
        <v>202840</v>
      </c>
      <c r="L481" s="110">
        <f>H481-191961</f>
        <v>58039</v>
      </c>
      <c r="M481" s="110">
        <v>10879</v>
      </c>
      <c r="N481" s="112">
        <f t="shared" si="50"/>
        <v>4.3515999999999999E-2</v>
      </c>
      <c r="O481" s="113">
        <v>51.07</v>
      </c>
      <c r="P481" s="114">
        <v>120</v>
      </c>
      <c r="Q481" s="115">
        <v>0.13800000000000001</v>
      </c>
      <c r="R481" s="115">
        <v>0.13800000000000001</v>
      </c>
      <c r="S481" s="110">
        <f t="shared" si="51"/>
        <v>1136.459761112199</v>
      </c>
      <c r="T481" s="110">
        <f t="shared" si="52"/>
        <v>420572.46376811591</v>
      </c>
      <c r="U481" s="116">
        <f t="shared" si="53"/>
        <v>9.6550152380191889</v>
      </c>
      <c r="V481" s="115">
        <v>50</v>
      </c>
      <c r="W481" s="115">
        <f t="shared" si="54"/>
        <v>50000</v>
      </c>
      <c r="X481" s="115">
        <f t="shared" si="55"/>
        <v>1000</v>
      </c>
      <c r="Y481" s="117" t="s">
        <v>610</v>
      </c>
      <c r="Z481" s="108" t="s">
        <v>35</v>
      </c>
      <c r="AA481" s="108" t="s">
        <v>35</v>
      </c>
      <c r="AB481" s="108" t="s">
        <v>611</v>
      </c>
      <c r="AC481" s="108">
        <v>0</v>
      </c>
      <c r="AD481" s="108">
        <v>1</v>
      </c>
      <c r="AE481" s="108" t="s">
        <v>42</v>
      </c>
      <c r="AF481" s="108" t="s">
        <v>43</v>
      </c>
      <c r="AG481" s="108" t="s">
        <v>38</v>
      </c>
      <c r="AH481" s="108" t="s">
        <v>92</v>
      </c>
    </row>
    <row r="482" spans="1:34" x14ac:dyDescent="0.3">
      <c r="A482" s="118" t="s">
        <v>1389</v>
      </c>
      <c r="B482" s="119" t="s">
        <v>1395</v>
      </c>
      <c r="C482" s="119" t="s">
        <v>1396</v>
      </c>
      <c r="D482" s="120">
        <v>45611</v>
      </c>
      <c r="E482" s="121">
        <v>93000</v>
      </c>
      <c r="F482" s="119" t="s">
        <v>32</v>
      </c>
      <c r="G482" s="119" t="s">
        <v>33</v>
      </c>
      <c r="H482" s="121">
        <v>93000</v>
      </c>
      <c r="I482" s="121">
        <v>75900</v>
      </c>
      <c r="J482" s="122">
        <f t="shared" si="49"/>
        <v>81.612903225806448</v>
      </c>
      <c r="K482" s="121">
        <v>171142</v>
      </c>
      <c r="L482" s="121">
        <f>H482-162346</f>
        <v>-69346</v>
      </c>
      <c r="M482" s="121">
        <v>8796</v>
      </c>
      <c r="N482" s="123">
        <f t="shared" si="50"/>
        <v>9.4580645161290319E-2</v>
      </c>
      <c r="O482" s="124">
        <v>50.26</v>
      </c>
      <c r="P482" s="125">
        <v>133.38999999999999</v>
      </c>
      <c r="Q482" s="126">
        <v>0.153</v>
      </c>
      <c r="R482" s="126">
        <v>0.153</v>
      </c>
      <c r="S482" s="121">
        <f t="shared" si="51"/>
        <v>-1379.7453243135694</v>
      </c>
      <c r="T482" s="121">
        <f t="shared" si="52"/>
        <v>-453241.83006535948</v>
      </c>
      <c r="U482" s="127">
        <f t="shared" si="53"/>
        <v>-10.405000690205682</v>
      </c>
      <c r="V482" s="126">
        <v>50</v>
      </c>
      <c r="W482" s="126">
        <f t="shared" si="54"/>
        <v>18600</v>
      </c>
      <c r="X482" s="126">
        <f t="shared" si="55"/>
        <v>372</v>
      </c>
      <c r="Y482" s="128" t="s">
        <v>1388</v>
      </c>
      <c r="Z482" s="119" t="s">
        <v>35</v>
      </c>
      <c r="AA482" s="119" t="s">
        <v>35</v>
      </c>
      <c r="AB482" s="119" t="s">
        <v>1389</v>
      </c>
      <c r="AC482" s="119">
        <v>0</v>
      </c>
      <c r="AD482" s="119">
        <v>1</v>
      </c>
      <c r="AE482" s="119" t="s">
        <v>37</v>
      </c>
      <c r="AF482" s="119" t="s">
        <v>35</v>
      </c>
      <c r="AG482" s="119" t="s">
        <v>38</v>
      </c>
      <c r="AH482" s="119" t="s">
        <v>92</v>
      </c>
    </row>
    <row r="483" spans="1:34" x14ac:dyDescent="0.3">
      <c r="A483" s="118" t="s">
        <v>1389</v>
      </c>
      <c r="B483" s="119" t="s">
        <v>1392</v>
      </c>
      <c r="C483" s="119" t="s">
        <v>1393</v>
      </c>
      <c r="D483" s="120">
        <v>45471</v>
      </c>
      <c r="E483" s="121">
        <v>115000</v>
      </c>
      <c r="F483" s="119" t="s">
        <v>32</v>
      </c>
      <c r="G483" s="119" t="s">
        <v>33</v>
      </c>
      <c r="H483" s="121">
        <v>115000</v>
      </c>
      <c r="I483" s="121">
        <v>75000</v>
      </c>
      <c r="J483" s="122">
        <f t="shared" si="49"/>
        <v>65.217391304347828</v>
      </c>
      <c r="K483" s="121">
        <v>167608</v>
      </c>
      <c r="L483" s="121">
        <f>H483-158812</f>
        <v>-43812</v>
      </c>
      <c r="M483" s="121">
        <v>8796</v>
      </c>
      <c r="N483" s="123">
        <f t="shared" si="50"/>
        <v>7.6486956521739133E-2</v>
      </c>
      <c r="O483" s="124">
        <v>50.26</v>
      </c>
      <c r="P483" s="125">
        <v>133.38999999999999</v>
      </c>
      <c r="Q483" s="126">
        <v>0.153</v>
      </c>
      <c r="R483" s="126">
        <v>0.153</v>
      </c>
      <c r="S483" s="121">
        <f t="shared" si="51"/>
        <v>-871.70712296060492</v>
      </c>
      <c r="T483" s="121">
        <f t="shared" si="52"/>
        <v>-286352.9411764706</v>
      </c>
      <c r="U483" s="127">
        <f t="shared" si="53"/>
        <v>-6.5737589801760929</v>
      </c>
      <c r="V483" s="126">
        <v>50</v>
      </c>
      <c r="W483" s="126">
        <f t="shared" si="54"/>
        <v>23000</v>
      </c>
      <c r="X483" s="126">
        <f t="shared" si="55"/>
        <v>460</v>
      </c>
      <c r="Y483" s="128" t="s">
        <v>1388</v>
      </c>
      <c r="Z483" s="119" t="s">
        <v>35</v>
      </c>
      <c r="AA483" s="119" t="s">
        <v>35</v>
      </c>
      <c r="AB483" s="119" t="s">
        <v>1389</v>
      </c>
      <c r="AC483" s="119">
        <v>0</v>
      </c>
      <c r="AD483" s="119">
        <v>1</v>
      </c>
      <c r="AE483" s="119" t="s">
        <v>1394</v>
      </c>
      <c r="AF483" s="119" t="s">
        <v>43</v>
      </c>
      <c r="AG483" s="119" t="s">
        <v>38</v>
      </c>
      <c r="AH483" s="119" t="s">
        <v>92</v>
      </c>
    </row>
    <row r="484" spans="1:34" x14ac:dyDescent="0.3">
      <c r="A484" s="107" t="s">
        <v>1389</v>
      </c>
      <c r="B484" s="108" t="s">
        <v>1390</v>
      </c>
      <c r="C484" s="108" t="s">
        <v>1391</v>
      </c>
      <c r="D484" s="109">
        <v>45282</v>
      </c>
      <c r="E484" s="110">
        <v>130000</v>
      </c>
      <c r="F484" s="108" t="s">
        <v>32</v>
      </c>
      <c r="G484" s="108" t="s">
        <v>33</v>
      </c>
      <c r="H484" s="110">
        <v>130000</v>
      </c>
      <c r="I484" s="110">
        <v>60200</v>
      </c>
      <c r="J484" s="111">
        <f t="shared" si="49"/>
        <v>46.307692307692307</v>
      </c>
      <c r="K484" s="110">
        <v>163777</v>
      </c>
      <c r="L484" s="110">
        <f>H484-154981</f>
        <v>-24981</v>
      </c>
      <c r="M484" s="110">
        <v>8796</v>
      </c>
      <c r="N484" s="112">
        <f t="shared" si="50"/>
        <v>6.7661538461538467E-2</v>
      </c>
      <c r="O484" s="113">
        <v>50.26</v>
      </c>
      <c r="P484" s="114">
        <v>133.4</v>
      </c>
      <c r="Q484" s="115">
        <v>0.153</v>
      </c>
      <c r="R484" s="115">
        <v>0.153</v>
      </c>
      <c r="S484" s="110">
        <f t="shared" si="51"/>
        <v>-497.03541583764428</v>
      </c>
      <c r="T484" s="110">
        <f t="shared" si="52"/>
        <v>-163274.50980392157</v>
      </c>
      <c r="U484" s="116">
        <f t="shared" si="53"/>
        <v>-3.7482669835611011</v>
      </c>
      <c r="V484" s="115">
        <v>50</v>
      </c>
      <c r="W484" s="115">
        <f t="shared" si="54"/>
        <v>26000</v>
      </c>
      <c r="X484" s="115">
        <f t="shared" si="55"/>
        <v>520</v>
      </c>
      <c r="Y484" s="117" t="s">
        <v>1388</v>
      </c>
      <c r="Z484" s="108" t="s">
        <v>35</v>
      </c>
      <c r="AA484" s="108" t="s">
        <v>35</v>
      </c>
      <c r="AB484" s="108" t="s">
        <v>1389</v>
      </c>
      <c r="AC484" s="108">
        <v>0</v>
      </c>
      <c r="AD484" s="108">
        <v>1</v>
      </c>
      <c r="AE484" s="108" t="s">
        <v>37</v>
      </c>
      <c r="AF484" s="108" t="s">
        <v>43</v>
      </c>
      <c r="AG484" s="108" t="s">
        <v>38</v>
      </c>
      <c r="AH484" s="108" t="s">
        <v>92</v>
      </c>
    </row>
    <row r="485" spans="1:34" x14ac:dyDescent="0.3">
      <c r="A485" s="107" t="s">
        <v>1389</v>
      </c>
      <c r="B485" s="108" t="s">
        <v>1397</v>
      </c>
      <c r="C485" s="108" t="s">
        <v>1398</v>
      </c>
      <c r="D485" s="109">
        <v>45180</v>
      </c>
      <c r="E485" s="110">
        <v>157000</v>
      </c>
      <c r="F485" s="108" t="s">
        <v>32</v>
      </c>
      <c r="G485" s="108" t="s">
        <v>33</v>
      </c>
      <c r="H485" s="110">
        <v>157000</v>
      </c>
      <c r="I485" s="110">
        <v>67200</v>
      </c>
      <c r="J485" s="111">
        <f t="shared" si="49"/>
        <v>42.802547770700642</v>
      </c>
      <c r="K485" s="110">
        <v>183013</v>
      </c>
      <c r="L485" s="110">
        <f>H485-172438</f>
        <v>-15438</v>
      </c>
      <c r="M485" s="110">
        <v>10575</v>
      </c>
      <c r="N485" s="112">
        <f t="shared" si="50"/>
        <v>6.7356687898089171E-2</v>
      </c>
      <c r="O485" s="113">
        <v>60.43</v>
      </c>
      <c r="P485" s="114">
        <v>133.9</v>
      </c>
      <c r="Q485" s="115">
        <v>0.184</v>
      </c>
      <c r="R485" s="115">
        <v>0.184</v>
      </c>
      <c r="S485" s="110">
        <f t="shared" si="51"/>
        <v>-255.469137845441</v>
      </c>
      <c r="T485" s="110">
        <f t="shared" si="52"/>
        <v>-83902.173913043473</v>
      </c>
      <c r="U485" s="116">
        <f t="shared" si="53"/>
        <v>-1.9261288777099053</v>
      </c>
      <c r="V485" s="115">
        <v>60</v>
      </c>
      <c r="W485" s="115">
        <f t="shared" si="54"/>
        <v>31400</v>
      </c>
      <c r="X485" s="115">
        <f t="shared" si="55"/>
        <v>523.33333333333337</v>
      </c>
      <c r="Y485" s="117" t="s">
        <v>1388</v>
      </c>
      <c r="Z485" s="108" t="s">
        <v>35</v>
      </c>
      <c r="AA485" s="108" t="s">
        <v>35</v>
      </c>
      <c r="AB485" s="108" t="s">
        <v>1389</v>
      </c>
      <c r="AC485" s="108">
        <v>0</v>
      </c>
      <c r="AD485" s="108">
        <v>1</v>
      </c>
      <c r="AE485" s="108" t="s">
        <v>42</v>
      </c>
      <c r="AF485" s="108" t="s">
        <v>43</v>
      </c>
      <c r="AG485" s="108" t="s">
        <v>38</v>
      </c>
      <c r="AH485" s="108" t="s">
        <v>92</v>
      </c>
    </row>
    <row r="486" spans="1:34" x14ac:dyDescent="0.3">
      <c r="A486" s="107" t="s">
        <v>1389</v>
      </c>
      <c r="B486" s="108" t="s">
        <v>1386</v>
      </c>
      <c r="C486" s="108" t="s">
        <v>1387</v>
      </c>
      <c r="D486" s="109">
        <v>45548</v>
      </c>
      <c r="E486" s="110">
        <v>165000</v>
      </c>
      <c r="F486" s="108" t="s">
        <v>32</v>
      </c>
      <c r="G486" s="108" t="s">
        <v>33</v>
      </c>
      <c r="H486" s="110">
        <v>165000</v>
      </c>
      <c r="I486" s="110">
        <v>70300</v>
      </c>
      <c r="J486" s="111">
        <f t="shared" si="49"/>
        <v>42.606060606060609</v>
      </c>
      <c r="K486" s="110">
        <v>157844</v>
      </c>
      <c r="L486" s="110">
        <f>H486-149048</f>
        <v>15952</v>
      </c>
      <c r="M486" s="110">
        <v>8796</v>
      </c>
      <c r="N486" s="112">
        <f t="shared" si="50"/>
        <v>5.330909090909091E-2</v>
      </c>
      <c r="O486" s="113">
        <v>50.26</v>
      </c>
      <c r="P486" s="114">
        <v>133.4</v>
      </c>
      <c r="Q486" s="115">
        <v>0.153</v>
      </c>
      <c r="R486" s="115">
        <v>0.153</v>
      </c>
      <c r="S486" s="110">
        <f t="shared" si="51"/>
        <v>317.38957421408674</v>
      </c>
      <c r="T486" s="110">
        <f t="shared" si="52"/>
        <v>104261.43790849674</v>
      </c>
      <c r="U486" s="116">
        <f t="shared" si="53"/>
        <v>2.3935132669535522</v>
      </c>
      <c r="V486" s="115">
        <v>50</v>
      </c>
      <c r="W486" s="115">
        <f t="shared" si="54"/>
        <v>33000</v>
      </c>
      <c r="X486" s="115">
        <f t="shared" si="55"/>
        <v>660</v>
      </c>
      <c r="Y486" s="117" t="s">
        <v>1388</v>
      </c>
      <c r="Z486" s="108" t="s">
        <v>35</v>
      </c>
      <c r="AA486" s="108" t="s">
        <v>35</v>
      </c>
      <c r="AB486" s="108" t="s">
        <v>1389</v>
      </c>
      <c r="AC486" s="108">
        <v>0</v>
      </c>
      <c r="AD486" s="108">
        <v>1</v>
      </c>
      <c r="AE486" s="108" t="s">
        <v>42</v>
      </c>
      <c r="AF486" s="108" t="s">
        <v>43</v>
      </c>
      <c r="AG486" s="108" t="s">
        <v>38</v>
      </c>
      <c r="AH486" s="108" t="s">
        <v>92</v>
      </c>
    </row>
    <row r="487" spans="1:34" x14ac:dyDescent="0.3">
      <c r="A487" s="118" t="s">
        <v>1639</v>
      </c>
      <c r="B487" s="119" t="s">
        <v>1679</v>
      </c>
      <c r="C487" s="119" t="s">
        <v>1680</v>
      </c>
      <c r="D487" s="120">
        <v>45044</v>
      </c>
      <c r="E487" s="121">
        <v>35000</v>
      </c>
      <c r="F487" s="119" t="s">
        <v>32</v>
      </c>
      <c r="G487" s="119" t="s">
        <v>33</v>
      </c>
      <c r="H487" s="121">
        <v>35000</v>
      </c>
      <c r="I487" s="121">
        <v>12700</v>
      </c>
      <c r="J487" s="122">
        <f t="shared" si="49"/>
        <v>36.285714285714285</v>
      </c>
      <c r="K487" s="121">
        <v>26976</v>
      </c>
      <c r="L487" s="121">
        <f>H487-0</f>
        <v>35000</v>
      </c>
      <c r="M487" s="121">
        <v>26976</v>
      </c>
      <c r="N487" s="123">
        <f t="shared" si="50"/>
        <v>0.77074285714285717</v>
      </c>
      <c r="O487" s="124">
        <v>164.48</v>
      </c>
      <c r="P487" s="125">
        <v>264.54000000000002</v>
      </c>
      <c r="Q487" s="126">
        <v>0.91100000000000003</v>
      </c>
      <c r="R487" s="126">
        <v>0.91100000000000003</v>
      </c>
      <c r="S487" s="121">
        <f t="shared" si="51"/>
        <v>212.79182879377433</v>
      </c>
      <c r="T487" s="121">
        <f t="shared" si="52"/>
        <v>38419.31942919868</v>
      </c>
      <c r="U487" s="127">
        <f t="shared" si="53"/>
        <v>0.88198621279152156</v>
      </c>
      <c r="V487" s="126">
        <v>150</v>
      </c>
      <c r="W487" s="126">
        <f t="shared" si="54"/>
        <v>7000</v>
      </c>
      <c r="X487" s="126">
        <f t="shared" si="55"/>
        <v>46.666666666666664</v>
      </c>
      <c r="Y487" s="128" t="s">
        <v>1638</v>
      </c>
      <c r="Z487" s="119" t="s">
        <v>35</v>
      </c>
      <c r="AA487" s="119" t="s">
        <v>35</v>
      </c>
      <c r="AB487" s="119" t="s">
        <v>1639</v>
      </c>
      <c r="AC487" s="119">
        <v>0</v>
      </c>
      <c r="AD487" s="119">
        <v>0</v>
      </c>
      <c r="AE487" s="119" t="s">
        <v>37</v>
      </c>
      <c r="AF487" s="119" t="s">
        <v>43</v>
      </c>
      <c r="AG487" s="119" t="s">
        <v>61</v>
      </c>
      <c r="AH487" s="119" t="s">
        <v>92</v>
      </c>
    </row>
    <row r="488" spans="1:34" x14ac:dyDescent="0.3">
      <c r="A488" s="118" t="s">
        <v>1639</v>
      </c>
      <c r="B488" s="119" t="s">
        <v>1640</v>
      </c>
      <c r="C488" s="119" t="s">
        <v>1641</v>
      </c>
      <c r="D488" s="120">
        <v>45547</v>
      </c>
      <c r="E488" s="121">
        <v>60000</v>
      </c>
      <c r="F488" s="119" t="s">
        <v>32</v>
      </c>
      <c r="G488" s="119" t="s">
        <v>33</v>
      </c>
      <c r="H488" s="121">
        <v>60000</v>
      </c>
      <c r="I488" s="121">
        <v>65700</v>
      </c>
      <c r="J488" s="122">
        <f t="shared" si="49"/>
        <v>109.5</v>
      </c>
      <c r="K488" s="121">
        <v>145789</v>
      </c>
      <c r="L488" s="121">
        <f>H488-137595</f>
        <v>-77595</v>
      </c>
      <c r="M488" s="121">
        <v>8194</v>
      </c>
      <c r="N488" s="123">
        <f t="shared" si="50"/>
        <v>0.13656666666666667</v>
      </c>
      <c r="O488" s="124">
        <v>49.96</v>
      </c>
      <c r="P488" s="125">
        <v>130</v>
      </c>
      <c r="Q488" s="126">
        <v>0.19400000000000001</v>
      </c>
      <c r="R488" s="126">
        <v>0.19400000000000001</v>
      </c>
      <c r="S488" s="121">
        <f t="shared" si="51"/>
        <v>-1553.142514011209</v>
      </c>
      <c r="T488" s="121">
        <f t="shared" si="52"/>
        <v>-399974.22680412373</v>
      </c>
      <c r="U488" s="127">
        <f t="shared" si="53"/>
        <v>-9.1821447843003607</v>
      </c>
      <c r="V488" s="126">
        <v>65</v>
      </c>
      <c r="W488" s="126">
        <f t="shared" si="54"/>
        <v>12000</v>
      </c>
      <c r="X488" s="126">
        <f t="shared" si="55"/>
        <v>184.61538461538461</v>
      </c>
      <c r="Y488" s="128" t="s">
        <v>1638</v>
      </c>
      <c r="Z488" s="119" t="s">
        <v>35</v>
      </c>
      <c r="AA488" s="119" t="s">
        <v>35</v>
      </c>
      <c r="AB488" s="119" t="s">
        <v>1639</v>
      </c>
      <c r="AC488" s="119">
        <v>0</v>
      </c>
      <c r="AD488" s="119">
        <v>1</v>
      </c>
      <c r="AE488" s="119" t="s">
        <v>42</v>
      </c>
      <c r="AF488" s="119" t="s">
        <v>43</v>
      </c>
      <c r="AG488" s="119" t="s">
        <v>38</v>
      </c>
      <c r="AH488" s="119" t="s">
        <v>92</v>
      </c>
    </row>
    <row r="489" spans="1:34" x14ac:dyDescent="0.3">
      <c r="A489" s="118" t="s">
        <v>1639</v>
      </c>
      <c r="B489" s="119" t="s">
        <v>1672</v>
      </c>
      <c r="C489" s="119" t="s">
        <v>1673</v>
      </c>
      <c r="D489" s="120">
        <v>45483</v>
      </c>
      <c r="E489" s="121">
        <v>130000</v>
      </c>
      <c r="F489" s="119" t="s">
        <v>32</v>
      </c>
      <c r="G489" s="119" t="s">
        <v>33</v>
      </c>
      <c r="H489" s="121">
        <v>130000</v>
      </c>
      <c r="I489" s="121">
        <v>97300</v>
      </c>
      <c r="J489" s="122">
        <f t="shared" si="49"/>
        <v>74.846153846153854</v>
      </c>
      <c r="K489" s="121">
        <v>210657</v>
      </c>
      <c r="L489" s="121">
        <f>H489-190967</f>
        <v>-60967</v>
      </c>
      <c r="M489" s="121">
        <v>19690</v>
      </c>
      <c r="N489" s="123">
        <f t="shared" si="50"/>
        <v>0.15146153846153845</v>
      </c>
      <c r="O489" s="124">
        <v>120.05</v>
      </c>
      <c r="P489" s="125">
        <v>182</v>
      </c>
      <c r="Q489" s="126">
        <v>0.55200000000000005</v>
      </c>
      <c r="R489" s="126">
        <v>0.55200000000000005</v>
      </c>
      <c r="S489" s="121">
        <f t="shared" si="51"/>
        <v>-507.8467305289463</v>
      </c>
      <c r="T489" s="121">
        <f t="shared" si="52"/>
        <v>-110447.46376811594</v>
      </c>
      <c r="U489" s="127">
        <f t="shared" si="53"/>
        <v>-2.5355248798924688</v>
      </c>
      <c r="V489" s="126">
        <v>132</v>
      </c>
      <c r="W489" s="126">
        <f t="shared" si="54"/>
        <v>26000</v>
      </c>
      <c r="X489" s="126">
        <f t="shared" si="55"/>
        <v>196.96969696969697</v>
      </c>
      <c r="Y489" s="128" t="s">
        <v>1638</v>
      </c>
      <c r="Z489" s="119" t="s">
        <v>35</v>
      </c>
      <c r="AA489" s="119" t="s">
        <v>35</v>
      </c>
      <c r="AB489" s="119" t="s">
        <v>1639</v>
      </c>
      <c r="AC489" s="119">
        <v>0</v>
      </c>
      <c r="AD489" s="119">
        <v>1</v>
      </c>
      <c r="AE489" s="119" t="s">
        <v>42</v>
      </c>
      <c r="AF489" s="119" t="s">
        <v>43</v>
      </c>
      <c r="AG489" s="119" t="s">
        <v>38</v>
      </c>
      <c r="AH489" s="119" t="s">
        <v>92</v>
      </c>
    </row>
    <row r="490" spans="1:34" x14ac:dyDescent="0.3">
      <c r="A490" s="118" t="s">
        <v>1639</v>
      </c>
      <c r="B490" s="119" t="s">
        <v>1676</v>
      </c>
      <c r="C490" s="119" t="s">
        <v>1677</v>
      </c>
      <c r="D490" s="120">
        <v>45541</v>
      </c>
      <c r="E490" s="121">
        <v>172000</v>
      </c>
      <c r="F490" s="119" t="s">
        <v>32</v>
      </c>
      <c r="G490" s="119" t="s">
        <v>66</v>
      </c>
      <c r="H490" s="121">
        <v>172000</v>
      </c>
      <c r="I490" s="121">
        <v>71100</v>
      </c>
      <c r="J490" s="122">
        <f t="shared" si="49"/>
        <v>41.337209302325583</v>
      </c>
      <c r="K490" s="121">
        <v>157392</v>
      </c>
      <c r="L490" s="121">
        <f>H490-128438</f>
        <v>43562</v>
      </c>
      <c r="M490" s="121">
        <v>28954</v>
      </c>
      <c r="N490" s="123">
        <f t="shared" si="50"/>
        <v>0.16833720930232557</v>
      </c>
      <c r="O490" s="124">
        <v>176.54</v>
      </c>
      <c r="P490" s="125">
        <v>699.69</v>
      </c>
      <c r="Q490" s="126">
        <v>1.1240000000000001</v>
      </c>
      <c r="R490" s="126">
        <v>0.56200000000000006</v>
      </c>
      <c r="S490" s="121">
        <f t="shared" si="51"/>
        <v>246.75427665118389</v>
      </c>
      <c r="T490" s="121">
        <f t="shared" si="52"/>
        <v>38756.227758007117</v>
      </c>
      <c r="U490" s="127">
        <f t="shared" si="53"/>
        <v>0.88972056377426811</v>
      </c>
      <c r="V490" s="126">
        <v>140</v>
      </c>
      <c r="W490" s="126">
        <f t="shared" si="54"/>
        <v>34400</v>
      </c>
      <c r="X490" s="126">
        <f t="shared" si="55"/>
        <v>245.71428571428572</v>
      </c>
      <c r="Y490" s="128" t="s">
        <v>1638</v>
      </c>
      <c r="Z490" s="119" t="s">
        <v>35</v>
      </c>
      <c r="AA490" s="119" t="s">
        <v>1678</v>
      </c>
      <c r="AB490" s="119" t="s">
        <v>1639</v>
      </c>
      <c r="AC490" s="119">
        <v>0</v>
      </c>
      <c r="AD490" s="119">
        <v>1</v>
      </c>
      <c r="AE490" s="119" t="s">
        <v>42</v>
      </c>
      <c r="AF490" s="119" t="s">
        <v>43</v>
      </c>
      <c r="AG490" s="119" t="s">
        <v>38</v>
      </c>
      <c r="AH490" s="119" t="s">
        <v>92</v>
      </c>
    </row>
    <row r="491" spans="1:34" x14ac:dyDescent="0.3">
      <c r="A491" s="118" t="s">
        <v>1639</v>
      </c>
      <c r="B491" s="119" t="s">
        <v>1688</v>
      </c>
      <c r="C491" s="119" t="s">
        <v>1689</v>
      </c>
      <c r="D491" s="120">
        <v>45420</v>
      </c>
      <c r="E491" s="121">
        <v>319500</v>
      </c>
      <c r="F491" s="119" t="s">
        <v>32</v>
      </c>
      <c r="G491" s="119" t="s">
        <v>66</v>
      </c>
      <c r="H491" s="121">
        <v>319500</v>
      </c>
      <c r="I491" s="121">
        <v>110200</v>
      </c>
      <c r="J491" s="122">
        <f t="shared" si="49"/>
        <v>34.491392801251955</v>
      </c>
      <c r="K491" s="121">
        <v>237524</v>
      </c>
      <c r="L491" s="121">
        <f>H491-197708</f>
        <v>121792</v>
      </c>
      <c r="M491" s="121">
        <v>39816</v>
      </c>
      <c r="N491" s="123">
        <f t="shared" si="50"/>
        <v>0.12461971830985916</v>
      </c>
      <c r="O491" s="124">
        <v>242.78</v>
      </c>
      <c r="P491" s="125">
        <v>621.78</v>
      </c>
      <c r="Q491" s="126">
        <v>1.3919999999999999</v>
      </c>
      <c r="R491" s="126">
        <v>0.73399999999999999</v>
      </c>
      <c r="S491" s="121">
        <f t="shared" si="51"/>
        <v>501.65582008402669</v>
      </c>
      <c r="T491" s="121">
        <f t="shared" si="52"/>
        <v>87494.252873563222</v>
      </c>
      <c r="U491" s="127">
        <f t="shared" si="53"/>
        <v>2.0085916637640775</v>
      </c>
      <c r="V491" s="126">
        <v>222.5</v>
      </c>
      <c r="W491" s="126">
        <f t="shared" si="54"/>
        <v>63900</v>
      </c>
      <c r="X491" s="126">
        <f t="shared" si="55"/>
        <v>287.19101123595505</v>
      </c>
      <c r="Y491" s="128" t="s">
        <v>1638</v>
      </c>
      <c r="Z491" s="119" t="s">
        <v>35</v>
      </c>
      <c r="AA491" s="119" t="s">
        <v>1690</v>
      </c>
      <c r="AB491" s="119" t="s">
        <v>1639</v>
      </c>
      <c r="AC491" s="119">
        <v>0</v>
      </c>
      <c r="AD491" s="119">
        <v>1</v>
      </c>
      <c r="AE491" s="119" t="s">
        <v>42</v>
      </c>
      <c r="AF491" s="119" t="s">
        <v>43</v>
      </c>
      <c r="AG491" s="119" t="s">
        <v>38</v>
      </c>
      <c r="AH491" s="119" t="s">
        <v>92</v>
      </c>
    </row>
    <row r="492" spans="1:34" x14ac:dyDescent="0.3">
      <c r="A492" s="118" t="s">
        <v>1639</v>
      </c>
      <c r="B492" s="119" t="s">
        <v>1642</v>
      </c>
      <c r="C492" s="119" t="s">
        <v>1643</v>
      </c>
      <c r="D492" s="120">
        <v>45322</v>
      </c>
      <c r="E492" s="121">
        <v>100000</v>
      </c>
      <c r="F492" s="119" t="s">
        <v>32</v>
      </c>
      <c r="G492" s="119" t="s">
        <v>33</v>
      </c>
      <c r="H492" s="121">
        <v>100000</v>
      </c>
      <c r="I492" s="121">
        <v>39900</v>
      </c>
      <c r="J492" s="122">
        <f t="shared" si="49"/>
        <v>39.900000000000006</v>
      </c>
      <c r="K492" s="121">
        <v>99496</v>
      </c>
      <c r="L492" s="121">
        <f>H492-91192</f>
        <v>8808</v>
      </c>
      <c r="M492" s="121">
        <v>8304</v>
      </c>
      <c r="N492" s="123">
        <f t="shared" si="50"/>
        <v>8.3040000000000003E-2</v>
      </c>
      <c r="O492" s="124">
        <v>50.63</v>
      </c>
      <c r="P492" s="125">
        <v>133.5</v>
      </c>
      <c r="Q492" s="126">
        <v>0.19900000000000001</v>
      </c>
      <c r="R492" s="126">
        <v>0.19900000000000001</v>
      </c>
      <c r="S492" s="121">
        <f t="shared" si="51"/>
        <v>173.96800316018169</v>
      </c>
      <c r="T492" s="121">
        <f t="shared" si="52"/>
        <v>44261.306532663315</v>
      </c>
      <c r="U492" s="127">
        <f t="shared" si="53"/>
        <v>1.0160997826598557</v>
      </c>
      <c r="V492" s="126">
        <v>65</v>
      </c>
      <c r="W492" s="126">
        <f t="shared" si="54"/>
        <v>20000</v>
      </c>
      <c r="X492" s="126">
        <f t="shared" si="55"/>
        <v>307.69230769230768</v>
      </c>
      <c r="Y492" s="128" t="s">
        <v>1638</v>
      </c>
      <c r="Z492" s="119" t="s">
        <v>35</v>
      </c>
      <c r="AA492" s="119" t="s">
        <v>35</v>
      </c>
      <c r="AB492" s="119" t="s">
        <v>1639</v>
      </c>
      <c r="AC492" s="119">
        <v>0</v>
      </c>
      <c r="AD492" s="119">
        <v>1</v>
      </c>
      <c r="AE492" s="119" t="s">
        <v>42</v>
      </c>
      <c r="AF492" s="119" t="s">
        <v>43</v>
      </c>
      <c r="AG492" s="119" t="s">
        <v>38</v>
      </c>
      <c r="AH492" s="119" t="s">
        <v>92</v>
      </c>
    </row>
    <row r="493" spans="1:34" x14ac:dyDescent="0.3">
      <c r="A493" s="107" t="s">
        <v>1639</v>
      </c>
      <c r="B493" s="108" t="s">
        <v>1681</v>
      </c>
      <c r="C493" s="108" t="s">
        <v>1682</v>
      </c>
      <c r="D493" s="109">
        <v>45170</v>
      </c>
      <c r="E493" s="110">
        <v>233000</v>
      </c>
      <c r="F493" s="108" t="s">
        <v>32</v>
      </c>
      <c r="G493" s="108" t="s">
        <v>33</v>
      </c>
      <c r="H493" s="110">
        <v>233000</v>
      </c>
      <c r="I493" s="110">
        <v>86600</v>
      </c>
      <c r="J493" s="111">
        <f t="shared" si="49"/>
        <v>37.167381974248926</v>
      </c>
      <c r="K493" s="110">
        <v>198238</v>
      </c>
      <c r="L493" s="110">
        <f>H493-182463</f>
        <v>50537</v>
      </c>
      <c r="M493" s="110">
        <v>15775</v>
      </c>
      <c r="N493" s="112">
        <f t="shared" si="50"/>
        <v>6.7703862660944206E-2</v>
      </c>
      <c r="O493" s="113">
        <v>96.19</v>
      </c>
      <c r="P493" s="114">
        <v>108.58</v>
      </c>
      <c r="Q493" s="115">
        <v>0.34100000000000003</v>
      </c>
      <c r="R493" s="115">
        <v>0.34100000000000003</v>
      </c>
      <c r="S493" s="110">
        <f t="shared" si="51"/>
        <v>525.3872543923485</v>
      </c>
      <c r="T493" s="110">
        <f t="shared" si="52"/>
        <v>148202.34604105572</v>
      </c>
      <c r="U493" s="116">
        <f t="shared" si="53"/>
        <v>3.4022577144411321</v>
      </c>
      <c r="V493" s="115">
        <v>136.91999999999999</v>
      </c>
      <c r="W493" s="115">
        <f t="shared" si="54"/>
        <v>46600</v>
      </c>
      <c r="X493" s="115">
        <f t="shared" si="55"/>
        <v>340.34472684779439</v>
      </c>
      <c r="Y493" s="117" t="s">
        <v>1638</v>
      </c>
      <c r="Z493" s="108" t="s">
        <v>35</v>
      </c>
      <c r="AA493" s="108" t="s">
        <v>35</v>
      </c>
      <c r="AB493" s="108" t="s">
        <v>1639</v>
      </c>
      <c r="AC493" s="108">
        <v>0</v>
      </c>
      <c r="AD493" s="108">
        <v>1</v>
      </c>
      <c r="AE493" s="108" t="s">
        <v>412</v>
      </c>
      <c r="AF493" s="108" t="s">
        <v>43</v>
      </c>
      <c r="AG493" s="108" t="s">
        <v>38</v>
      </c>
      <c r="AH493" s="108" t="s">
        <v>92</v>
      </c>
    </row>
    <row r="494" spans="1:34" x14ac:dyDescent="0.3">
      <c r="A494" s="107" t="s">
        <v>1639</v>
      </c>
      <c r="B494" s="108" t="s">
        <v>1672</v>
      </c>
      <c r="C494" s="108" t="s">
        <v>1673</v>
      </c>
      <c r="D494" s="109">
        <v>45622</v>
      </c>
      <c r="E494" s="110">
        <v>250000</v>
      </c>
      <c r="F494" s="108" t="s">
        <v>32</v>
      </c>
      <c r="G494" s="108" t="s">
        <v>33</v>
      </c>
      <c r="H494" s="110">
        <v>250000</v>
      </c>
      <c r="I494" s="110">
        <v>97300</v>
      </c>
      <c r="J494" s="111">
        <f t="shared" si="49"/>
        <v>38.92</v>
      </c>
      <c r="K494" s="110">
        <v>210657</v>
      </c>
      <c r="L494" s="110">
        <f>H494-190967</f>
        <v>59033</v>
      </c>
      <c r="M494" s="110">
        <v>19690</v>
      </c>
      <c r="N494" s="112">
        <f t="shared" si="50"/>
        <v>7.8759999999999997E-2</v>
      </c>
      <c r="O494" s="113">
        <v>120.05</v>
      </c>
      <c r="P494" s="114">
        <v>182</v>
      </c>
      <c r="Q494" s="115">
        <v>0.55200000000000005</v>
      </c>
      <c r="R494" s="115">
        <v>0.55200000000000005</v>
      </c>
      <c r="S494" s="110">
        <f t="shared" si="51"/>
        <v>491.73677634319034</v>
      </c>
      <c r="T494" s="110">
        <f t="shared" si="52"/>
        <v>106943.84057971013</v>
      </c>
      <c r="U494" s="116">
        <f t="shared" si="53"/>
        <v>2.4550927589465137</v>
      </c>
      <c r="V494" s="115">
        <v>132</v>
      </c>
      <c r="W494" s="115">
        <f t="shared" si="54"/>
        <v>50000</v>
      </c>
      <c r="X494" s="115">
        <f t="shared" si="55"/>
        <v>378.78787878787881</v>
      </c>
      <c r="Y494" s="117" t="s">
        <v>1638</v>
      </c>
      <c r="Z494" s="108" t="s">
        <v>35</v>
      </c>
      <c r="AA494" s="108" t="s">
        <v>35</v>
      </c>
      <c r="AB494" s="108" t="s">
        <v>1639</v>
      </c>
      <c r="AC494" s="108">
        <v>0</v>
      </c>
      <c r="AD494" s="108">
        <v>1</v>
      </c>
      <c r="AE494" s="108" t="s">
        <v>42</v>
      </c>
      <c r="AF494" s="108" t="s">
        <v>35</v>
      </c>
      <c r="AG494" s="108" t="s">
        <v>38</v>
      </c>
      <c r="AH494" s="108" t="s">
        <v>92</v>
      </c>
    </row>
    <row r="495" spans="1:34" x14ac:dyDescent="0.3">
      <c r="A495" s="107" t="s">
        <v>1639</v>
      </c>
      <c r="B495" s="108" t="s">
        <v>1644</v>
      </c>
      <c r="C495" s="108" t="s">
        <v>1645</v>
      </c>
      <c r="D495" s="109">
        <v>45308</v>
      </c>
      <c r="E495" s="110">
        <v>136000</v>
      </c>
      <c r="F495" s="108" t="s">
        <v>32</v>
      </c>
      <c r="G495" s="108" t="s">
        <v>33</v>
      </c>
      <c r="H495" s="110">
        <v>136000</v>
      </c>
      <c r="I495" s="110">
        <v>40300</v>
      </c>
      <c r="J495" s="111">
        <f t="shared" si="49"/>
        <v>29.632352941176471</v>
      </c>
      <c r="K495" s="110">
        <v>100831</v>
      </c>
      <c r="L495" s="110">
        <f>H495-92637</f>
        <v>43363</v>
      </c>
      <c r="M495" s="110">
        <v>8194</v>
      </c>
      <c r="N495" s="112">
        <f t="shared" si="50"/>
        <v>6.0249999999999998E-2</v>
      </c>
      <c r="O495" s="113">
        <v>49.96</v>
      </c>
      <c r="P495" s="114">
        <v>130</v>
      </c>
      <c r="Q495" s="115">
        <v>0.19400000000000001</v>
      </c>
      <c r="R495" s="115">
        <v>0.19400000000000001</v>
      </c>
      <c r="S495" s="110">
        <f t="shared" si="51"/>
        <v>867.95436349079262</v>
      </c>
      <c r="T495" s="110">
        <f t="shared" si="52"/>
        <v>223520.61855670103</v>
      </c>
      <c r="U495" s="116">
        <f t="shared" si="53"/>
        <v>5.1313273314210521</v>
      </c>
      <c r="V495" s="115">
        <v>65</v>
      </c>
      <c r="W495" s="115">
        <f t="shared" si="54"/>
        <v>27200</v>
      </c>
      <c r="X495" s="115">
        <f t="shared" si="55"/>
        <v>418.46153846153845</v>
      </c>
      <c r="Y495" s="117" t="s">
        <v>1638</v>
      </c>
      <c r="Z495" s="108" t="s">
        <v>35</v>
      </c>
      <c r="AA495" s="108" t="s">
        <v>35</v>
      </c>
      <c r="AB495" s="108" t="s">
        <v>1639</v>
      </c>
      <c r="AC495" s="108">
        <v>0</v>
      </c>
      <c r="AD495" s="108">
        <v>1</v>
      </c>
      <c r="AE495" s="108" t="s">
        <v>412</v>
      </c>
      <c r="AF495" s="108" t="s">
        <v>43</v>
      </c>
      <c r="AG495" s="108" t="s">
        <v>38</v>
      </c>
      <c r="AH495" s="108" t="s">
        <v>92</v>
      </c>
    </row>
    <row r="496" spans="1:34" x14ac:dyDescent="0.3">
      <c r="A496" s="118" t="s">
        <v>1639</v>
      </c>
      <c r="B496" s="119" t="s">
        <v>1685</v>
      </c>
      <c r="C496" s="119" t="s">
        <v>1686</v>
      </c>
      <c r="D496" s="120">
        <v>45441</v>
      </c>
      <c r="E496" s="121">
        <v>225000</v>
      </c>
      <c r="F496" s="119" t="s">
        <v>81</v>
      </c>
      <c r="G496" s="119" t="s">
        <v>33</v>
      </c>
      <c r="H496" s="121">
        <v>225000</v>
      </c>
      <c r="I496" s="121">
        <v>135700</v>
      </c>
      <c r="J496" s="122">
        <f t="shared" si="49"/>
        <v>60.311111111111117</v>
      </c>
      <c r="K496" s="121">
        <v>294702</v>
      </c>
      <c r="L496" s="121">
        <f>H496-274603</f>
        <v>-49603</v>
      </c>
      <c r="M496" s="121">
        <v>20099</v>
      </c>
      <c r="N496" s="123">
        <f t="shared" si="50"/>
        <v>8.9328888888888888E-2</v>
      </c>
      <c r="O496" s="124">
        <v>122.55</v>
      </c>
      <c r="P496" s="125">
        <v>330.44</v>
      </c>
      <c r="Q496" s="126">
        <v>0.75900000000000001</v>
      </c>
      <c r="R496" s="126">
        <v>0.75900000000000001</v>
      </c>
      <c r="S496" s="121">
        <f t="shared" si="51"/>
        <v>-404.75724194206447</v>
      </c>
      <c r="T496" s="121">
        <f t="shared" si="52"/>
        <v>-65353.096179183136</v>
      </c>
      <c r="U496" s="127">
        <f t="shared" si="53"/>
        <v>-1.5003006469050306</v>
      </c>
      <c r="V496" s="126">
        <v>100</v>
      </c>
      <c r="W496" s="126">
        <f t="shared" si="54"/>
        <v>45000</v>
      </c>
      <c r="X496" s="126">
        <f t="shared" si="55"/>
        <v>450</v>
      </c>
      <c r="Y496" s="128" t="s">
        <v>1638</v>
      </c>
      <c r="Z496" s="119" t="s">
        <v>35</v>
      </c>
      <c r="AA496" s="119" t="s">
        <v>35</v>
      </c>
      <c r="AB496" s="119" t="s">
        <v>1639</v>
      </c>
      <c r="AC496" s="119">
        <v>0</v>
      </c>
      <c r="AD496" s="119">
        <v>1</v>
      </c>
      <c r="AE496" s="119" t="s">
        <v>1687</v>
      </c>
      <c r="AF496" s="119" t="s">
        <v>43</v>
      </c>
      <c r="AG496" s="119" t="s">
        <v>38</v>
      </c>
      <c r="AH496" s="119" t="s">
        <v>92</v>
      </c>
    </row>
    <row r="497" spans="1:34" x14ac:dyDescent="0.3">
      <c r="A497" s="107" t="s">
        <v>1639</v>
      </c>
      <c r="B497" s="108" t="s">
        <v>1646</v>
      </c>
      <c r="C497" s="108" t="s">
        <v>1647</v>
      </c>
      <c r="D497" s="109">
        <v>45022</v>
      </c>
      <c r="E497" s="110">
        <v>171000</v>
      </c>
      <c r="F497" s="108" t="s">
        <v>32</v>
      </c>
      <c r="G497" s="108" t="s">
        <v>33</v>
      </c>
      <c r="H497" s="110">
        <v>171000</v>
      </c>
      <c r="I497" s="110">
        <v>82500</v>
      </c>
      <c r="J497" s="111">
        <f t="shared" si="49"/>
        <v>48.245614035087719</v>
      </c>
      <c r="K497" s="110">
        <v>196409</v>
      </c>
      <c r="L497" s="110">
        <f>H497-188105</f>
        <v>-17105</v>
      </c>
      <c r="M497" s="110">
        <v>8304</v>
      </c>
      <c r="N497" s="112">
        <f t="shared" si="50"/>
        <v>4.856140350877193E-2</v>
      </c>
      <c r="O497" s="113">
        <v>50.63</v>
      </c>
      <c r="P497" s="114">
        <v>133.5</v>
      </c>
      <c r="Q497" s="115">
        <v>0.19900000000000001</v>
      </c>
      <c r="R497" s="115">
        <v>0.19900000000000001</v>
      </c>
      <c r="S497" s="110">
        <f t="shared" si="51"/>
        <v>-337.84317598261896</v>
      </c>
      <c r="T497" s="110">
        <f t="shared" si="52"/>
        <v>-85954.773869346725</v>
      </c>
      <c r="U497" s="116">
        <f t="shared" si="53"/>
        <v>-1.973250088827978</v>
      </c>
      <c r="V497" s="115">
        <v>65</v>
      </c>
      <c r="W497" s="115">
        <f t="shared" si="54"/>
        <v>34200</v>
      </c>
      <c r="X497" s="115">
        <f t="shared" si="55"/>
        <v>526.15384615384619</v>
      </c>
      <c r="Y497" s="117" t="s">
        <v>1638</v>
      </c>
      <c r="Z497" s="108" t="s">
        <v>35</v>
      </c>
      <c r="AA497" s="108" t="s">
        <v>35</v>
      </c>
      <c r="AB497" s="108" t="s">
        <v>1639</v>
      </c>
      <c r="AC497" s="108">
        <v>0</v>
      </c>
      <c r="AD497" s="108">
        <v>1</v>
      </c>
      <c r="AE497" s="108" t="s">
        <v>42</v>
      </c>
      <c r="AF497" s="108" t="s">
        <v>43</v>
      </c>
      <c r="AG497" s="108" t="s">
        <v>38</v>
      </c>
      <c r="AH497" s="108" t="s">
        <v>92</v>
      </c>
    </row>
    <row r="498" spans="1:34" x14ac:dyDescent="0.3">
      <c r="A498" s="107" t="s">
        <v>1639</v>
      </c>
      <c r="B498" s="108" t="s">
        <v>1683</v>
      </c>
      <c r="C498" s="108" t="s">
        <v>1684</v>
      </c>
      <c r="D498" s="109">
        <v>45653</v>
      </c>
      <c r="E498" s="110">
        <v>241000</v>
      </c>
      <c r="F498" s="108" t="s">
        <v>32</v>
      </c>
      <c r="G498" s="108" t="s">
        <v>33</v>
      </c>
      <c r="H498" s="110">
        <v>241000</v>
      </c>
      <c r="I498" s="110">
        <v>87400</v>
      </c>
      <c r="J498" s="111">
        <f t="shared" si="49"/>
        <v>36.265560165975103</v>
      </c>
      <c r="K498" s="110">
        <v>195307</v>
      </c>
      <c r="L498" s="110">
        <f>H498-178408</f>
        <v>62592</v>
      </c>
      <c r="M498" s="110">
        <v>16899</v>
      </c>
      <c r="N498" s="112">
        <f t="shared" si="50"/>
        <v>7.0120331950207462E-2</v>
      </c>
      <c r="O498" s="113">
        <v>103.04</v>
      </c>
      <c r="P498" s="114">
        <v>308.61</v>
      </c>
      <c r="Q498" s="115">
        <v>0.61599999999999999</v>
      </c>
      <c r="R498" s="115">
        <v>0.61599999999999999</v>
      </c>
      <c r="S498" s="110">
        <f t="shared" si="51"/>
        <v>607.45341614906829</v>
      </c>
      <c r="T498" s="110">
        <f t="shared" si="52"/>
        <v>101610.38961038961</v>
      </c>
      <c r="U498" s="116">
        <f t="shared" si="53"/>
        <v>2.332653572322994</v>
      </c>
      <c r="V498" s="115">
        <v>87</v>
      </c>
      <c r="W498" s="115">
        <f t="shared" si="54"/>
        <v>48200</v>
      </c>
      <c r="X498" s="115">
        <f t="shared" si="55"/>
        <v>554.02298850574709</v>
      </c>
      <c r="Y498" s="117" t="s">
        <v>1638</v>
      </c>
      <c r="Z498" s="108" t="s">
        <v>35</v>
      </c>
      <c r="AA498" s="108" t="s">
        <v>35</v>
      </c>
      <c r="AB498" s="108" t="s">
        <v>1639</v>
      </c>
      <c r="AC498" s="108">
        <v>0</v>
      </c>
      <c r="AD498" s="108">
        <v>1</v>
      </c>
      <c r="AE498" s="108" t="s">
        <v>42</v>
      </c>
      <c r="AF498" s="108" t="s">
        <v>35</v>
      </c>
      <c r="AG498" s="108" t="s">
        <v>38</v>
      </c>
      <c r="AH498" s="108" t="s">
        <v>92</v>
      </c>
    </row>
    <row r="499" spans="1:34" x14ac:dyDescent="0.3">
      <c r="A499" s="107" t="s">
        <v>1639</v>
      </c>
      <c r="B499" s="108" t="s">
        <v>1636</v>
      </c>
      <c r="C499" s="108" t="s">
        <v>1637</v>
      </c>
      <c r="D499" s="109">
        <v>45679</v>
      </c>
      <c r="E499" s="110">
        <v>155000</v>
      </c>
      <c r="F499" s="108" t="s">
        <v>32</v>
      </c>
      <c r="G499" s="108" t="s">
        <v>33</v>
      </c>
      <c r="H499" s="110">
        <v>155000</v>
      </c>
      <c r="I499" s="110">
        <v>53100</v>
      </c>
      <c r="J499" s="111">
        <f t="shared" si="49"/>
        <v>34.258064516129032</v>
      </c>
      <c r="K499" s="110">
        <v>114879</v>
      </c>
      <c r="L499" s="110">
        <f>H499-109206</f>
        <v>45794</v>
      </c>
      <c r="M499" s="110">
        <v>5673</v>
      </c>
      <c r="N499" s="112">
        <f t="shared" si="50"/>
        <v>3.6600000000000001E-2</v>
      </c>
      <c r="O499" s="113">
        <v>34.590000000000003</v>
      </c>
      <c r="P499" s="114">
        <v>130</v>
      </c>
      <c r="Q499" s="115">
        <v>0.13400000000000001</v>
      </c>
      <c r="R499" s="115">
        <v>0.13400000000000001</v>
      </c>
      <c r="S499" s="110">
        <f t="shared" si="51"/>
        <v>1323.9086441167967</v>
      </c>
      <c r="T499" s="110">
        <f t="shared" si="52"/>
        <v>341746.26865671639</v>
      </c>
      <c r="U499" s="116">
        <f t="shared" si="53"/>
        <v>7.8454147992818273</v>
      </c>
      <c r="V499" s="115">
        <v>45</v>
      </c>
      <c r="W499" s="115">
        <f t="shared" si="54"/>
        <v>31000</v>
      </c>
      <c r="X499" s="115">
        <f t="shared" si="55"/>
        <v>688.88888888888891</v>
      </c>
      <c r="Y499" s="117" t="s">
        <v>1638</v>
      </c>
      <c r="Z499" s="108" t="s">
        <v>35</v>
      </c>
      <c r="AA499" s="108" t="s">
        <v>35</v>
      </c>
      <c r="AB499" s="108" t="s">
        <v>1639</v>
      </c>
      <c r="AC499" s="108">
        <v>0</v>
      </c>
      <c r="AD499" s="108">
        <v>1</v>
      </c>
      <c r="AE499" s="108" t="s">
        <v>42</v>
      </c>
      <c r="AF499" s="108" t="s">
        <v>35</v>
      </c>
      <c r="AG499" s="108" t="s">
        <v>38</v>
      </c>
      <c r="AH499" s="108" t="s">
        <v>92</v>
      </c>
    </row>
    <row r="500" spans="1:34" x14ac:dyDescent="0.3">
      <c r="A500" s="118" t="s">
        <v>1639</v>
      </c>
      <c r="B500" s="119" t="s">
        <v>1648</v>
      </c>
      <c r="C500" s="119" t="s">
        <v>1649</v>
      </c>
      <c r="D500" s="120">
        <v>45520</v>
      </c>
      <c r="E500" s="121">
        <v>170000</v>
      </c>
      <c r="F500" s="119" t="s">
        <v>32</v>
      </c>
      <c r="G500" s="119" t="s">
        <v>33</v>
      </c>
      <c r="H500" s="121">
        <v>170000</v>
      </c>
      <c r="I500" s="121">
        <v>72600</v>
      </c>
      <c r="J500" s="122">
        <f t="shared" si="49"/>
        <v>42.705882352941174</v>
      </c>
      <c r="K500" s="121">
        <v>157786</v>
      </c>
      <c r="L500" s="121">
        <f>H500-152037</f>
        <v>17963</v>
      </c>
      <c r="M500" s="121">
        <v>5749</v>
      </c>
      <c r="N500" s="123">
        <f t="shared" si="50"/>
        <v>3.3817647058823529E-2</v>
      </c>
      <c r="O500" s="124">
        <v>35.049999999999997</v>
      </c>
      <c r="P500" s="125">
        <v>133.5</v>
      </c>
      <c r="Q500" s="126">
        <v>0.13800000000000001</v>
      </c>
      <c r="R500" s="126">
        <v>0.13800000000000001</v>
      </c>
      <c r="S500" s="121">
        <f t="shared" si="51"/>
        <v>512.49643366619125</v>
      </c>
      <c r="T500" s="121">
        <f t="shared" si="52"/>
        <v>130166.66666666666</v>
      </c>
      <c r="U500" s="127">
        <f t="shared" si="53"/>
        <v>2.9882154882154879</v>
      </c>
      <c r="V500" s="126">
        <v>45</v>
      </c>
      <c r="W500" s="126">
        <f t="shared" si="54"/>
        <v>34000</v>
      </c>
      <c r="X500" s="126">
        <f t="shared" si="55"/>
        <v>755.55555555555554</v>
      </c>
      <c r="Y500" s="128" t="s">
        <v>1638</v>
      </c>
      <c r="Z500" s="119" t="s">
        <v>35</v>
      </c>
      <c r="AA500" s="119" t="s">
        <v>35</v>
      </c>
      <c r="AB500" s="119" t="s">
        <v>1639</v>
      </c>
      <c r="AC500" s="119">
        <v>0</v>
      </c>
      <c r="AD500" s="119">
        <v>1</v>
      </c>
      <c r="AE500" s="119" t="s">
        <v>42</v>
      </c>
      <c r="AF500" s="119" t="s">
        <v>43</v>
      </c>
      <c r="AG500" s="119" t="s">
        <v>38</v>
      </c>
      <c r="AH500" s="119" t="s">
        <v>92</v>
      </c>
    </row>
    <row r="501" spans="1:34" x14ac:dyDescent="0.3">
      <c r="A501" s="107" t="s">
        <v>1639</v>
      </c>
      <c r="B501" s="108" t="s">
        <v>1674</v>
      </c>
      <c r="C501" s="108" t="s">
        <v>1675</v>
      </c>
      <c r="D501" s="109">
        <v>45548</v>
      </c>
      <c r="E501" s="110">
        <v>330000</v>
      </c>
      <c r="F501" s="108" t="s">
        <v>32</v>
      </c>
      <c r="G501" s="108" t="s">
        <v>33</v>
      </c>
      <c r="H501" s="110">
        <v>330000</v>
      </c>
      <c r="I501" s="110">
        <v>150100</v>
      </c>
      <c r="J501" s="111">
        <f t="shared" si="49"/>
        <v>45.484848484848484</v>
      </c>
      <c r="K501" s="110">
        <v>313887</v>
      </c>
      <c r="L501" s="110">
        <f>H501-301165</f>
        <v>28835</v>
      </c>
      <c r="M501" s="110">
        <v>12722</v>
      </c>
      <c r="N501" s="112">
        <f t="shared" si="50"/>
        <v>3.8551515151515149E-2</v>
      </c>
      <c r="O501" s="113">
        <v>77.569999999999993</v>
      </c>
      <c r="P501" s="114">
        <v>303.93</v>
      </c>
      <c r="Q501" s="115">
        <v>0.46</v>
      </c>
      <c r="R501" s="115">
        <v>0.46100000000000002</v>
      </c>
      <c r="S501" s="110">
        <f t="shared" si="51"/>
        <v>371.72876111898933</v>
      </c>
      <c r="T501" s="110">
        <f t="shared" si="52"/>
        <v>62684.782608695648</v>
      </c>
      <c r="U501" s="116">
        <f t="shared" si="53"/>
        <v>1.4390445961592206</v>
      </c>
      <c r="V501" s="115">
        <v>66</v>
      </c>
      <c r="W501" s="115">
        <f t="shared" si="54"/>
        <v>66000</v>
      </c>
      <c r="X501" s="115">
        <f t="shared" si="55"/>
        <v>1000</v>
      </c>
      <c r="Y501" s="117" t="s">
        <v>1638</v>
      </c>
      <c r="Z501" s="108" t="s">
        <v>35</v>
      </c>
      <c r="AA501" s="108" t="s">
        <v>35</v>
      </c>
      <c r="AB501" s="108" t="s">
        <v>1639</v>
      </c>
      <c r="AC501" s="108">
        <v>0</v>
      </c>
      <c r="AD501" s="108">
        <v>1</v>
      </c>
      <c r="AE501" s="108" t="s">
        <v>37</v>
      </c>
      <c r="AF501" s="108" t="s">
        <v>43</v>
      </c>
      <c r="AG501" s="108" t="s">
        <v>38</v>
      </c>
      <c r="AH501" s="108" t="s">
        <v>92</v>
      </c>
    </row>
    <row r="502" spans="1:34" x14ac:dyDescent="0.3">
      <c r="A502" s="118" t="s">
        <v>1563</v>
      </c>
      <c r="B502" s="119" t="s">
        <v>1564</v>
      </c>
      <c r="C502" s="119" t="s">
        <v>1565</v>
      </c>
      <c r="D502" s="120">
        <v>45100</v>
      </c>
      <c r="E502" s="121">
        <v>140000</v>
      </c>
      <c r="F502" s="119" t="s">
        <v>32</v>
      </c>
      <c r="G502" s="119" t="s">
        <v>33</v>
      </c>
      <c r="H502" s="121">
        <v>140000</v>
      </c>
      <c r="I502" s="121">
        <v>64200</v>
      </c>
      <c r="J502" s="122">
        <f t="shared" si="49"/>
        <v>45.857142857142854</v>
      </c>
      <c r="K502" s="121">
        <v>170484</v>
      </c>
      <c r="L502" s="121">
        <f>H502-155954</f>
        <v>-15954</v>
      </c>
      <c r="M502" s="121">
        <v>14530</v>
      </c>
      <c r="N502" s="123">
        <f t="shared" si="50"/>
        <v>0.10378571428571429</v>
      </c>
      <c r="O502" s="124">
        <v>94.35</v>
      </c>
      <c r="P502" s="125">
        <v>200</v>
      </c>
      <c r="Q502" s="126">
        <v>0.433</v>
      </c>
      <c r="R502" s="126">
        <v>0.433</v>
      </c>
      <c r="S502" s="121">
        <f t="shared" si="51"/>
        <v>-169.09379968203498</v>
      </c>
      <c r="T502" s="121">
        <f t="shared" si="52"/>
        <v>-36845.265588914554</v>
      </c>
      <c r="U502" s="127">
        <f t="shared" si="53"/>
        <v>-0.84585090883642222</v>
      </c>
      <c r="V502" s="126">
        <v>94.47</v>
      </c>
      <c r="W502" s="126">
        <f t="shared" si="54"/>
        <v>28000</v>
      </c>
      <c r="X502" s="126">
        <f t="shared" si="55"/>
        <v>296.39038848311634</v>
      </c>
      <c r="Y502" s="128" t="s">
        <v>1562</v>
      </c>
      <c r="Z502" s="119" t="s">
        <v>35</v>
      </c>
      <c r="AA502" s="119" t="s">
        <v>35</v>
      </c>
      <c r="AB502" s="119" t="s">
        <v>1563</v>
      </c>
      <c r="AC502" s="119">
        <v>0</v>
      </c>
      <c r="AD502" s="119">
        <v>0</v>
      </c>
      <c r="AE502" s="119" t="s">
        <v>42</v>
      </c>
      <c r="AF502" s="119" t="s">
        <v>43</v>
      </c>
      <c r="AG502" s="119" t="s">
        <v>38</v>
      </c>
      <c r="AH502" s="119" t="s">
        <v>92</v>
      </c>
    </row>
    <row r="503" spans="1:34" x14ac:dyDescent="0.3">
      <c r="A503" s="107" t="s">
        <v>1563</v>
      </c>
      <c r="B503" s="108" t="s">
        <v>1568</v>
      </c>
      <c r="C503" s="108" t="s">
        <v>1569</v>
      </c>
      <c r="D503" s="109">
        <v>45182</v>
      </c>
      <c r="E503" s="110">
        <v>229000</v>
      </c>
      <c r="F503" s="108" t="s">
        <v>32</v>
      </c>
      <c r="G503" s="108" t="s">
        <v>33</v>
      </c>
      <c r="H503" s="110">
        <v>229000</v>
      </c>
      <c r="I503" s="110">
        <v>85200</v>
      </c>
      <c r="J503" s="111">
        <f t="shared" si="49"/>
        <v>37.20524017467249</v>
      </c>
      <c r="K503" s="110">
        <v>231359</v>
      </c>
      <c r="L503" s="110">
        <f>H503-215959</f>
        <v>13041</v>
      </c>
      <c r="M503" s="110">
        <v>15400</v>
      </c>
      <c r="N503" s="112">
        <f t="shared" si="50"/>
        <v>6.724890829694323E-2</v>
      </c>
      <c r="O503" s="113">
        <v>100</v>
      </c>
      <c r="P503" s="114">
        <v>200</v>
      </c>
      <c r="Q503" s="115">
        <v>0.45900000000000002</v>
      </c>
      <c r="R503" s="115">
        <v>0.45900000000000002</v>
      </c>
      <c r="S503" s="110">
        <f t="shared" si="51"/>
        <v>130.41</v>
      </c>
      <c r="T503" s="110">
        <f t="shared" si="52"/>
        <v>28411.764705882353</v>
      </c>
      <c r="U503" s="116">
        <f t="shared" si="53"/>
        <v>0.65224436882190895</v>
      </c>
      <c r="V503" s="115">
        <v>100</v>
      </c>
      <c r="W503" s="115">
        <f t="shared" si="54"/>
        <v>45800</v>
      </c>
      <c r="X503" s="115">
        <f t="shared" si="55"/>
        <v>458</v>
      </c>
      <c r="Y503" s="117" t="s">
        <v>1562</v>
      </c>
      <c r="Z503" s="108" t="s">
        <v>35</v>
      </c>
      <c r="AA503" s="108" t="s">
        <v>35</v>
      </c>
      <c r="AB503" s="108" t="s">
        <v>1563</v>
      </c>
      <c r="AC503" s="108">
        <v>0</v>
      </c>
      <c r="AD503" s="108">
        <v>0</v>
      </c>
      <c r="AE503" s="108" t="s">
        <v>42</v>
      </c>
      <c r="AF503" s="108" t="s">
        <v>43</v>
      </c>
      <c r="AG503" s="108" t="s">
        <v>38</v>
      </c>
      <c r="AH503" s="108" t="s">
        <v>92</v>
      </c>
    </row>
    <row r="504" spans="1:34" x14ac:dyDescent="0.3">
      <c r="A504" s="118" t="s">
        <v>1563</v>
      </c>
      <c r="B504" s="119" t="s">
        <v>1570</v>
      </c>
      <c r="C504" s="119" t="s">
        <v>1571</v>
      </c>
      <c r="D504" s="120">
        <v>45399</v>
      </c>
      <c r="E504" s="121">
        <v>115000</v>
      </c>
      <c r="F504" s="119" t="s">
        <v>32</v>
      </c>
      <c r="G504" s="119" t="s">
        <v>33</v>
      </c>
      <c r="H504" s="121">
        <v>115000</v>
      </c>
      <c r="I504" s="121">
        <v>51300</v>
      </c>
      <c r="J504" s="122">
        <f t="shared" si="49"/>
        <v>44.608695652173914</v>
      </c>
      <c r="K504" s="121">
        <v>114401</v>
      </c>
      <c r="L504" s="121">
        <f>H504-106701</f>
        <v>8299</v>
      </c>
      <c r="M504" s="121">
        <v>7700</v>
      </c>
      <c r="N504" s="123">
        <f t="shared" si="50"/>
        <v>6.6956521739130428E-2</v>
      </c>
      <c r="O504" s="124">
        <v>50</v>
      </c>
      <c r="P504" s="125">
        <v>200</v>
      </c>
      <c r="Q504" s="126">
        <v>0.23</v>
      </c>
      <c r="R504" s="126">
        <v>0.23</v>
      </c>
      <c r="S504" s="121">
        <f t="shared" si="51"/>
        <v>165.98</v>
      </c>
      <c r="T504" s="121">
        <f t="shared" si="52"/>
        <v>36082.608695652176</v>
      </c>
      <c r="U504" s="127">
        <f t="shared" si="53"/>
        <v>0.82834271569449436</v>
      </c>
      <c r="V504" s="126">
        <v>50</v>
      </c>
      <c r="W504" s="126">
        <f t="shared" si="54"/>
        <v>23000</v>
      </c>
      <c r="X504" s="126">
        <f t="shared" si="55"/>
        <v>460</v>
      </c>
      <c r="Y504" s="128" t="s">
        <v>1562</v>
      </c>
      <c r="Z504" s="119" t="s">
        <v>35</v>
      </c>
      <c r="AA504" s="119" t="s">
        <v>35</v>
      </c>
      <c r="AB504" s="119" t="s">
        <v>1563</v>
      </c>
      <c r="AC504" s="119">
        <v>0</v>
      </c>
      <c r="AD504" s="119">
        <v>0</v>
      </c>
      <c r="AE504" s="119" t="s">
        <v>37</v>
      </c>
      <c r="AF504" s="119" t="s">
        <v>43</v>
      </c>
      <c r="AG504" s="119" t="s">
        <v>38</v>
      </c>
      <c r="AH504" s="119" t="s">
        <v>92</v>
      </c>
    </row>
    <row r="505" spans="1:34" x14ac:dyDescent="0.3">
      <c r="A505" s="107" t="s">
        <v>1563</v>
      </c>
      <c r="B505" s="108" t="s">
        <v>1566</v>
      </c>
      <c r="C505" s="108" t="s">
        <v>1567</v>
      </c>
      <c r="D505" s="109">
        <v>45510</v>
      </c>
      <c r="E505" s="110">
        <v>130500</v>
      </c>
      <c r="F505" s="108" t="s">
        <v>32</v>
      </c>
      <c r="G505" s="108" t="s">
        <v>33</v>
      </c>
      <c r="H505" s="110">
        <v>130500</v>
      </c>
      <c r="I505" s="110">
        <v>43500</v>
      </c>
      <c r="J505" s="111">
        <f t="shared" si="49"/>
        <v>33.333333333333329</v>
      </c>
      <c r="K505" s="110">
        <v>97720</v>
      </c>
      <c r="L505" s="110">
        <f>H505-90020</f>
        <v>40480</v>
      </c>
      <c r="M505" s="110">
        <v>7700</v>
      </c>
      <c r="N505" s="112">
        <f t="shared" si="50"/>
        <v>5.9003831417624518E-2</v>
      </c>
      <c r="O505" s="113">
        <v>50</v>
      </c>
      <c r="P505" s="114">
        <v>200</v>
      </c>
      <c r="Q505" s="115">
        <v>0.23</v>
      </c>
      <c r="R505" s="115">
        <v>0.23</v>
      </c>
      <c r="S505" s="110">
        <f t="shared" si="51"/>
        <v>809.6</v>
      </c>
      <c r="T505" s="110">
        <f t="shared" si="52"/>
        <v>176000</v>
      </c>
      <c r="U505" s="116">
        <f t="shared" si="53"/>
        <v>4.0404040404040407</v>
      </c>
      <c r="V505" s="115">
        <v>50</v>
      </c>
      <c r="W505" s="115">
        <f t="shared" si="54"/>
        <v>26100</v>
      </c>
      <c r="X505" s="115">
        <f t="shared" si="55"/>
        <v>522</v>
      </c>
      <c r="Y505" s="117" t="s">
        <v>1562</v>
      </c>
      <c r="Z505" s="108" t="s">
        <v>35</v>
      </c>
      <c r="AA505" s="108" t="s">
        <v>35</v>
      </c>
      <c r="AB505" s="108" t="s">
        <v>1563</v>
      </c>
      <c r="AC505" s="108">
        <v>0</v>
      </c>
      <c r="AD505" s="108">
        <v>0</v>
      </c>
      <c r="AE505" s="108" t="s">
        <v>42</v>
      </c>
      <c r="AF505" s="108" t="s">
        <v>43</v>
      </c>
      <c r="AG505" s="108" t="s">
        <v>38</v>
      </c>
      <c r="AH505" s="108" t="s">
        <v>92</v>
      </c>
    </row>
    <row r="506" spans="1:34" x14ac:dyDescent="0.3">
      <c r="A506" s="118" t="s">
        <v>1563</v>
      </c>
      <c r="B506" s="119" t="s">
        <v>1560</v>
      </c>
      <c r="C506" s="119" t="s">
        <v>1561</v>
      </c>
      <c r="D506" s="120">
        <v>45483</v>
      </c>
      <c r="E506" s="121">
        <v>165000</v>
      </c>
      <c r="F506" s="119" t="s">
        <v>32</v>
      </c>
      <c r="G506" s="119" t="s">
        <v>33</v>
      </c>
      <c r="H506" s="121">
        <v>165000</v>
      </c>
      <c r="I506" s="121">
        <v>70100</v>
      </c>
      <c r="J506" s="122">
        <f t="shared" si="49"/>
        <v>42.484848484848484</v>
      </c>
      <c r="K506" s="121">
        <v>149948</v>
      </c>
      <c r="L506" s="121">
        <f>H506-143280</f>
        <v>21720</v>
      </c>
      <c r="M506" s="121">
        <v>6668</v>
      </c>
      <c r="N506" s="123">
        <f t="shared" si="50"/>
        <v>4.0412121212121212E-2</v>
      </c>
      <c r="O506" s="124">
        <v>43.3</v>
      </c>
      <c r="P506" s="125">
        <v>150</v>
      </c>
      <c r="Q506" s="126">
        <v>0.17199999999999999</v>
      </c>
      <c r="R506" s="126">
        <v>0.17199999999999999</v>
      </c>
      <c r="S506" s="121">
        <f t="shared" si="51"/>
        <v>501.61662817551968</v>
      </c>
      <c r="T506" s="121">
        <f t="shared" si="52"/>
        <v>126279.06976744188</v>
      </c>
      <c r="U506" s="127">
        <f t="shared" si="53"/>
        <v>2.8989685437888402</v>
      </c>
      <c r="V506" s="126">
        <v>50</v>
      </c>
      <c r="W506" s="126">
        <f t="shared" si="54"/>
        <v>33000</v>
      </c>
      <c r="X506" s="126">
        <f t="shared" si="55"/>
        <v>660</v>
      </c>
      <c r="Y506" s="128" t="s">
        <v>1562</v>
      </c>
      <c r="Z506" s="119" t="s">
        <v>35</v>
      </c>
      <c r="AA506" s="119" t="s">
        <v>35</v>
      </c>
      <c r="AB506" s="119" t="s">
        <v>1563</v>
      </c>
      <c r="AC506" s="119">
        <v>0</v>
      </c>
      <c r="AD506" s="119">
        <v>0</v>
      </c>
      <c r="AE506" s="119" t="s">
        <v>37</v>
      </c>
      <c r="AF506" s="119" t="s">
        <v>43</v>
      </c>
      <c r="AG506" s="119" t="s">
        <v>38</v>
      </c>
      <c r="AH506" s="119" t="s">
        <v>92</v>
      </c>
    </row>
    <row r="507" spans="1:34" x14ac:dyDescent="0.3">
      <c r="A507" s="118" t="s">
        <v>1563</v>
      </c>
      <c r="B507" s="119" t="s">
        <v>1572</v>
      </c>
      <c r="C507" s="119" t="s">
        <v>1573</v>
      </c>
      <c r="D507" s="120">
        <v>45296</v>
      </c>
      <c r="E507" s="121">
        <v>180000</v>
      </c>
      <c r="F507" s="119" t="s">
        <v>32</v>
      </c>
      <c r="G507" s="119" t="s">
        <v>33</v>
      </c>
      <c r="H507" s="121">
        <v>180000</v>
      </c>
      <c r="I507" s="121">
        <v>62900</v>
      </c>
      <c r="J507" s="122">
        <f t="shared" si="49"/>
        <v>34.944444444444443</v>
      </c>
      <c r="K507" s="121">
        <v>169113</v>
      </c>
      <c r="L507" s="121">
        <f>H507-161413</f>
        <v>18587</v>
      </c>
      <c r="M507" s="121">
        <v>7700</v>
      </c>
      <c r="N507" s="123">
        <f t="shared" si="50"/>
        <v>4.2777777777777776E-2</v>
      </c>
      <c r="O507" s="124">
        <v>50</v>
      </c>
      <c r="P507" s="125">
        <v>200</v>
      </c>
      <c r="Q507" s="126">
        <v>0.23</v>
      </c>
      <c r="R507" s="126">
        <v>0.23</v>
      </c>
      <c r="S507" s="121">
        <f t="shared" si="51"/>
        <v>371.74</v>
      </c>
      <c r="T507" s="121">
        <f t="shared" si="52"/>
        <v>80813.043478260865</v>
      </c>
      <c r="U507" s="127">
        <f t="shared" si="53"/>
        <v>1.8552122010620034</v>
      </c>
      <c r="V507" s="126">
        <v>50</v>
      </c>
      <c r="W507" s="126">
        <f t="shared" si="54"/>
        <v>36000</v>
      </c>
      <c r="X507" s="126">
        <f t="shared" si="55"/>
        <v>720</v>
      </c>
      <c r="Y507" s="128" t="s">
        <v>1562</v>
      </c>
      <c r="Z507" s="119" t="s">
        <v>35</v>
      </c>
      <c r="AA507" s="119" t="s">
        <v>35</v>
      </c>
      <c r="AB507" s="119" t="s">
        <v>1563</v>
      </c>
      <c r="AC507" s="119">
        <v>0</v>
      </c>
      <c r="AD507" s="119">
        <v>0</v>
      </c>
      <c r="AE507" s="119" t="s">
        <v>42</v>
      </c>
      <c r="AF507" s="119" t="s">
        <v>43</v>
      </c>
      <c r="AG507" s="119" t="s">
        <v>38</v>
      </c>
      <c r="AH507" s="119" t="s">
        <v>92</v>
      </c>
    </row>
    <row r="508" spans="1:34" x14ac:dyDescent="0.3">
      <c r="A508" s="118" t="s">
        <v>1555</v>
      </c>
      <c r="B508" s="119" t="s">
        <v>1552</v>
      </c>
      <c r="C508" s="119" t="s">
        <v>1553</v>
      </c>
      <c r="D508" s="120">
        <v>45590</v>
      </c>
      <c r="E508" s="121">
        <v>225500</v>
      </c>
      <c r="F508" s="119" t="s">
        <v>32</v>
      </c>
      <c r="G508" s="119" t="s">
        <v>33</v>
      </c>
      <c r="H508" s="121">
        <v>225500</v>
      </c>
      <c r="I508" s="121">
        <v>97200</v>
      </c>
      <c r="J508" s="122">
        <f t="shared" si="49"/>
        <v>43.104212860310419</v>
      </c>
      <c r="K508" s="121">
        <v>228515</v>
      </c>
      <c r="L508" s="121">
        <f>H508-215643</f>
        <v>9857</v>
      </c>
      <c r="M508" s="121">
        <v>12872</v>
      </c>
      <c r="N508" s="123">
        <f t="shared" si="50"/>
        <v>5.7082039911308204E-2</v>
      </c>
      <c r="O508" s="124">
        <v>66</v>
      </c>
      <c r="P508" s="125">
        <v>300.07</v>
      </c>
      <c r="Q508" s="126">
        <v>0.45500000000000002</v>
      </c>
      <c r="R508" s="126">
        <v>0.45500000000000002</v>
      </c>
      <c r="S508" s="121">
        <f t="shared" si="51"/>
        <v>149.34848484848484</v>
      </c>
      <c r="T508" s="121">
        <f t="shared" si="52"/>
        <v>21663.736263736264</v>
      </c>
      <c r="U508" s="127">
        <f t="shared" si="53"/>
        <v>0.49733095187640641</v>
      </c>
      <c r="V508" s="126">
        <v>66</v>
      </c>
      <c r="W508" s="126">
        <f t="shared" si="54"/>
        <v>45100</v>
      </c>
      <c r="X508" s="126">
        <f t="shared" si="55"/>
        <v>683.33333333333337</v>
      </c>
      <c r="Y508" s="128" t="s">
        <v>1554</v>
      </c>
      <c r="Z508" s="119" t="s">
        <v>35</v>
      </c>
      <c r="AA508" s="119" t="s">
        <v>35</v>
      </c>
      <c r="AB508" s="119" t="s">
        <v>1555</v>
      </c>
      <c r="AC508" s="119">
        <v>0</v>
      </c>
      <c r="AD508" s="119">
        <v>0</v>
      </c>
      <c r="AE508" s="119" t="s">
        <v>42</v>
      </c>
      <c r="AF508" s="119" t="s">
        <v>35</v>
      </c>
      <c r="AG508" s="119" t="s">
        <v>38</v>
      </c>
      <c r="AH508" s="119" t="s">
        <v>92</v>
      </c>
    </row>
    <row r="509" spans="1:34" x14ac:dyDescent="0.3">
      <c r="A509" s="107" t="s">
        <v>1555</v>
      </c>
      <c r="B509" s="108" t="s">
        <v>1754</v>
      </c>
      <c r="C509" s="108" t="s">
        <v>1755</v>
      </c>
      <c r="D509" s="109">
        <v>45744</v>
      </c>
      <c r="E509" s="110">
        <v>235000</v>
      </c>
      <c r="F509" s="108" t="s">
        <v>32</v>
      </c>
      <c r="G509" s="108" t="s">
        <v>33</v>
      </c>
      <c r="H509" s="110">
        <v>235000</v>
      </c>
      <c r="I509" s="110">
        <v>79000</v>
      </c>
      <c r="J509" s="111">
        <f t="shared" si="49"/>
        <v>33.617021276595743</v>
      </c>
      <c r="K509" s="110">
        <v>198038</v>
      </c>
      <c r="L509" s="110">
        <f>H509-189148</f>
        <v>45852</v>
      </c>
      <c r="M509" s="110">
        <v>8890</v>
      </c>
      <c r="N509" s="112">
        <f t="shared" si="50"/>
        <v>3.7829787234042553E-2</v>
      </c>
      <c r="O509" s="113">
        <v>45.58</v>
      </c>
      <c r="P509" s="114">
        <v>249.46</v>
      </c>
      <c r="Q509" s="115">
        <v>0.28599999999999998</v>
      </c>
      <c r="R509" s="115">
        <v>0.28599999999999998</v>
      </c>
      <c r="S509" s="110">
        <f t="shared" si="51"/>
        <v>1005.9675296182537</v>
      </c>
      <c r="T509" s="110">
        <f t="shared" si="52"/>
        <v>160321.67832167834</v>
      </c>
      <c r="U509" s="116">
        <f t="shared" si="53"/>
        <v>3.6804793003140115</v>
      </c>
      <c r="V509" s="115">
        <v>50</v>
      </c>
      <c r="W509" s="115">
        <f t="shared" si="54"/>
        <v>47000</v>
      </c>
      <c r="X509" s="115">
        <f t="shared" si="55"/>
        <v>940</v>
      </c>
      <c r="Y509" s="117" t="s">
        <v>1554</v>
      </c>
      <c r="Z509" s="108" t="s">
        <v>35</v>
      </c>
      <c r="AA509" s="108" t="s">
        <v>35</v>
      </c>
      <c r="AB509" s="108" t="s">
        <v>1555</v>
      </c>
      <c r="AC509" s="108">
        <v>0</v>
      </c>
      <c r="AD509" s="108">
        <v>1</v>
      </c>
      <c r="AE509" s="108" t="s">
        <v>37</v>
      </c>
      <c r="AF509" s="108" t="s">
        <v>35</v>
      </c>
      <c r="AG509" s="108" t="s">
        <v>38</v>
      </c>
      <c r="AH509" s="108" t="s">
        <v>92</v>
      </c>
    </row>
    <row r="510" spans="1:34" x14ac:dyDescent="0.3">
      <c r="A510" s="107" t="s">
        <v>1759</v>
      </c>
      <c r="B510" s="108" t="s">
        <v>1762</v>
      </c>
      <c r="C510" s="108" t="s">
        <v>1763</v>
      </c>
      <c r="D510" s="109">
        <v>45196</v>
      </c>
      <c r="E510" s="110">
        <v>218000</v>
      </c>
      <c r="F510" s="108" t="s">
        <v>32</v>
      </c>
      <c r="G510" s="108" t="s">
        <v>33</v>
      </c>
      <c r="H510" s="110">
        <v>218000</v>
      </c>
      <c r="I510" s="110">
        <v>68700</v>
      </c>
      <c r="J510" s="111">
        <f t="shared" si="49"/>
        <v>31.513761467889907</v>
      </c>
      <c r="K510" s="110">
        <v>157574</v>
      </c>
      <c r="L510" s="110">
        <f>H510-142064</f>
        <v>75936</v>
      </c>
      <c r="M510" s="110">
        <v>15510</v>
      </c>
      <c r="N510" s="112">
        <f t="shared" si="50"/>
        <v>7.1146788990825688E-2</v>
      </c>
      <c r="O510" s="113">
        <v>119.3</v>
      </c>
      <c r="P510" s="114">
        <v>128.5</v>
      </c>
      <c r="Q510" s="115">
        <v>0.35399999999999998</v>
      </c>
      <c r="R510" s="115">
        <v>0.35399999999999998</v>
      </c>
      <c r="S510" s="110">
        <f t="shared" si="51"/>
        <v>636.5129924559933</v>
      </c>
      <c r="T510" s="110">
        <f t="shared" si="52"/>
        <v>214508.4745762712</v>
      </c>
      <c r="U510" s="116">
        <f t="shared" si="53"/>
        <v>4.9244369737435996</v>
      </c>
      <c r="V510" s="115">
        <v>120</v>
      </c>
      <c r="W510" s="115">
        <f t="shared" si="54"/>
        <v>43600</v>
      </c>
      <c r="X510" s="115">
        <f t="shared" si="55"/>
        <v>363.33333333333331</v>
      </c>
      <c r="Y510" s="117" t="s">
        <v>1758</v>
      </c>
      <c r="Z510" s="108" t="s">
        <v>35</v>
      </c>
      <c r="AA510" s="108" t="s">
        <v>35</v>
      </c>
      <c r="AB510" s="108" t="s">
        <v>1759</v>
      </c>
      <c r="AC510" s="108">
        <v>0</v>
      </c>
      <c r="AD510" s="108">
        <v>0</v>
      </c>
      <c r="AE510" s="108" t="s">
        <v>1764</v>
      </c>
      <c r="AF510" s="108" t="s">
        <v>43</v>
      </c>
      <c r="AG510" s="108" t="s">
        <v>38</v>
      </c>
      <c r="AH510" s="108" t="s">
        <v>92</v>
      </c>
    </row>
    <row r="511" spans="1:34" x14ac:dyDescent="0.3">
      <c r="A511" s="118" t="s">
        <v>1759</v>
      </c>
      <c r="B511" s="119" t="s">
        <v>1769</v>
      </c>
      <c r="C511" s="119" t="s">
        <v>1770</v>
      </c>
      <c r="D511" s="120">
        <v>45191</v>
      </c>
      <c r="E511" s="121">
        <v>140000</v>
      </c>
      <c r="F511" s="119" t="s">
        <v>32</v>
      </c>
      <c r="G511" s="119" t="s">
        <v>33</v>
      </c>
      <c r="H511" s="121">
        <v>140000</v>
      </c>
      <c r="I511" s="121">
        <v>75400</v>
      </c>
      <c r="J511" s="122">
        <f t="shared" si="49"/>
        <v>53.857142857142861</v>
      </c>
      <c r="K511" s="121">
        <v>174524</v>
      </c>
      <c r="L511" s="121">
        <f>H511-167353</f>
        <v>-27353</v>
      </c>
      <c r="M511" s="121">
        <v>7171</v>
      </c>
      <c r="N511" s="123">
        <f t="shared" si="50"/>
        <v>5.1221428571428571E-2</v>
      </c>
      <c r="O511" s="124">
        <v>55.16</v>
      </c>
      <c r="P511" s="125">
        <v>117.43</v>
      </c>
      <c r="Q511" s="126">
        <v>0.157</v>
      </c>
      <c r="R511" s="126">
        <v>0.157</v>
      </c>
      <c r="S511" s="121">
        <f t="shared" si="51"/>
        <v>-495.88469905728795</v>
      </c>
      <c r="T511" s="121">
        <f t="shared" si="52"/>
        <v>-174222.92993630574</v>
      </c>
      <c r="U511" s="127">
        <f t="shared" si="53"/>
        <v>-3.9996081252595439</v>
      </c>
      <c r="V511" s="126">
        <v>57.73</v>
      </c>
      <c r="W511" s="126">
        <f t="shared" si="54"/>
        <v>28000</v>
      </c>
      <c r="X511" s="126">
        <f t="shared" si="55"/>
        <v>485.01645591546861</v>
      </c>
      <c r="Y511" s="128" t="s">
        <v>1767</v>
      </c>
      <c r="Z511" s="119" t="s">
        <v>35</v>
      </c>
      <c r="AA511" s="119" t="s">
        <v>35</v>
      </c>
      <c r="AB511" s="119" t="s">
        <v>1759</v>
      </c>
      <c r="AC511" s="119">
        <v>0</v>
      </c>
      <c r="AD511" s="119">
        <v>1</v>
      </c>
      <c r="AE511" s="119" t="s">
        <v>42</v>
      </c>
      <c r="AF511" s="119" t="s">
        <v>43</v>
      </c>
      <c r="AG511" s="119" t="s">
        <v>38</v>
      </c>
      <c r="AH511" s="119" t="s">
        <v>92</v>
      </c>
    </row>
    <row r="512" spans="1:34" x14ac:dyDescent="0.3">
      <c r="A512" s="118" t="s">
        <v>1759</v>
      </c>
      <c r="B512" s="119" t="s">
        <v>1756</v>
      </c>
      <c r="C512" s="119" t="s">
        <v>1757</v>
      </c>
      <c r="D512" s="120">
        <v>45412</v>
      </c>
      <c r="E512" s="121">
        <v>120000</v>
      </c>
      <c r="F512" s="119" t="s">
        <v>32</v>
      </c>
      <c r="G512" s="119" t="s">
        <v>33</v>
      </c>
      <c r="H512" s="121">
        <v>120000</v>
      </c>
      <c r="I512" s="121">
        <v>46400</v>
      </c>
      <c r="J512" s="122">
        <f t="shared" si="49"/>
        <v>38.666666666666664</v>
      </c>
      <c r="K512" s="121">
        <v>107659</v>
      </c>
      <c r="L512" s="121">
        <f>H512-102209</f>
        <v>17791</v>
      </c>
      <c r="M512" s="121">
        <v>5450</v>
      </c>
      <c r="N512" s="123">
        <f t="shared" si="50"/>
        <v>4.5416666666666668E-2</v>
      </c>
      <c r="O512" s="124">
        <v>41.92</v>
      </c>
      <c r="P512" s="125">
        <v>103.01</v>
      </c>
      <c r="Q512" s="126">
        <v>0.111</v>
      </c>
      <c r="R512" s="126">
        <v>0.111</v>
      </c>
      <c r="S512" s="121">
        <f t="shared" si="51"/>
        <v>424.40362595419845</v>
      </c>
      <c r="T512" s="121">
        <f t="shared" si="52"/>
        <v>160279.27927927929</v>
      </c>
      <c r="U512" s="127">
        <f t="shared" si="53"/>
        <v>3.6795059522332254</v>
      </c>
      <c r="V512" s="126">
        <v>47.1</v>
      </c>
      <c r="W512" s="126">
        <f t="shared" si="54"/>
        <v>24000</v>
      </c>
      <c r="X512" s="126">
        <f t="shared" si="55"/>
        <v>509.55414012738851</v>
      </c>
      <c r="Y512" s="128" t="s">
        <v>1758</v>
      </c>
      <c r="Z512" s="119" t="s">
        <v>35</v>
      </c>
      <c r="AA512" s="119" t="s">
        <v>35</v>
      </c>
      <c r="AB512" s="119" t="s">
        <v>1759</v>
      </c>
      <c r="AC512" s="119">
        <v>0</v>
      </c>
      <c r="AD512" s="119">
        <v>1</v>
      </c>
      <c r="AE512" s="119" t="s">
        <v>37</v>
      </c>
      <c r="AF512" s="119" t="s">
        <v>43</v>
      </c>
      <c r="AG512" s="119" t="s">
        <v>38</v>
      </c>
      <c r="AH512" s="119" t="s">
        <v>92</v>
      </c>
    </row>
    <row r="513" spans="1:34" x14ac:dyDescent="0.3">
      <c r="A513" s="118" t="s">
        <v>1759</v>
      </c>
      <c r="B513" s="119" t="s">
        <v>1760</v>
      </c>
      <c r="C513" s="119" t="s">
        <v>1761</v>
      </c>
      <c r="D513" s="120">
        <v>45547</v>
      </c>
      <c r="E513" s="121">
        <v>160300</v>
      </c>
      <c r="F513" s="119" t="s">
        <v>32</v>
      </c>
      <c r="G513" s="119" t="s">
        <v>33</v>
      </c>
      <c r="H513" s="121">
        <v>160300</v>
      </c>
      <c r="I513" s="121">
        <v>47400</v>
      </c>
      <c r="J513" s="122">
        <f t="shared" si="49"/>
        <v>29.569557080474112</v>
      </c>
      <c r="K513" s="121">
        <v>109898</v>
      </c>
      <c r="L513" s="121">
        <f>H513-101949</f>
        <v>58351</v>
      </c>
      <c r="M513" s="121">
        <v>7949</v>
      </c>
      <c r="N513" s="123">
        <f t="shared" si="50"/>
        <v>4.9588271990018716E-2</v>
      </c>
      <c r="O513" s="124">
        <v>61.14</v>
      </c>
      <c r="P513" s="125">
        <v>135</v>
      </c>
      <c r="Q513" s="126">
        <v>0.186</v>
      </c>
      <c r="R513" s="126">
        <v>0.186</v>
      </c>
      <c r="S513" s="121">
        <f t="shared" si="51"/>
        <v>954.38338240104679</v>
      </c>
      <c r="T513" s="121">
        <f t="shared" si="52"/>
        <v>313715.05376344087</v>
      </c>
      <c r="U513" s="127">
        <f t="shared" si="53"/>
        <v>7.20190665205328</v>
      </c>
      <c r="V513" s="126">
        <v>60</v>
      </c>
      <c r="W513" s="126">
        <f t="shared" si="54"/>
        <v>32060</v>
      </c>
      <c r="X513" s="126">
        <f t="shared" si="55"/>
        <v>534.33333333333337</v>
      </c>
      <c r="Y513" s="128" t="s">
        <v>1758</v>
      </c>
      <c r="Z513" s="119" t="s">
        <v>35</v>
      </c>
      <c r="AA513" s="119" t="s">
        <v>35</v>
      </c>
      <c r="AB513" s="119" t="s">
        <v>1759</v>
      </c>
      <c r="AC513" s="119">
        <v>0</v>
      </c>
      <c r="AD513" s="119">
        <v>1</v>
      </c>
      <c r="AE513" s="119" t="s">
        <v>37</v>
      </c>
      <c r="AF513" s="119" t="s">
        <v>43</v>
      </c>
      <c r="AG513" s="119" t="s">
        <v>38</v>
      </c>
      <c r="AH513" s="119" t="s">
        <v>92</v>
      </c>
    </row>
    <row r="514" spans="1:34" x14ac:dyDescent="0.3">
      <c r="A514" s="107" t="s">
        <v>1759</v>
      </c>
      <c r="B514" s="108" t="s">
        <v>1765</v>
      </c>
      <c r="C514" s="108" t="s">
        <v>1766</v>
      </c>
      <c r="D514" s="109">
        <v>45044</v>
      </c>
      <c r="E514" s="110">
        <v>230000</v>
      </c>
      <c r="F514" s="108" t="s">
        <v>32</v>
      </c>
      <c r="G514" s="108" t="s">
        <v>33</v>
      </c>
      <c r="H514" s="110">
        <v>230000</v>
      </c>
      <c r="I514" s="110">
        <v>107300</v>
      </c>
      <c r="J514" s="111">
        <f t="shared" ref="J514:J577" si="56">I514/H514*100</f>
        <v>46.652173913043477</v>
      </c>
      <c r="K514" s="110">
        <v>254229</v>
      </c>
      <c r="L514" s="110">
        <f>H514-247173</f>
        <v>-17173</v>
      </c>
      <c r="M514" s="110">
        <v>7056</v>
      </c>
      <c r="N514" s="112">
        <f t="shared" ref="N514:N577" si="57">M514/E514</f>
        <v>3.0678260869565217E-2</v>
      </c>
      <c r="O514" s="113">
        <v>54.27</v>
      </c>
      <c r="P514" s="114">
        <v>117.88</v>
      </c>
      <c r="Q514" s="115">
        <v>0.154</v>
      </c>
      <c r="R514" s="115">
        <v>0.154</v>
      </c>
      <c r="S514" s="110">
        <f t="shared" ref="S514:S577" si="58">L514/O514</f>
        <v>-316.43633683434678</v>
      </c>
      <c r="T514" s="110">
        <f t="shared" ref="T514:T577" si="59">L514/Q514</f>
        <v>-111512.98701298701</v>
      </c>
      <c r="U514" s="116">
        <f t="shared" ref="U514:U577" si="60">L514/Q514/43560</f>
        <v>-2.5599859277545227</v>
      </c>
      <c r="V514" s="115">
        <v>57</v>
      </c>
      <c r="W514" s="115">
        <f t="shared" ref="W514:W577" si="61">0.2*E514</f>
        <v>46000</v>
      </c>
      <c r="X514" s="115">
        <f t="shared" ref="X514:X516" si="62">W514/V514</f>
        <v>807.01754385964909</v>
      </c>
      <c r="Y514" s="117" t="s">
        <v>1767</v>
      </c>
      <c r="Z514" s="108" t="s">
        <v>35</v>
      </c>
      <c r="AA514" s="108" t="s">
        <v>35</v>
      </c>
      <c r="AB514" s="108" t="s">
        <v>1759</v>
      </c>
      <c r="AC514" s="108">
        <v>0</v>
      </c>
      <c r="AD514" s="108">
        <v>1</v>
      </c>
      <c r="AE514" s="108" t="s">
        <v>1768</v>
      </c>
      <c r="AF514" s="108" t="s">
        <v>43</v>
      </c>
      <c r="AG514" s="108" t="s">
        <v>38</v>
      </c>
      <c r="AH514" s="108" t="s">
        <v>92</v>
      </c>
    </row>
    <row r="515" spans="1:34" x14ac:dyDescent="0.3">
      <c r="A515" s="118" t="s">
        <v>1773</v>
      </c>
      <c r="B515" s="119" t="s">
        <v>1939</v>
      </c>
      <c r="C515" s="119" t="s">
        <v>1940</v>
      </c>
      <c r="D515" s="120">
        <v>45148</v>
      </c>
      <c r="E515" s="121">
        <v>139900</v>
      </c>
      <c r="F515" s="119" t="s">
        <v>32</v>
      </c>
      <c r="G515" s="119" t="s">
        <v>33</v>
      </c>
      <c r="H515" s="121">
        <v>139900</v>
      </c>
      <c r="I515" s="121">
        <v>36200</v>
      </c>
      <c r="J515" s="122">
        <f t="shared" si="56"/>
        <v>25.875625446747673</v>
      </c>
      <c r="K515" s="121">
        <v>108312</v>
      </c>
      <c r="L515" s="121">
        <f>H515-96111</f>
        <v>43789</v>
      </c>
      <c r="M515" s="121">
        <v>12201</v>
      </c>
      <c r="N515" s="123">
        <f t="shared" si="57"/>
        <v>8.7212294496068626E-2</v>
      </c>
      <c r="O515" s="124">
        <v>39.229999999999997</v>
      </c>
      <c r="P515" s="125">
        <v>290</v>
      </c>
      <c r="Q515" s="126">
        <v>0.36599999999999999</v>
      </c>
      <c r="R515" s="126">
        <v>0.36599999999999999</v>
      </c>
      <c r="S515" s="121">
        <f t="shared" si="58"/>
        <v>1116.2120825898548</v>
      </c>
      <c r="T515" s="121">
        <f t="shared" si="59"/>
        <v>119642.07650273225</v>
      </c>
      <c r="U515" s="127">
        <f t="shared" si="60"/>
        <v>2.7466041437725495</v>
      </c>
      <c r="V515" s="126">
        <v>55</v>
      </c>
      <c r="W515" s="126">
        <f t="shared" si="61"/>
        <v>27980</v>
      </c>
      <c r="X515" s="126">
        <f t="shared" si="62"/>
        <v>508.72727272727275</v>
      </c>
      <c r="Y515" s="128" t="s">
        <v>1941</v>
      </c>
      <c r="Z515" s="119" t="s">
        <v>35</v>
      </c>
      <c r="AA515" s="119" t="s">
        <v>35</v>
      </c>
      <c r="AB515" s="119" t="s">
        <v>1773</v>
      </c>
      <c r="AC515" s="119">
        <v>0</v>
      </c>
      <c r="AD515" s="119">
        <v>1</v>
      </c>
      <c r="AE515" s="119" t="s">
        <v>205</v>
      </c>
      <c r="AF515" s="119" t="s">
        <v>43</v>
      </c>
      <c r="AG515" s="119" t="s">
        <v>38</v>
      </c>
      <c r="AH515" s="119" t="s">
        <v>92</v>
      </c>
    </row>
    <row r="516" spans="1:34" x14ac:dyDescent="0.3">
      <c r="A516" s="118" t="s">
        <v>1773</v>
      </c>
      <c r="B516" s="119" t="s">
        <v>1771</v>
      </c>
      <c r="C516" s="119" t="s">
        <v>1772</v>
      </c>
      <c r="D516" s="120">
        <v>45036</v>
      </c>
      <c r="E516" s="121">
        <v>312500</v>
      </c>
      <c r="F516" s="119" t="s">
        <v>32</v>
      </c>
      <c r="G516" s="119" t="s">
        <v>33</v>
      </c>
      <c r="H516" s="121">
        <v>312500</v>
      </c>
      <c r="I516" s="121">
        <v>145500</v>
      </c>
      <c r="J516" s="122">
        <f t="shared" si="56"/>
        <v>46.56</v>
      </c>
      <c r="K516" s="121">
        <v>328399</v>
      </c>
      <c r="L516" s="121">
        <f>H516-313389</f>
        <v>-889</v>
      </c>
      <c r="M516" s="121">
        <v>15010</v>
      </c>
      <c r="N516" s="123">
        <f t="shared" si="57"/>
        <v>4.8031999999999998E-2</v>
      </c>
      <c r="O516" s="124">
        <v>48.26</v>
      </c>
      <c r="P516" s="125">
        <v>125</v>
      </c>
      <c r="Q516" s="126">
        <v>0.29599999999999999</v>
      </c>
      <c r="R516" s="126">
        <v>0.29599999999999999</v>
      </c>
      <c r="S516" s="121">
        <f t="shared" si="58"/>
        <v>-18.421052631578949</v>
      </c>
      <c r="T516" s="121">
        <f t="shared" si="59"/>
        <v>-3003.3783783783783</v>
      </c>
      <c r="U516" s="127">
        <f t="shared" si="60"/>
        <v>-6.8948080311716675E-2</v>
      </c>
      <c r="V516" s="126">
        <v>103.05</v>
      </c>
      <c r="W516" s="126">
        <f t="shared" si="61"/>
        <v>62500</v>
      </c>
      <c r="X516" s="126">
        <f t="shared" si="62"/>
        <v>606.50169820475503</v>
      </c>
      <c r="Y516" s="128" t="s">
        <v>1758</v>
      </c>
      <c r="Z516" s="119" t="s">
        <v>35</v>
      </c>
      <c r="AA516" s="119" t="s">
        <v>35</v>
      </c>
      <c r="AB516" s="119" t="s">
        <v>1773</v>
      </c>
      <c r="AC516" s="119">
        <v>0</v>
      </c>
      <c r="AD516" s="119">
        <v>0</v>
      </c>
      <c r="AE516" s="119" t="s">
        <v>37</v>
      </c>
      <c r="AF516" s="119" t="s">
        <v>43</v>
      </c>
      <c r="AG516" s="119" t="s">
        <v>38</v>
      </c>
      <c r="AH516" s="119" t="s">
        <v>92</v>
      </c>
    </row>
    <row r="517" spans="1:34" x14ac:dyDescent="0.3">
      <c r="A517" s="118" t="s">
        <v>1773</v>
      </c>
      <c r="B517" s="119" t="s">
        <v>2000</v>
      </c>
      <c r="C517" s="119" t="s">
        <v>2001</v>
      </c>
      <c r="D517" s="120">
        <v>45188</v>
      </c>
      <c r="E517" s="121">
        <v>285000</v>
      </c>
      <c r="F517" s="119" t="s">
        <v>81</v>
      </c>
      <c r="G517" s="119" t="s">
        <v>33</v>
      </c>
      <c r="H517" s="121">
        <v>285000</v>
      </c>
      <c r="I517" s="121">
        <v>61700</v>
      </c>
      <c r="J517" s="122">
        <f t="shared" si="56"/>
        <v>21.649122807017545</v>
      </c>
      <c r="K517" s="121">
        <v>179784</v>
      </c>
      <c r="L517" s="121">
        <f>H517-160784</f>
        <v>124216</v>
      </c>
      <c r="M517" s="121">
        <v>19000</v>
      </c>
      <c r="N517" s="123">
        <f t="shared" si="57"/>
        <v>6.6666666666666666E-2</v>
      </c>
      <c r="O517" s="124">
        <v>0</v>
      </c>
      <c r="P517" s="125">
        <v>0</v>
      </c>
      <c r="Q517" s="126">
        <v>0.95</v>
      </c>
      <c r="R517" s="126">
        <v>0.95</v>
      </c>
      <c r="S517" s="121" t="e">
        <f t="shared" si="58"/>
        <v>#DIV/0!</v>
      </c>
      <c r="T517" s="121">
        <f t="shared" si="59"/>
        <v>130753.68421052632</v>
      </c>
      <c r="U517" s="127">
        <f t="shared" si="60"/>
        <v>3.00169155671548</v>
      </c>
      <c r="V517" s="126">
        <v>0</v>
      </c>
      <c r="W517" s="126">
        <f t="shared" si="61"/>
        <v>57000</v>
      </c>
      <c r="X517" s="126"/>
      <c r="Y517" s="128" t="s">
        <v>1941</v>
      </c>
      <c r="Z517" s="119" t="s">
        <v>35</v>
      </c>
      <c r="AA517" s="119" t="s">
        <v>35</v>
      </c>
      <c r="AB517" s="119" t="s">
        <v>1773</v>
      </c>
      <c r="AC517" s="119">
        <v>0</v>
      </c>
      <c r="AD517" s="119">
        <v>1</v>
      </c>
      <c r="AE517" s="119" t="s">
        <v>37</v>
      </c>
      <c r="AF517" s="119" t="s">
        <v>43</v>
      </c>
      <c r="AG517" s="119" t="s">
        <v>38</v>
      </c>
      <c r="AH517" s="119"/>
    </row>
    <row r="518" spans="1:34" x14ac:dyDescent="0.3">
      <c r="A518" s="118" t="s">
        <v>1773</v>
      </c>
      <c r="B518" s="119" t="s">
        <v>2012</v>
      </c>
      <c r="C518" s="119" t="s">
        <v>2013</v>
      </c>
      <c r="D518" s="120">
        <v>45653</v>
      </c>
      <c r="E518" s="121">
        <v>200000</v>
      </c>
      <c r="F518" s="119" t="s">
        <v>32</v>
      </c>
      <c r="G518" s="119" t="s">
        <v>33</v>
      </c>
      <c r="H518" s="121">
        <v>200000</v>
      </c>
      <c r="I518" s="121">
        <v>53400</v>
      </c>
      <c r="J518" s="122">
        <f t="shared" si="56"/>
        <v>26.700000000000003</v>
      </c>
      <c r="K518" s="121">
        <v>113651</v>
      </c>
      <c r="L518" s="121">
        <f>H518-96051</f>
        <v>103949</v>
      </c>
      <c r="M518" s="121">
        <v>17600</v>
      </c>
      <c r="N518" s="123">
        <f t="shared" si="57"/>
        <v>8.7999999999999995E-2</v>
      </c>
      <c r="O518" s="124">
        <v>0</v>
      </c>
      <c r="P518" s="125">
        <v>0</v>
      </c>
      <c r="Q518" s="126">
        <v>0.88</v>
      </c>
      <c r="R518" s="126">
        <v>0.88</v>
      </c>
      <c r="S518" s="121" t="e">
        <f t="shared" si="58"/>
        <v>#DIV/0!</v>
      </c>
      <c r="T518" s="121">
        <f t="shared" si="59"/>
        <v>118123.86363636363</v>
      </c>
      <c r="U518" s="127">
        <f t="shared" si="60"/>
        <v>2.7117507721846565</v>
      </c>
      <c r="V518" s="126">
        <v>0</v>
      </c>
      <c r="W518" s="126">
        <f t="shared" si="61"/>
        <v>40000</v>
      </c>
      <c r="X518" s="126"/>
      <c r="Y518" s="128" t="s">
        <v>1941</v>
      </c>
      <c r="Z518" s="119" t="s">
        <v>35</v>
      </c>
      <c r="AA518" s="119" t="s">
        <v>35</v>
      </c>
      <c r="AB518" s="119" t="s">
        <v>1773</v>
      </c>
      <c r="AC518" s="119">
        <v>0</v>
      </c>
      <c r="AD518" s="119">
        <v>1</v>
      </c>
      <c r="AE518" s="119" t="s">
        <v>42</v>
      </c>
      <c r="AF518" s="119" t="s">
        <v>35</v>
      </c>
      <c r="AG518" s="119" t="s">
        <v>38</v>
      </c>
      <c r="AH518" s="119"/>
    </row>
    <row r="519" spans="1:34" x14ac:dyDescent="0.3">
      <c r="A519" s="118" t="s">
        <v>1773</v>
      </c>
      <c r="B519" s="119" t="s">
        <v>2010</v>
      </c>
      <c r="C519" s="119" t="s">
        <v>2011</v>
      </c>
      <c r="D519" s="120">
        <v>45106</v>
      </c>
      <c r="E519" s="121">
        <v>150000</v>
      </c>
      <c r="F519" s="119" t="s">
        <v>32</v>
      </c>
      <c r="G519" s="119" t="s">
        <v>33</v>
      </c>
      <c r="H519" s="121">
        <v>150000</v>
      </c>
      <c r="I519" s="121">
        <v>36000</v>
      </c>
      <c r="J519" s="122">
        <f t="shared" si="56"/>
        <v>24</v>
      </c>
      <c r="K519" s="121">
        <v>101302</v>
      </c>
      <c r="L519" s="121">
        <f>H519-83702</f>
        <v>66298</v>
      </c>
      <c r="M519" s="121">
        <v>17600</v>
      </c>
      <c r="N519" s="123">
        <f t="shared" si="57"/>
        <v>0.11733333333333333</v>
      </c>
      <c r="O519" s="124">
        <v>0</v>
      </c>
      <c r="P519" s="125">
        <v>0</v>
      </c>
      <c r="Q519" s="126">
        <v>0.88</v>
      </c>
      <c r="R519" s="126">
        <v>0.88</v>
      </c>
      <c r="S519" s="121" t="e">
        <f t="shared" si="58"/>
        <v>#DIV/0!</v>
      </c>
      <c r="T519" s="121">
        <f t="shared" si="59"/>
        <v>75338.636363636368</v>
      </c>
      <c r="U519" s="127">
        <f t="shared" si="60"/>
        <v>1.7295371066032224</v>
      </c>
      <c r="V519" s="126">
        <v>0</v>
      </c>
      <c r="W519" s="126">
        <f t="shared" si="61"/>
        <v>30000</v>
      </c>
      <c r="X519" s="126"/>
      <c r="Y519" s="128" t="s">
        <v>1941</v>
      </c>
      <c r="Z519" s="119" t="s">
        <v>35</v>
      </c>
      <c r="AA519" s="119" t="s">
        <v>35</v>
      </c>
      <c r="AB519" s="119" t="s">
        <v>1773</v>
      </c>
      <c r="AC519" s="119">
        <v>0</v>
      </c>
      <c r="AD519" s="119">
        <v>1</v>
      </c>
      <c r="AE519" s="119" t="s">
        <v>42</v>
      </c>
      <c r="AF519" s="119" t="s">
        <v>43</v>
      </c>
      <c r="AG519" s="119" t="s">
        <v>38</v>
      </c>
      <c r="AH519" s="119"/>
    </row>
    <row r="520" spans="1:34" x14ac:dyDescent="0.3">
      <c r="A520" s="107" t="s">
        <v>1773</v>
      </c>
      <c r="B520" s="108" t="s">
        <v>2008</v>
      </c>
      <c r="C520" s="108" t="s">
        <v>2009</v>
      </c>
      <c r="D520" s="109">
        <v>45578</v>
      </c>
      <c r="E520" s="110">
        <v>160000</v>
      </c>
      <c r="F520" s="108" t="s">
        <v>81</v>
      </c>
      <c r="G520" s="108" t="s">
        <v>33</v>
      </c>
      <c r="H520" s="110">
        <v>160000</v>
      </c>
      <c r="I520" s="110">
        <v>31400</v>
      </c>
      <c r="J520" s="111">
        <f t="shared" si="56"/>
        <v>19.625</v>
      </c>
      <c r="K520" s="110">
        <v>63026</v>
      </c>
      <c r="L520" s="110">
        <f>H520-41026</f>
        <v>118974</v>
      </c>
      <c r="M520" s="110">
        <v>22000</v>
      </c>
      <c r="N520" s="112">
        <f t="shared" si="57"/>
        <v>0.13750000000000001</v>
      </c>
      <c r="O520" s="113">
        <v>0</v>
      </c>
      <c r="P520" s="114">
        <v>0</v>
      </c>
      <c r="Q520" s="115">
        <v>1.1000000000000001</v>
      </c>
      <c r="R520" s="115">
        <v>1.1000000000000001</v>
      </c>
      <c r="S520" s="110" t="e">
        <f t="shared" si="58"/>
        <v>#DIV/0!</v>
      </c>
      <c r="T520" s="110">
        <f t="shared" si="59"/>
        <v>108158.18181818181</v>
      </c>
      <c r="U520" s="116">
        <f t="shared" si="60"/>
        <v>2.4829701978462309</v>
      </c>
      <c r="V520" s="115">
        <v>0</v>
      </c>
      <c r="W520" s="115">
        <f t="shared" si="61"/>
        <v>32000</v>
      </c>
      <c r="X520" s="115"/>
      <c r="Y520" s="117" t="s">
        <v>1941</v>
      </c>
      <c r="Z520" s="108" t="s">
        <v>35</v>
      </c>
      <c r="AA520" s="108" t="s">
        <v>35</v>
      </c>
      <c r="AB520" s="108" t="s">
        <v>1773</v>
      </c>
      <c r="AC520" s="108">
        <v>0</v>
      </c>
      <c r="AD520" s="108">
        <v>0</v>
      </c>
      <c r="AE520" s="108" t="s">
        <v>42</v>
      </c>
      <c r="AF520" s="108" t="s">
        <v>35</v>
      </c>
      <c r="AG520" s="108" t="s">
        <v>38</v>
      </c>
      <c r="AH520" s="108"/>
    </row>
    <row r="521" spans="1:34" x14ac:dyDescent="0.3">
      <c r="A521" s="107" t="s">
        <v>1773</v>
      </c>
      <c r="B521" s="108" t="s">
        <v>1998</v>
      </c>
      <c r="C521" s="108" t="s">
        <v>1999</v>
      </c>
      <c r="D521" s="109">
        <v>45177</v>
      </c>
      <c r="E521" s="110">
        <v>240000</v>
      </c>
      <c r="F521" s="108" t="s">
        <v>32</v>
      </c>
      <c r="G521" s="108" t="s">
        <v>33</v>
      </c>
      <c r="H521" s="110">
        <v>240000</v>
      </c>
      <c r="I521" s="110">
        <v>69800</v>
      </c>
      <c r="J521" s="111">
        <f t="shared" si="56"/>
        <v>29.083333333333332</v>
      </c>
      <c r="K521" s="110">
        <v>188691</v>
      </c>
      <c r="L521" s="110">
        <f>H521-148691</f>
        <v>91309</v>
      </c>
      <c r="M521" s="110">
        <v>40000</v>
      </c>
      <c r="N521" s="112">
        <f t="shared" si="57"/>
        <v>0.16666666666666666</v>
      </c>
      <c r="O521" s="113">
        <v>0</v>
      </c>
      <c r="P521" s="114">
        <v>0</v>
      </c>
      <c r="Q521" s="115">
        <v>2</v>
      </c>
      <c r="R521" s="115">
        <v>2</v>
      </c>
      <c r="S521" s="110" t="e">
        <f t="shared" si="58"/>
        <v>#DIV/0!</v>
      </c>
      <c r="T521" s="110">
        <f t="shared" si="59"/>
        <v>45654.5</v>
      </c>
      <c r="U521" s="116">
        <f t="shared" si="60"/>
        <v>1.0480831037649219</v>
      </c>
      <c r="V521" s="115">
        <v>0</v>
      </c>
      <c r="W521" s="115">
        <f t="shared" si="61"/>
        <v>48000</v>
      </c>
      <c r="X521" s="115"/>
      <c r="Y521" s="117" t="s">
        <v>1941</v>
      </c>
      <c r="Z521" s="108" t="s">
        <v>35</v>
      </c>
      <c r="AA521" s="108" t="s">
        <v>35</v>
      </c>
      <c r="AB521" s="108" t="s">
        <v>1773</v>
      </c>
      <c r="AC521" s="108">
        <v>0</v>
      </c>
      <c r="AD521" s="108">
        <v>1</v>
      </c>
      <c r="AE521" s="108" t="s">
        <v>42</v>
      </c>
      <c r="AF521" s="108" t="s">
        <v>43</v>
      </c>
      <c r="AG521" s="108" t="s">
        <v>38</v>
      </c>
      <c r="AH521" s="108"/>
    </row>
    <row r="522" spans="1:34" x14ac:dyDescent="0.3">
      <c r="A522" s="107" t="s">
        <v>1773</v>
      </c>
      <c r="B522" s="108" t="s">
        <v>2008</v>
      </c>
      <c r="C522" s="108" t="s">
        <v>2009</v>
      </c>
      <c r="D522" s="109">
        <v>45578</v>
      </c>
      <c r="E522" s="110">
        <v>100000</v>
      </c>
      <c r="F522" s="108" t="s">
        <v>32</v>
      </c>
      <c r="G522" s="108" t="s">
        <v>33</v>
      </c>
      <c r="H522" s="110">
        <v>100000</v>
      </c>
      <c r="I522" s="110">
        <v>31400</v>
      </c>
      <c r="J522" s="111">
        <f t="shared" si="56"/>
        <v>31.4</v>
      </c>
      <c r="K522" s="110">
        <v>63026</v>
      </c>
      <c r="L522" s="110">
        <f>H522-41026</f>
        <v>58974</v>
      </c>
      <c r="M522" s="110">
        <v>22000</v>
      </c>
      <c r="N522" s="112">
        <f t="shared" si="57"/>
        <v>0.22</v>
      </c>
      <c r="O522" s="113">
        <v>0</v>
      </c>
      <c r="P522" s="114">
        <v>0</v>
      </c>
      <c r="Q522" s="115">
        <v>1.1000000000000001</v>
      </c>
      <c r="R522" s="115">
        <v>1.1000000000000001</v>
      </c>
      <c r="S522" s="110" t="e">
        <f t="shared" si="58"/>
        <v>#DIV/0!</v>
      </c>
      <c r="T522" s="110">
        <f t="shared" si="59"/>
        <v>53612.727272727265</v>
      </c>
      <c r="U522" s="116">
        <f t="shared" si="60"/>
        <v>1.2307788630102678</v>
      </c>
      <c r="V522" s="115">
        <v>0</v>
      </c>
      <c r="W522" s="115">
        <f t="shared" si="61"/>
        <v>20000</v>
      </c>
      <c r="X522" s="115"/>
      <c r="Y522" s="117" t="s">
        <v>1941</v>
      </c>
      <c r="Z522" s="108" t="s">
        <v>35</v>
      </c>
      <c r="AA522" s="108" t="s">
        <v>35</v>
      </c>
      <c r="AB522" s="108" t="s">
        <v>1773</v>
      </c>
      <c r="AC522" s="108">
        <v>0</v>
      </c>
      <c r="AD522" s="108">
        <v>0</v>
      </c>
      <c r="AE522" s="108" t="s">
        <v>42</v>
      </c>
      <c r="AF522" s="108" t="s">
        <v>35</v>
      </c>
      <c r="AG522" s="108" t="s">
        <v>38</v>
      </c>
      <c r="AH522" s="108"/>
    </row>
    <row r="523" spans="1:34" x14ac:dyDescent="0.3">
      <c r="A523" s="107" t="s">
        <v>1773</v>
      </c>
      <c r="B523" s="108" t="s">
        <v>1996</v>
      </c>
      <c r="C523" s="108" t="s">
        <v>1997</v>
      </c>
      <c r="D523" s="109">
        <v>45660</v>
      </c>
      <c r="E523" s="110">
        <v>190000</v>
      </c>
      <c r="F523" s="108" t="s">
        <v>32</v>
      </c>
      <c r="G523" s="108" t="s">
        <v>33</v>
      </c>
      <c r="H523" s="110">
        <v>190000</v>
      </c>
      <c r="I523" s="110">
        <v>112100</v>
      </c>
      <c r="J523" s="111">
        <f t="shared" si="56"/>
        <v>59</v>
      </c>
      <c r="K523" s="110">
        <v>179400</v>
      </c>
      <c r="L523" s="110">
        <f>H523-0</f>
        <v>190000</v>
      </c>
      <c r="M523" s="110">
        <v>179400</v>
      </c>
      <c r="N523" s="112">
        <f t="shared" si="57"/>
        <v>0.9442105263157895</v>
      </c>
      <c r="O523" s="113">
        <v>0</v>
      </c>
      <c r="P523" s="114">
        <v>0</v>
      </c>
      <c r="Q523" s="115">
        <v>8.9700000000000006</v>
      </c>
      <c r="R523" s="115">
        <v>8.9700000000000006</v>
      </c>
      <c r="S523" s="110" t="e">
        <f t="shared" si="58"/>
        <v>#DIV/0!</v>
      </c>
      <c r="T523" s="110">
        <f t="shared" si="59"/>
        <v>21181.716833890747</v>
      </c>
      <c r="U523" s="116">
        <f t="shared" si="60"/>
        <v>0.48626530839969573</v>
      </c>
      <c r="V523" s="115">
        <v>0</v>
      </c>
      <c r="W523" s="115">
        <f t="shared" si="61"/>
        <v>38000</v>
      </c>
      <c r="X523" s="115"/>
      <c r="Y523" s="117" t="s">
        <v>1941</v>
      </c>
      <c r="Z523" s="108" t="s">
        <v>35</v>
      </c>
      <c r="AA523" s="108" t="s">
        <v>35</v>
      </c>
      <c r="AB523" s="108" t="s">
        <v>1773</v>
      </c>
      <c r="AC523" s="108">
        <v>0</v>
      </c>
      <c r="AD523" s="108">
        <v>1</v>
      </c>
      <c r="AE523" s="108" t="s">
        <v>37</v>
      </c>
      <c r="AF523" s="108" t="s">
        <v>35</v>
      </c>
      <c r="AG523" s="108" t="s">
        <v>61</v>
      </c>
      <c r="AH523" s="108"/>
    </row>
    <row r="524" spans="1:34" x14ac:dyDescent="0.3">
      <c r="A524" s="107" t="s">
        <v>1776</v>
      </c>
      <c r="B524" s="108" t="s">
        <v>1791</v>
      </c>
      <c r="C524" s="108" t="s">
        <v>1792</v>
      </c>
      <c r="D524" s="109">
        <v>45565</v>
      </c>
      <c r="E524" s="110">
        <v>235000</v>
      </c>
      <c r="F524" s="108" t="s">
        <v>32</v>
      </c>
      <c r="G524" s="108" t="s">
        <v>33</v>
      </c>
      <c r="H524" s="110">
        <v>235000</v>
      </c>
      <c r="I524" s="110">
        <v>122300</v>
      </c>
      <c r="J524" s="111">
        <f t="shared" si="56"/>
        <v>52.042553191489361</v>
      </c>
      <c r="K524" s="110">
        <v>248780</v>
      </c>
      <c r="L524" s="110">
        <f>H524-230363</f>
        <v>4637</v>
      </c>
      <c r="M524" s="110">
        <v>18417</v>
      </c>
      <c r="N524" s="112">
        <f t="shared" si="57"/>
        <v>7.8370212765957445E-2</v>
      </c>
      <c r="O524" s="113">
        <v>108.33</v>
      </c>
      <c r="P524" s="114">
        <v>104.56</v>
      </c>
      <c r="Q524" s="115">
        <v>0.28599999999999998</v>
      </c>
      <c r="R524" s="115">
        <v>0.28599999999999998</v>
      </c>
      <c r="S524" s="110">
        <f t="shared" si="58"/>
        <v>42.804393981353272</v>
      </c>
      <c r="T524" s="110">
        <f t="shared" si="59"/>
        <v>16213.286713286714</v>
      </c>
      <c r="U524" s="116">
        <f t="shared" si="60"/>
        <v>0.37220584741245899</v>
      </c>
      <c r="V524" s="115">
        <v>110.14</v>
      </c>
      <c r="W524" s="115">
        <f t="shared" si="61"/>
        <v>47000</v>
      </c>
      <c r="X524" s="115">
        <f t="shared" ref="X524:X587" si="63">W524/V524</f>
        <v>426.72961685128018</v>
      </c>
      <c r="Y524" s="117" t="s">
        <v>1767</v>
      </c>
      <c r="Z524" s="108" t="s">
        <v>35</v>
      </c>
      <c r="AA524" s="108" t="s">
        <v>35</v>
      </c>
      <c r="AB524" s="108" t="s">
        <v>1776</v>
      </c>
      <c r="AC524" s="108">
        <v>0</v>
      </c>
      <c r="AD524" s="108">
        <v>1</v>
      </c>
      <c r="AE524" s="108" t="s">
        <v>42</v>
      </c>
      <c r="AF524" s="108" t="s">
        <v>43</v>
      </c>
      <c r="AG524" s="108" t="s">
        <v>38</v>
      </c>
      <c r="AH524" s="108" t="s">
        <v>92</v>
      </c>
    </row>
    <row r="525" spans="1:34" x14ac:dyDescent="0.3">
      <c r="A525" s="107" t="s">
        <v>1776</v>
      </c>
      <c r="B525" s="108" t="s">
        <v>1774</v>
      </c>
      <c r="C525" s="108" t="s">
        <v>1775</v>
      </c>
      <c r="D525" s="109">
        <v>45103</v>
      </c>
      <c r="E525" s="110">
        <v>145700</v>
      </c>
      <c r="F525" s="108" t="s">
        <v>32</v>
      </c>
      <c r="G525" s="108" t="s">
        <v>33</v>
      </c>
      <c r="H525" s="110">
        <v>145700</v>
      </c>
      <c r="I525" s="110">
        <v>77900</v>
      </c>
      <c r="J525" s="111">
        <f t="shared" si="56"/>
        <v>53.466026080988328</v>
      </c>
      <c r="K525" s="110">
        <v>183939</v>
      </c>
      <c r="L525" s="110">
        <f>H525-173482</f>
        <v>-27782</v>
      </c>
      <c r="M525" s="110">
        <v>10457</v>
      </c>
      <c r="N525" s="112">
        <f t="shared" si="57"/>
        <v>7.1770761839396013E-2</v>
      </c>
      <c r="O525" s="113">
        <v>61.51</v>
      </c>
      <c r="P525" s="114">
        <v>120</v>
      </c>
      <c r="Q525" s="115">
        <v>0.16900000000000001</v>
      </c>
      <c r="R525" s="115">
        <v>0.16900000000000001</v>
      </c>
      <c r="S525" s="110">
        <f t="shared" si="58"/>
        <v>-451.66639570801499</v>
      </c>
      <c r="T525" s="110">
        <f t="shared" si="59"/>
        <v>-164390.53254437869</v>
      </c>
      <c r="U525" s="116">
        <f t="shared" si="60"/>
        <v>-3.7738873403209063</v>
      </c>
      <c r="V525" s="115">
        <v>61.82</v>
      </c>
      <c r="W525" s="115">
        <f t="shared" si="61"/>
        <v>29140</v>
      </c>
      <c r="X525" s="115">
        <f t="shared" si="63"/>
        <v>471.36848916208345</v>
      </c>
      <c r="Y525" s="117" t="s">
        <v>1767</v>
      </c>
      <c r="Z525" s="108" t="s">
        <v>35</v>
      </c>
      <c r="AA525" s="108" t="s">
        <v>35</v>
      </c>
      <c r="AB525" s="108" t="s">
        <v>1776</v>
      </c>
      <c r="AC525" s="108">
        <v>0</v>
      </c>
      <c r="AD525" s="108">
        <v>1</v>
      </c>
      <c r="AE525" s="108" t="s">
        <v>42</v>
      </c>
      <c r="AF525" s="108" t="s">
        <v>43</v>
      </c>
      <c r="AG525" s="108" t="s">
        <v>38</v>
      </c>
      <c r="AH525" s="108" t="s">
        <v>92</v>
      </c>
    </row>
    <row r="526" spans="1:34" x14ac:dyDescent="0.3">
      <c r="A526" s="107" t="s">
        <v>1776</v>
      </c>
      <c r="B526" s="108" t="s">
        <v>1813</v>
      </c>
      <c r="C526" s="108" t="s">
        <v>1814</v>
      </c>
      <c r="D526" s="109">
        <v>45567</v>
      </c>
      <c r="E526" s="110">
        <v>160000</v>
      </c>
      <c r="F526" s="108" t="s">
        <v>32</v>
      </c>
      <c r="G526" s="108" t="s">
        <v>33</v>
      </c>
      <c r="H526" s="110">
        <v>160000</v>
      </c>
      <c r="I526" s="110">
        <v>120800</v>
      </c>
      <c r="J526" s="111">
        <f t="shared" si="56"/>
        <v>75.5</v>
      </c>
      <c r="K526" s="110">
        <v>246736</v>
      </c>
      <c r="L526" s="110">
        <f>H526-235677</f>
        <v>-75677</v>
      </c>
      <c r="M526" s="110">
        <v>11059</v>
      </c>
      <c r="N526" s="112">
        <f t="shared" si="57"/>
        <v>6.9118750000000007E-2</v>
      </c>
      <c r="O526" s="113">
        <v>65.05</v>
      </c>
      <c r="P526" s="114">
        <v>130</v>
      </c>
      <c r="Q526" s="115">
        <v>0.187</v>
      </c>
      <c r="R526" s="115">
        <v>0.187</v>
      </c>
      <c r="S526" s="110">
        <f t="shared" si="58"/>
        <v>-1163.3666410453498</v>
      </c>
      <c r="T526" s="110">
        <f t="shared" si="59"/>
        <v>-404689.83957219252</v>
      </c>
      <c r="U526" s="116">
        <f t="shared" si="60"/>
        <v>-9.29040035748835</v>
      </c>
      <c r="V526" s="115">
        <v>62.5</v>
      </c>
      <c r="W526" s="115">
        <f t="shared" si="61"/>
        <v>32000</v>
      </c>
      <c r="X526" s="115">
        <f t="shared" si="63"/>
        <v>512</v>
      </c>
      <c r="Y526" s="117" t="s">
        <v>1767</v>
      </c>
      <c r="Z526" s="108" t="s">
        <v>35</v>
      </c>
      <c r="AA526" s="108" t="s">
        <v>35</v>
      </c>
      <c r="AB526" s="108" t="s">
        <v>1776</v>
      </c>
      <c r="AC526" s="108">
        <v>0</v>
      </c>
      <c r="AD526" s="108">
        <v>1</v>
      </c>
      <c r="AE526" s="108" t="s">
        <v>37</v>
      </c>
      <c r="AF526" s="108" t="s">
        <v>35</v>
      </c>
      <c r="AG526" s="108" t="s">
        <v>38</v>
      </c>
      <c r="AH526" s="108" t="s">
        <v>92</v>
      </c>
    </row>
    <row r="527" spans="1:34" x14ac:dyDescent="0.3">
      <c r="A527" s="107" t="s">
        <v>1776</v>
      </c>
      <c r="B527" s="108" t="s">
        <v>1774</v>
      </c>
      <c r="C527" s="108" t="s">
        <v>1775</v>
      </c>
      <c r="D527" s="109">
        <v>45279</v>
      </c>
      <c r="E527" s="110">
        <v>173500</v>
      </c>
      <c r="F527" s="108" t="s">
        <v>32</v>
      </c>
      <c r="G527" s="108" t="s">
        <v>33</v>
      </c>
      <c r="H527" s="110">
        <v>173500</v>
      </c>
      <c r="I527" s="110">
        <v>77900</v>
      </c>
      <c r="J527" s="111">
        <f t="shared" si="56"/>
        <v>44.899135446685875</v>
      </c>
      <c r="K527" s="110">
        <v>183939</v>
      </c>
      <c r="L527" s="110">
        <f>H527-173482</f>
        <v>18</v>
      </c>
      <c r="M527" s="110">
        <v>10457</v>
      </c>
      <c r="N527" s="112">
        <f t="shared" si="57"/>
        <v>6.0270893371757922E-2</v>
      </c>
      <c r="O527" s="113">
        <v>61.51</v>
      </c>
      <c r="P527" s="114">
        <v>120</v>
      </c>
      <c r="Q527" s="115">
        <v>0.16900000000000001</v>
      </c>
      <c r="R527" s="115">
        <v>0.16900000000000001</v>
      </c>
      <c r="S527" s="110">
        <f t="shared" si="58"/>
        <v>0.29263534384652901</v>
      </c>
      <c r="T527" s="110">
        <f t="shared" si="59"/>
        <v>106.50887573964496</v>
      </c>
      <c r="U527" s="116">
        <f t="shared" si="60"/>
        <v>2.4451073402122353E-3</v>
      </c>
      <c r="V527" s="115">
        <v>61.82</v>
      </c>
      <c r="W527" s="115">
        <f t="shared" si="61"/>
        <v>34700</v>
      </c>
      <c r="X527" s="115">
        <f t="shared" si="63"/>
        <v>561.30702038175343</v>
      </c>
      <c r="Y527" s="117" t="s">
        <v>1767</v>
      </c>
      <c r="Z527" s="108" t="s">
        <v>35</v>
      </c>
      <c r="AA527" s="108" t="s">
        <v>35</v>
      </c>
      <c r="AB527" s="108" t="s">
        <v>1776</v>
      </c>
      <c r="AC527" s="108">
        <v>0</v>
      </c>
      <c r="AD527" s="108">
        <v>1</v>
      </c>
      <c r="AE527" s="108" t="s">
        <v>42</v>
      </c>
      <c r="AF527" s="108" t="s">
        <v>43</v>
      </c>
      <c r="AG527" s="108" t="s">
        <v>38</v>
      </c>
      <c r="AH527" s="108" t="s">
        <v>92</v>
      </c>
    </row>
    <row r="528" spans="1:34" x14ac:dyDescent="0.3">
      <c r="A528" s="107" t="s">
        <v>1776</v>
      </c>
      <c r="B528" s="108" t="s">
        <v>1807</v>
      </c>
      <c r="C528" s="108" t="s">
        <v>1808</v>
      </c>
      <c r="D528" s="109">
        <v>45449</v>
      </c>
      <c r="E528" s="110">
        <v>265000</v>
      </c>
      <c r="F528" s="108" t="s">
        <v>32</v>
      </c>
      <c r="G528" s="108" t="s">
        <v>33</v>
      </c>
      <c r="H528" s="110">
        <v>265000</v>
      </c>
      <c r="I528" s="110">
        <v>113300</v>
      </c>
      <c r="J528" s="111">
        <f t="shared" si="56"/>
        <v>42.754716981132077</v>
      </c>
      <c r="K528" s="110">
        <v>232195</v>
      </c>
      <c r="L528" s="110">
        <f>H528-217809</f>
        <v>47191</v>
      </c>
      <c r="M528" s="110">
        <v>14386</v>
      </c>
      <c r="N528" s="112">
        <f t="shared" si="57"/>
        <v>5.428679245283019E-2</v>
      </c>
      <c r="O528" s="113">
        <v>84.62</v>
      </c>
      <c r="P528" s="114">
        <v>121.8</v>
      </c>
      <c r="Q528" s="115">
        <v>0.221</v>
      </c>
      <c r="R528" s="115">
        <v>0.221</v>
      </c>
      <c r="S528" s="110">
        <f t="shared" si="58"/>
        <v>557.68139919640748</v>
      </c>
      <c r="T528" s="110">
        <f t="shared" si="59"/>
        <v>213533.9366515837</v>
      </c>
      <c r="U528" s="116">
        <f t="shared" si="60"/>
        <v>4.9020646614229504</v>
      </c>
      <c r="V528" s="115">
        <v>93.56</v>
      </c>
      <c r="W528" s="115">
        <f t="shared" si="61"/>
        <v>53000</v>
      </c>
      <c r="X528" s="115">
        <f t="shared" si="63"/>
        <v>566.48140230867887</v>
      </c>
      <c r="Y528" s="117" t="s">
        <v>1767</v>
      </c>
      <c r="Z528" s="108" t="s">
        <v>35</v>
      </c>
      <c r="AA528" s="108" t="s">
        <v>35</v>
      </c>
      <c r="AB528" s="108" t="s">
        <v>1776</v>
      </c>
      <c r="AC528" s="108">
        <v>0</v>
      </c>
      <c r="AD528" s="108">
        <v>1</v>
      </c>
      <c r="AE528" s="108" t="s">
        <v>42</v>
      </c>
      <c r="AF528" s="108" t="s">
        <v>43</v>
      </c>
      <c r="AG528" s="108" t="s">
        <v>38</v>
      </c>
      <c r="AH528" s="108" t="s">
        <v>92</v>
      </c>
    </row>
    <row r="529" spans="1:34" x14ac:dyDescent="0.3">
      <c r="A529" s="118" t="s">
        <v>1776</v>
      </c>
      <c r="B529" s="119" t="s">
        <v>1777</v>
      </c>
      <c r="C529" s="119" t="s">
        <v>1778</v>
      </c>
      <c r="D529" s="120">
        <v>45054</v>
      </c>
      <c r="E529" s="121">
        <v>210000</v>
      </c>
      <c r="F529" s="119" t="s">
        <v>32</v>
      </c>
      <c r="G529" s="119" t="s">
        <v>33</v>
      </c>
      <c r="H529" s="121">
        <v>210000</v>
      </c>
      <c r="I529" s="121">
        <v>84500</v>
      </c>
      <c r="J529" s="122">
        <f t="shared" si="56"/>
        <v>40.238095238095241</v>
      </c>
      <c r="K529" s="121">
        <v>199135</v>
      </c>
      <c r="L529" s="121">
        <f>H529-187961</f>
        <v>22039</v>
      </c>
      <c r="M529" s="121">
        <v>11174</v>
      </c>
      <c r="N529" s="123">
        <f t="shared" si="57"/>
        <v>5.3209523809523811E-2</v>
      </c>
      <c r="O529" s="124">
        <v>65.72</v>
      </c>
      <c r="P529" s="125">
        <v>100</v>
      </c>
      <c r="Q529" s="126">
        <v>0.16500000000000001</v>
      </c>
      <c r="R529" s="126">
        <v>0.16500000000000001</v>
      </c>
      <c r="S529" s="121">
        <f t="shared" si="58"/>
        <v>335.34692635423005</v>
      </c>
      <c r="T529" s="121">
        <f t="shared" si="59"/>
        <v>133569.69696969696</v>
      </c>
      <c r="U529" s="127">
        <f t="shared" si="60"/>
        <v>3.0663383142721985</v>
      </c>
      <c r="V529" s="126">
        <v>72</v>
      </c>
      <c r="W529" s="126">
        <f t="shared" si="61"/>
        <v>42000</v>
      </c>
      <c r="X529" s="126">
        <f t="shared" si="63"/>
        <v>583.33333333333337</v>
      </c>
      <c r="Y529" s="128" t="s">
        <v>1767</v>
      </c>
      <c r="Z529" s="119" t="s">
        <v>35</v>
      </c>
      <c r="AA529" s="119" t="s">
        <v>35</v>
      </c>
      <c r="AB529" s="119" t="s">
        <v>1776</v>
      </c>
      <c r="AC529" s="119">
        <v>0</v>
      </c>
      <c r="AD529" s="119">
        <v>1</v>
      </c>
      <c r="AE529" s="119" t="s">
        <v>42</v>
      </c>
      <c r="AF529" s="119" t="s">
        <v>43</v>
      </c>
      <c r="AG529" s="119" t="s">
        <v>38</v>
      </c>
      <c r="AH529" s="119" t="s">
        <v>92</v>
      </c>
    </row>
    <row r="530" spans="1:34" x14ac:dyDescent="0.3">
      <c r="A530" s="118" t="s">
        <v>1776</v>
      </c>
      <c r="B530" s="119" t="s">
        <v>1817</v>
      </c>
      <c r="C530" s="119" t="s">
        <v>1818</v>
      </c>
      <c r="D530" s="120">
        <v>45440</v>
      </c>
      <c r="E530" s="121">
        <v>290000</v>
      </c>
      <c r="F530" s="119" t="s">
        <v>32</v>
      </c>
      <c r="G530" s="119" t="s">
        <v>33</v>
      </c>
      <c r="H530" s="121">
        <v>290000</v>
      </c>
      <c r="I530" s="121">
        <v>123300</v>
      </c>
      <c r="J530" s="122">
        <f t="shared" si="56"/>
        <v>42.517241379310342</v>
      </c>
      <c r="K530" s="121">
        <v>253224</v>
      </c>
      <c r="L530" s="121">
        <f>H530-238273</f>
        <v>51727</v>
      </c>
      <c r="M530" s="121">
        <v>14951</v>
      </c>
      <c r="N530" s="123">
        <f t="shared" si="57"/>
        <v>5.15551724137931E-2</v>
      </c>
      <c r="O530" s="124">
        <v>87.94</v>
      </c>
      <c r="P530" s="125">
        <v>117.04</v>
      </c>
      <c r="Q530" s="126">
        <v>0.23300000000000001</v>
      </c>
      <c r="R530" s="126">
        <v>0.23300000000000001</v>
      </c>
      <c r="S530" s="121">
        <f t="shared" si="58"/>
        <v>588.20786900159203</v>
      </c>
      <c r="T530" s="121">
        <f t="shared" si="59"/>
        <v>222004.29184549354</v>
      </c>
      <c r="U530" s="127">
        <f t="shared" si="60"/>
        <v>5.0965172599975563</v>
      </c>
      <c r="V530" s="126">
        <v>93.58</v>
      </c>
      <c r="W530" s="126">
        <f t="shared" si="61"/>
        <v>58000</v>
      </c>
      <c r="X530" s="126">
        <f t="shared" si="63"/>
        <v>619.79055353708054</v>
      </c>
      <c r="Y530" s="128" t="s">
        <v>1767</v>
      </c>
      <c r="Z530" s="119" t="s">
        <v>35</v>
      </c>
      <c r="AA530" s="119" t="s">
        <v>35</v>
      </c>
      <c r="AB530" s="119" t="s">
        <v>1776</v>
      </c>
      <c r="AC530" s="119">
        <v>0</v>
      </c>
      <c r="AD530" s="119">
        <v>1</v>
      </c>
      <c r="AE530" s="119" t="s">
        <v>42</v>
      </c>
      <c r="AF530" s="119" t="s">
        <v>43</v>
      </c>
      <c r="AG530" s="119" t="s">
        <v>38</v>
      </c>
      <c r="AH530" s="119" t="s">
        <v>92</v>
      </c>
    </row>
    <row r="531" spans="1:34" x14ac:dyDescent="0.3">
      <c r="A531" s="118" t="s">
        <v>1776</v>
      </c>
      <c r="B531" s="119" t="s">
        <v>1779</v>
      </c>
      <c r="C531" s="119" t="s">
        <v>1780</v>
      </c>
      <c r="D531" s="120">
        <v>45412</v>
      </c>
      <c r="E531" s="121">
        <v>195000</v>
      </c>
      <c r="F531" s="119" t="s">
        <v>32</v>
      </c>
      <c r="G531" s="119" t="s">
        <v>33</v>
      </c>
      <c r="H531" s="121">
        <v>195000</v>
      </c>
      <c r="I531" s="121">
        <v>86700</v>
      </c>
      <c r="J531" s="122">
        <f t="shared" si="56"/>
        <v>44.461538461538467</v>
      </c>
      <c r="K531" s="121">
        <v>175670</v>
      </c>
      <c r="L531" s="121">
        <f>H531-165470</f>
        <v>29530</v>
      </c>
      <c r="M531" s="121">
        <v>10200</v>
      </c>
      <c r="N531" s="123">
        <f t="shared" si="57"/>
        <v>5.2307692307692305E-2</v>
      </c>
      <c r="O531" s="124">
        <v>60</v>
      </c>
      <c r="P531" s="125">
        <v>120</v>
      </c>
      <c r="Q531" s="126">
        <v>0.16500000000000001</v>
      </c>
      <c r="R531" s="126">
        <v>0.16500000000000001</v>
      </c>
      <c r="S531" s="121">
        <f t="shared" si="58"/>
        <v>492.16666666666669</v>
      </c>
      <c r="T531" s="121">
        <f t="shared" si="59"/>
        <v>178969.69696969696</v>
      </c>
      <c r="U531" s="127">
        <f t="shared" si="60"/>
        <v>4.1085789019673316</v>
      </c>
      <c r="V531" s="126">
        <v>60</v>
      </c>
      <c r="W531" s="126">
        <f t="shared" si="61"/>
        <v>39000</v>
      </c>
      <c r="X531" s="126">
        <f t="shared" si="63"/>
        <v>650</v>
      </c>
      <c r="Y531" s="128" t="s">
        <v>1767</v>
      </c>
      <c r="Z531" s="119" t="s">
        <v>35</v>
      </c>
      <c r="AA531" s="119" t="s">
        <v>35</v>
      </c>
      <c r="AB531" s="119" t="s">
        <v>1776</v>
      </c>
      <c r="AC531" s="119">
        <v>0</v>
      </c>
      <c r="AD531" s="119">
        <v>1</v>
      </c>
      <c r="AE531" s="119" t="s">
        <v>42</v>
      </c>
      <c r="AF531" s="119" t="s">
        <v>43</v>
      </c>
      <c r="AG531" s="119" t="s">
        <v>38</v>
      </c>
      <c r="AH531" s="119" t="s">
        <v>92</v>
      </c>
    </row>
    <row r="532" spans="1:34" x14ac:dyDescent="0.3">
      <c r="A532" s="107" t="s">
        <v>1776</v>
      </c>
      <c r="B532" s="108" t="s">
        <v>1805</v>
      </c>
      <c r="C532" s="108" t="s">
        <v>1806</v>
      </c>
      <c r="D532" s="109">
        <v>45455</v>
      </c>
      <c r="E532" s="110">
        <v>265000</v>
      </c>
      <c r="F532" s="108" t="s">
        <v>32</v>
      </c>
      <c r="G532" s="108" t="s">
        <v>33</v>
      </c>
      <c r="H532" s="110">
        <v>265000</v>
      </c>
      <c r="I532" s="110">
        <v>124500</v>
      </c>
      <c r="J532" s="111">
        <f t="shared" si="56"/>
        <v>46.981132075471699</v>
      </c>
      <c r="K532" s="110">
        <v>254292</v>
      </c>
      <c r="L532" s="110">
        <f>H532-240589</f>
        <v>24411</v>
      </c>
      <c r="M532" s="110">
        <v>13703</v>
      </c>
      <c r="N532" s="112">
        <f t="shared" si="57"/>
        <v>5.1709433962264149E-2</v>
      </c>
      <c r="O532" s="113">
        <v>80.599999999999994</v>
      </c>
      <c r="P532" s="114">
        <v>120</v>
      </c>
      <c r="Q532" s="115">
        <v>0.222</v>
      </c>
      <c r="R532" s="115">
        <v>0.222</v>
      </c>
      <c r="S532" s="110">
        <f t="shared" si="58"/>
        <v>302.86600496277919</v>
      </c>
      <c r="T532" s="110">
        <f t="shared" si="59"/>
        <v>109959.45945945945</v>
      </c>
      <c r="U532" s="116">
        <f t="shared" si="60"/>
        <v>2.5243218425036607</v>
      </c>
      <c r="V532" s="115">
        <v>80.91</v>
      </c>
      <c r="W532" s="115">
        <f t="shared" si="61"/>
        <v>53000</v>
      </c>
      <c r="X532" s="115">
        <f t="shared" si="63"/>
        <v>655.04881967618348</v>
      </c>
      <c r="Y532" s="117" t="s">
        <v>1767</v>
      </c>
      <c r="Z532" s="108" t="s">
        <v>35</v>
      </c>
      <c r="AA532" s="108" t="s">
        <v>35</v>
      </c>
      <c r="AB532" s="108" t="s">
        <v>1776</v>
      </c>
      <c r="AC532" s="108">
        <v>0</v>
      </c>
      <c r="AD532" s="108">
        <v>1</v>
      </c>
      <c r="AE532" s="108" t="s">
        <v>37</v>
      </c>
      <c r="AF532" s="108" t="s">
        <v>43</v>
      </c>
      <c r="AG532" s="108" t="s">
        <v>38</v>
      </c>
      <c r="AH532" s="108" t="s">
        <v>92</v>
      </c>
    </row>
    <row r="533" spans="1:34" x14ac:dyDescent="0.3">
      <c r="A533" s="107" t="s">
        <v>1776</v>
      </c>
      <c r="B533" s="108" t="s">
        <v>1799</v>
      </c>
      <c r="C533" s="108" t="s">
        <v>1800</v>
      </c>
      <c r="D533" s="109">
        <v>45394</v>
      </c>
      <c r="E533" s="110">
        <v>215000</v>
      </c>
      <c r="F533" s="108" t="s">
        <v>32</v>
      </c>
      <c r="G533" s="108" t="s">
        <v>33</v>
      </c>
      <c r="H533" s="110">
        <v>215000</v>
      </c>
      <c r="I533" s="110">
        <v>106300</v>
      </c>
      <c r="J533" s="111">
        <f t="shared" si="56"/>
        <v>49.441860465116278</v>
      </c>
      <c r="K533" s="110">
        <v>216107</v>
      </c>
      <c r="L533" s="110">
        <f>H533-205900</f>
        <v>9100</v>
      </c>
      <c r="M533" s="110">
        <v>10207</v>
      </c>
      <c r="N533" s="112">
        <f t="shared" si="57"/>
        <v>4.747441860465116E-2</v>
      </c>
      <c r="O533" s="113">
        <v>60.03</v>
      </c>
      <c r="P533" s="114">
        <v>120.16</v>
      </c>
      <c r="Q533" s="115">
        <v>0.16600000000000001</v>
      </c>
      <c r="R533" s="115">
        <v>0.16600000000000001</v>
      </c>
      <c r="S533" s="110">
        <f t="shared" si="58"/>
        <v>151.59087123105112</v>
      </c>
      <c r="T533" s="110">
        <f t="shared" si="59"/>
        <v>54819.277108433729</v>
      </c>
      <c r="U533" s="116">
        <f t="shared" si="60"/>
        <v>1.2584774359144566</v>
      </c>
      <c r="V533" s="115">
        <v>60</v>
      </c>
      <c r="W533" s="115">
        <f t="shared" si="61"/>
        <v>43000</v>
      </c>
      <c r="X533" s="115">
        <f t="shared" si="63"/>
        <v>716.66666666666663</v>
      </c>
      <c r="Y533" s="117" t="s">
        <v>1767</v>
      </c>
      <c r="Z533" s="108" t="s">
        <v>35</v>
      </c>
      <c r="AA533" s="108" t="s">
        <v>35</v>
      </c>
      <c r="AB533" s="108" t="s">
        <v>1776</v>
      </c>
      <c r="AC533" s="108">
        <v>0</v>
      </c>
      <c r="AD533" s="108">
        <v>1</v>
      </c>
      <c r="AE533" s="108" t="s">
        <v>37</v>
      </c>
      <c r="AF533" s="108" t="s">
        <v>43</v>
      </c>
      <c r="AG533" s="108" t="s">
        <v>38</v>
      </c>
      <c r="AH533" s="108" t="s">
        <v>92</v>
      </c>
    </row>
    <row r="534" spans="1:34" x14ac:dyDescent="0.3">
      <c r="A534" s="107" t="s">
        <v>1776</v>
      </c>
      <c r="B534" s="108" t="s">
        <v>1815</v>
      </c>
      <c r="C534" s="108" t="s">
        <v>1816</v>
      </c>
      <c r="D534" s="109">
        <v>45205</v>
      </c>
      <c r="E534" s="110">
        <v>245000</v>
      </c>
      <c r="F534" s="108" t="s">
        <v>32</v>
      </c>
      <c r="G534" s="108" t="s">
        <v>33</v>
      </c>
      <c r="H534" s="110">
        <v>245000</v>
      </c>
      <c r="I534" s="110">
        <v>109000</v>
      </c>
      <c r="J534" s="111">
        <f t="shared" si="56"/>
        <v>44.489795918367349</v>
      </c>
      <c r="K534" s="110">
        <v>255708</v>
      </c>
      <c r="L534" s="110">
        <f>H534-245709</f>
        <v>-709</v>
      </c>
      <c r="M534" s="110">
        <v>9999</v>
      </c>
      <c r="N534" s="112">
        <f t="shared" si="57"/>
        <v>4.0812244897959184E-2</v>
      </c>
      <c r="O534" s="113">
        <v>58.81</v>
      </c>
      <c r="P534" s="114">
        <v>122.44</v>
      </c>
      <c r="Q534" s="115">
        <v>0.15</v>
      </c>
      <c r="R534" s="115">
        <v>0.15</v>
      </c>
      <c r="S534" s="110">
        <f t="shared" si="58"/>
        <v>-12.055772827750381</v>
      </c>
      <c r="T534" s="110">
        <f t="shared" si="59"/>
        <v>-4726.666666666667</v>
      </c>
      <c r="U534" s="116">
        <f t="shared" si="60"/>
        <v>-0.10850933578206307</v>
      </c>
      <c r="V534" s="115">
        <v>68.069999999999993</v>
      </c>
      <c r="W534" s="115">
        <f t="shared" si="61"/>
        <v>49000</v>
      </c>
      <c r="X534" s="115">
        <f t="shared" si="63"/>
        <v>719.84721610107249</v>
      </c>
      <c r="Y534" s="117" t="s">
        <v>1767</v>
      </c>
      <c r="Z534" s="108" t="s">
        <v>35</v>
      </c>
      <c r="AA534" s="108" t="s">
        <v>35</v>
      </c>
      <c r="AB534" s="108" t="s">
        <v>1776</v>
      </c>
      <c r="AC534" s="108">
        <v>0</v>
      </c>
      <c r="AD534" s="108">
        <v>1</v>
      </c>
      <c r="AE534" s="108" t="s">
        <v>42</v>
      </c>
      <c r="AF534" s="108" t="s">
        <v>43</v>
      </c>
      <c r="AG534" s="108" t="s">
        <v>38</v>
      </c>
      <c r="AH534" s="108" t="s">
        <v>92</v>
      </c>
    </row>
    <row r="535" spans="1:34" x14ac:dyDescent="0.3">
      <c r="A535" s="107" t="s">
        <v>1776</v>
      </c>
      <c r="B535" s="108" t="s">
        <v>1781</v>
      </c>
      <c r="C535" s="108" t="s">
        <v>1782</v>
      </c>
      <c r="D535" s="109">
        <v>45209</v>
      </c>
      <c r="E535" s="110">
        <v>227000</v>
      </c>
      <c r="F535" s="108" t="s">
        <v>32</v>
      </c>
      <c r="G535" s="108" t="s">
        <v>33</v>
      </c>
      <c r="H535" s="110">
        <v>227000</v>
      </c>
      <c r="I535" s="110">
        <v>89400</v>
      </c>
      <c r="J535" s="111">
        <f t="shared" si="56"/>
        <v>39.383259911894278</v>
      </c>
      <c r="K535" s="110">
        <v>214811</v>
      </c>
      <c r="L535" s="110">
        <f>H535-204611</f>
        <v>22389</v>
      </c>
      <c r="M535" s="110">
        <v>10200</v>
      </c>
      <c r="N535" s="112">
        <f t="shared" si="57"/>
        <v>4.4933920704845816E-2</v>
      </c>
      <c r="O535" s="113">
        <v>60</v>
      </c>
      <c r="P535" s="114">
        <v>120</v>
      </c>
      <c r="Q535" s="115">
        <v>0.16500000000000001</v>
      </c>
      <c r="R535" s="115">
        <v>0.16500000000000001</v>
      </c>
      <c r="S535" s="110">
        <f t="shared" si="58"/>
        <v>373.15</v>
      </c>
      <c r="T535" s="110">
        <f t="shared" si="59"/>
        <v>135690.90909090909</v>
      </c>
      <c r="U535" s="116">
        <f t="shared" si="60"/>
        <v>3.1150346439602639</v>
      </c>
      <c r="V535" s="115">
        <v>60</v>
      </c>
      <c r="W535" s="115">
        <f t="shared" si="61"/>
        <v>45400</v>
      </c>
      <c r="X535" s="115">
        <f t="shared" si="63"/>
        <v>756.66666666666663</v>
      </c>
      <c r="Y535" s="117" t="s">
        <v>1767</v>
      </c>
      <c r="Z535" s="108" t="s">
        <v>35</v>
      </c>
      <c r="AA535" s="108" t="s">
        <v>35</v>
      </c>
      <c r="AB535" s="108" t="s">
        <v>1776</v>
      </c>
      <c r="AC535" s="108">
        <v>0</v>
      </c>
      <c r="AD535" s="108">
        <v>1</v>
      </c>
      <c r="AE535" s="108" t="s">
        <v>42</v>
      </c>
      <c r="AF535" s="108" t="s">
        <v>43</v>
      </c>
      <c r="AG535" s="108" t="s">
        <v>38</v>
      </c>
      <c r="AH535" s="108" t="s">
        <v>92</v>
      </c>
    </row>
    <row r="536" spans="1:34" x14ac:dyDescent="0.3">
      <c r="A536" s="118" t="s">
        <v>1776</v>
      </c>
      <c r="B536" s="119" t="s">
        <v>1787</v>
      </c>
      <c r="C536" s="119" t="s">
        <v>1788</v>
      </c>
      <c r="D536" s="120">
        <v>45394</v>
      </c>
      <c r="E536" s="121">
        <v>235000</v>
      </c>
      <c r="F536" s="119" t="s">
        <v>32</v>
      </c>
      <c r="G536" s="119" t="s">
        <v>33</v>
      </c>
      <c r="H536" s="121">
        <v>235000</v>
      </c>
      <c r="I536" s="121">
        <v>118800</v>
      </c>
      <c r="J536" s="122">
        <f t="shared" si="56"/>
        <v>50.553191489361701</v>
      </c>
      <c r="K536" s="121">
        <v>243478</v>
      </c>
      <c r="L536" s="121">
        <f>H536-233108</f>
        <v>1892</v>
      </c>
      <c r="M536" s="121">
        <v>10370</v>
      </c>
      <c r="N536" s="123">
        <f t="shared" si="57"/>
        <v>4.4127659574468084E-2</v>
      </c>
      <c r="O536" s="124">
        <v>61</v>
      </c>
      <c r="P536" s="125">
        <v>120</v>
      </c>
      <c r="Q536" s="126">
        <v>0.16800000000000001</v>
      </c>
      <c r="R536" s="126">
        <v>0.16800000000000001</v>
      </c>
      <c r="S536" s="121">
        <f t="shared" si="58"/>
        <v>31.016393442622952</v>
      </c>
      <c r="T536" s="121">
        <f t="shared" si="59"/>
        <v>11261.904761904761</v>
      </c>
      <c r="U536" s="127">
        <f t="shared" si="60"/>
        <v>0.25853775853775851</v>
      </c>
      <c r="V536" s="126">
        <v>61</v>
      </c>
      <c r="W536" s="126">
        <f t="shared" si="61"/>
        <v>47000</v>
      </c>
      <c r="X536" s="126">
        <f t="shared" si="63"/>
        <v>770.49180327868851</v>
      </c>
      <c r="Y536" s="128" t="s">
        <v>1767</v>
      </c>
      <c r="Z536" s="119" t="s">
        <v>35</v>
      </c>
      <c r="AA536" s="119" t="s">
        <v>35</v>
      </c>
      <c r="AB536" s="119" t="s">
        <v>1776</v>
      </c>
      <c r="AC536" s="119">
        <v>0</v>
      </c>
      <c r="AD536" s="119">
        <v>1</v>
      </c>
      <c r="AE536" s="119" t="s">
        <v>42</v>
      </c>
      <c r="AF536" s="119" t="s">
        <v>43</v>
      </c>
      <c r="AG536" s="119" t="s">
        <v>38</v>
      </c>
      <c r="AH536" s="119" t="s">
        <v>92</v>
      </c>
    </row>
    <row r="537" spans="1:34" x14ac:dyDescent="0.3">
      <c r="A537" s="118" t="s">
        <v>1776</v>
      </c>
      <c r="B537" s="119" t="s">
        <v>1793</v>
      </c>
      <c r="C537" s="119" t="s">
        <v>1794</v>
      </c>
      <c r="D537" s="120">
        <v>45621</v>
      </c>
      <c r="E537" s="121">
        <v>245000</v>
      </c>
      <c r="F537" s="119" t="s">
        <v>32</v>
      </c>
      <c r="G537" s="119" t="s">
        <v>33</v>
      </c>
      <c r="H537" s="121">
        <v>245000</v>
      </c>
      <c r="I537" s="121">
        <v>98300</v>
      </c>
      <c r="J537" s="122">
        <f t="shared" si="56"/>
        <v>40.122448979591837</v>
      </c>
      <c r="K537" s="121">
        <v>200154</v>
      </c>
      <c r="L537" s="121">
        <f>H537-188530</f>
        <v>56470</v>
      </c>
      <c r="M537" s="121">
        <v>11624</v>
      </c>
      <c r="N537" s="123">
        <f t="shared" si="57"/>
        <v>4.7444897959183677E-2</v>
      </c>
      <c r="O537" s="124">
        <v>68.37</v>
      </c>
      <c r="P537" s="125">
        <v>114.5</v>
      </c>
      <c r="Q537" s="126">
        <v>0.193</v>
      </c>
      <c r="R537" s="126">
        <v>0.193</v>
      </c>
      <c r="S537" s="121">
        <f t="shared" si="58"/>
        <v>825.94705280093604</v>
      </c>
      <c r="T537" s="121">
        <f t="shared" si="59"/>
        <v>292590.67357512953</v>
      </c>
      <c r="U537" s="127">
        <f t="shared" si="60"/>
        <v>6.7169576119175742</v>
      </c>
      <c r="V537" s="126">
        <v>63</v>
      </c>
      <c r="W537" s="126">
        <f t="shared" si="61"/>
        <v>49000</v>
      </c>
      <c r="X537" s="126">
        <f t="shared" si="63"/>
        <v>777.77777777777783</v>
      </c>
      <c r="Y537" s="128" t="s">
        <v>1767</v>
      </c>
      <c r="Z537" s="119" t="s">
        <v>35</v>
      </c>
      <c r="AA537" s="119" t="s">
        <v>35</v>
      </c>
      <c r="AB537" s="119" t="s">
        <v>1776</v>
      </c>
      <c r="AC537" s="119">
        <v>0</v>
      </c>
      <c r="AD537" s="119">
        <v>1</v>
      </c>
      <c r="AE537" s="119" t="s">
        <v>42</v>
      </c>
      <c r="AF537" s="119" t="s">
        <v>35</v>
      </c>
      <c r="AG537" s="119" t="s">
        <v>38</v>
      </c>
      <c r="AH537" s="119" t="s">
        <v>92</v>
      </c>
    </row>
    <row r="538" spans="1:34" x14ac:dyDescent="0.3">
      <c r="A538" s="118" t="s">
        <v>1776</v>
      </c>
      <c r="B538" s="119" t="s">
        <v>1801</v>
      </c>
      <c r="C538" s="119" t="s">
        <v>1802</v>
      </c>
      <c r="D538" s="120">
        <v>45191</v>
      </c>
      <c r="E538" s="121">
        <v>239900</v>
      </c>
      <c r="F538" s="119" t="s">
        <v>32</v>
      </c>
      <c r="G538" s="119" t="s">
        <v>33</v>
      </c>
      <c r="H538" s="121">
        <v>239900</v>
      </c>
      <c r="I538" s="121">
        <v>110600</v>
      </c>
      <c r="J538" s="122">
        <f t="shared" si="56"/>
        <v>46.102542726135894</v>
      </c>
      <c r="K538" s="121">
        <v>261084</v>
      </c>
      <c r="L538" s="121">
        <f>H538-250064</f>
        <v>-10164</v>
      </c>
      <c r="M538" s="121">
        <v>11020</v>
      </c>
      <c r="N538" s="123">
        <f t="shared" si="57"/>
        <v>4.5935806586077529E-2</v>
      </c>
      <c r="O538" s="124">
        <v>64.819999999999993</v>
      </c>
      <c r="P538" s="125">
        <v>140.07</v>
      </c>
      <c r="Q538" s="126">
        <v>0.193</v>
      </c>
      <c r="R538" s="126">
        <v>0.193</v>
      </c>
      <c r="S538" s="121">
        <f t="shared" si="58"/>
        <v>-156.80345572354213</v>
      </c>
      <c r="T538" s="121">
        <f t="shared" si="59"/>
        <v>-52663.212435233159</v>
      </c>
      <c r="U538" s="127">
        <f t="shared" si="60"/>
        <v>-1.2089810017271156</v>
      </c>
      <c r="V538" s="126">
        <v>60</v>
      </c>
      <c r="W538" s="126">
        <f t="shared" si="61"/>
        <v>47980</v>
      </c>
      <c r="X538" s="126">
        <f t="shared" si="63"/>
        <v>799.66666666666663</v>
      </c>
      <c r="Y538" s="128" t="s">
        <v>1767</v>
      </c>
      <c r="Z538" s="119" t="s">
        <v>35</v>
      </c>
      <c r="AA538" s="119" t="s">
        <v>35</v>
      </c>
      <c r="AB538" s="119" t="s">
        <v>1776</v>
      </c>
      <c r="AC538" s="119">
        <v>0</v>
      </c>
      <c r="AD538" s="119">
        <v>1</v>
      </c>
      <c r="AE538" s="119" t="s">
        <v>37</v>
      </c>
      <c r="AF538" s="119" t="s">
        <v>43</v>
      </c>
      <c r="AG538" s="119" t="s">
        <v>38</v>
      </c>
      <c r="AH538" s="119" t="s">
        <v>92</v>
      </c>
    </row>
    <row r="539" spans="1:34" x14ac:dyDescent="0.3">
      <c r="A539" s="107" t="s">
        <v>1776</v>
      </c>
      <c r="B539" s="108" t="s">
        <v>1783</v>
      </c>
      <c r="C539" s="108" t="s">
        <v>1784</v>
      </c>
      <c r="D539" s="109">
        <v>45471</v>
      </c>
      <c r="E539" s="110">
        <v>240000</v>
      </c>
      <c r="F539" s="108" t="s">
        <v>32</v>
      </c>
      <c r="G539" s="108" t="s">
        <v>33</v>
      </c>
      <c r="H539" s="110">
        <v>240000</v>
      </c>
      <c r="I539" s="110">
        <v>110400</v>
      </c>
      <c r="J539" s="111">
        <f t="shared" si="56"/>
        <v>46</v>
      </c>
      <c r="K539" s="110">
        <v>226046</v>
      </c>
      <c r="L539" s="110">
        <f>H539-215846</f>
        <v>24154</v>
      </c>
      <c r="M539" s="110">
        <v>10200</v>
      </c>
      <c r="N539" s="112">
        <f t="shared" si="57"/>
        <v>4.2500000000000003E-2</v>
      </c>
      <c r="O539" s="113">
        <v>60</v>
      </c>
      <c r="P539" s="114">
        <v>120</v>
      </c>
      <c r="Q539" s="115">
        <v>0.16500000000000001</v>
      </c>
      <c r="R539" s="115">
        <v>0.16500000000000001</v>
      </c>
      <c r="S539" s="110">
        <f t="shared" si="58"/>
        <v>402.56666666666666</v>
      </c>
      <c r="T539" s="110">
        <f t="shared" si="59"/>
        <v>146387.87878787878</v>
      </c>
      <c r="U539" s="116">
        <f t="shared" si="60"/>
        <v>3.3606032779586497</v>
      </c>
      <c r="V539" s="115">
        <v>60</v>
      </c>
      <c r="W539" s="115">
        <f t="shared" si="61"/>
        <v>48000</v>
      </c>
      <c r="X539" s="115">
        <f t="shared" si="63"/>
        <v>800</v>
      </c>
      <c r="Y539" s="117" t="s">
        <v>1767</v>
      </c>
      <c r="Z539" s="108" t="s">
        <v>35</v>
      </c>
      <c r="AA539" s="108" t="s">
        <v>35</v>
      </c>
      <c r="AB539" s="108" t="s">
        <v>1776</v>
      </c>
      <c r="AC539" s="108">
        <v>0</v>
      </c>
      <c r="AD539" s="108">
        <v>1</v>
      </c>
      <c r="AE539" s="108" t="s">
        <v>42</v>
      </c>
      <c r="AF539" s="108" t="s">
        <v>43</v>
      </c>
      <c r="AG539" s="108" t="s">
        <v>38</v>
      </c>
      <c r="AH539" s="108" t="s">
        <v>92</v>
      </c>
    </row>
    <row r="540" spans="1:34" x14ac:dyDescent="0.3">
      <c r="A540" s="118" t="s">
        <v>1776</v>
      </c>
      <c r="B540" s="119" t="s">
        <v>1795</v>
      </c>
      <c r="C540" s="119" t="s">
        <v>1796</v>
      </c>
      <c r="D540" s="120">
        <v>45387</v>
      </c>
      <c r="E540" s="121">
        <v>248000</v>
      </c>
      <c r="F540" s="119" t="s">
        <v>32</v>
      </c>
      <c r="G540" s="119" t="s">
        <v>33</v>
      </c>
      <c r="H540" s="121">
        <v>248000</v>
      </c>
      <c r="I540" s="121">
        <v>102800</v>
      </c>
      <c r="J540" s="122">
        <f t="shared" si="56"/>
        <v>41.451612903225801</v>
      </c>
      <c r="K540" s="121">
        <v>208624</v>
      </c>
      <c r="L540" s="121">
        <f>H540-198424</f>
        <v>49576</v>
      </c>
      <c r="M540" s="121">
        <v>10200</v>
      </c>
      <c r="N540" s="123">
        <f t="shared" si="57"/>
        <v>4.1129032258064517E-2</v>
      </c>
      <c r="O540" s="124">
        <v>60</v>
      </c>
      <c r="P540" s="125">
        <v>120</v>
      </c>
      <c r="Q540" s="126">
        <v>0.16500000000000001</v>
      </c>
      <c r="R540" s="126">
        <v>0.16500000000000001</v>
      </c>
      <c r="S540" s="121">
        <f t="shared" si="58"/>
        <v>826.26666666666665</v>
      </c>
      <c r="T540" s="121">
        <f t="shared" si="59"/>
        <v>300460.60606060602</v>
      </c>
      <c r="U540" s="127">
        <f t="shared" si="60"/>
        <v>6.8976264017586324</v>
      </c>
      <c r="V540" s="126">
        <v>60</v>
      </c>
      <c r="W540" s="126">
        <f t="shared" si="61"/>
        <v>49600</v>
      </c>
      <c r="X540" s="126">
        <f t="shared" si="63"/>
        <v>826.66666666666663</v>
      </c>
      <c r="Y540" s="128" t="s">
        <v>1767</v>
      </c>
      <c r="Z540" s="119" t="s">
        <v>35</v>
      </c>
      <c r="AA540" s="119" t="s">
        <v>35</v>
      </c>
      <c r="AB540" s="119" t="s">
        <v>1776</v>
      </c>
      <c r="AC540" s="119">
        <v>0</v>
      </c>
      <c r="AD540" s="119">
        <v>1</v>
      </c>
      <c r="AE540" s="119" t="s">
        <v>37</v>
      </c>
      <c r="AF540" s="119" t="s">
        <v>43</v>
      </c>
      <c r="AG540" s="119" t="s">
        <v>38</v>
      </c>
      <c r="AH540" s="119" t="s">
        <v>92</v>
      </c>
    </row>
    <row r="541" spans="1:34" x14ac:dyDescent="0.3">
      <c r="A541" s="118" t="s">
        <v>1776</v>
      </c>
      <c r="B541" s="119" t="s">
        <v>1819</v>
      </c>
      <c r="C541" s="119" t="s">
        <v>1820</v>
      </c>
      <c r="D541" s="120">
        <v>45119</v>
      </c>
      <c r="E541" s="121">
        <v>255000</v>
      </c>
      <c r="F541" s="119" t="s">
        <v>32</v>
      </c>
      <c r="G541" s="119" t="s">
        <v>33</v>
      </c>
      <c r="H541" s="121">
        <v>255000</v>
      </c>
      <c r="I541" s="121">
        <v>98600</v>
      </c>
      <c r="J541" s="122">
        <f t="shared" si="56"/>
        <v>38.666666666666664</v>
      </c>
      <c r="K541" s="121">
        <v>230260</v>
      </c>
      <c r="L541" s="121">
        <f>H541-220060</f>
        <v>34940</v>
      </c>
      <c r="M541" s="121">
        <v>10200</v>
      </c>
      <c r="N541" s="123">
        <f t="shared" si="57"/>
        <v>0.04</v>
      </c>
      <c r="O541" s="124">
        <v>60</v>
      </c>
      <c r="P541" s="125">
        <v>120</v>
      </c>
      <c r="Q541" s="126">
        <v>0.16500000000000001</v>
      </c>
      <c r="R541" s="126">
        <v>0.16500000000000001</v>
      </c>
      <c r="S541" s="121">
        <f t="shared" si="58"/>
        <v>582.33333333333337</v>
      </c>
      <c r="T541" s="121">
        <f t="shared" si="59"/>
        <v>211757.57575757575</v>
      </c>
      <c r="U541" s="127">
        <f t="shared" si="60"/>
        <v>4.8612850265742829</v>
      </c>
      <c r="V541" s="126">
        <v>60</v>
      </c>
      <c r="W541" s="126">
        <f t="shared" si="61"/>
        <v>51000</v>
      </c>
      <c r="X541" s="126">
        <f t="shared" si="63"/>
        <v>850</v>
      </c>
      <c r="Y541" s="128" t="s">
        <v>1767</v>
      </c>
      <c r="Z541" s="119" t="s">
        <v>35</v>
      </c>
      <c r="AA541" s="119" t="s">
        <v>35</v>
      </c>
      <c r="AB541" s="119" t="s">
        <v>1776</v>
      </c>
      <c r="AC541" s="119">
        <v>0</v>
      </c>
      <c r="AD541" s="119">
        <v>1</v>
      </c>
      <c r="AE541" s="119" t="s">
        <v>42</v>
      </c>
      <c r="AF541" s="119" t="s">
        <v>43</v>
      </c>
      <c r="AG541" s="119" t="s">
        <v>38</v>
      </c>
      <c r="AH541" s="119" t="s">
        <v>92</v>
      </c>
    </row>
    <row r="542" spans="1:34" x14ac:dyDescent="0.3">
      <c r="A542" s="118" t="s">
        <v>1776</v>
      </c>
      <c r="B542" s="119" t="s">
        <v>1803</v>
      </c>
      <c r="C542" s="119" t="s">
        <v>1804</v>
      </c>
      <c r="D542" s="120">
        <v>45148</v>
      </c>
      <c r="E542" s="121">
        <v>242000</v>
      </c>
      <c r="F542" s="119" t="s">
        <v>32</v>
      </c>
      <c r="G542" s="119" t="s">
        <v>33</v>
      </c>
      <c r="H542" s="121">
        <v>242000</v>
      </c>
      <c r="I542" s="121">
        <v>97800</v>
      </c>
      <c r="J542" s="122">
        <f t="shared" si="56"/>
        <v>40.413223140495866</v>
      </c>
      <c r="K542" s="121">
        <v>234268</v>
      </c>
      <c r="L542" s="121">
        <f>H542-222311</f>
        <v>19689</v>
      </c>
      <c r="M542" s="121">
        <v>11957</v>
      </c>
      <c r="N542" s="123">
        <f t="shared" si="57"/>
        <v>4.9409090909090909E-2</v>
      </c>
      <c r="O542" s="124">
        <v>70.33</v>
      </c>
      <c r="P542" s="125">
        <v>152.4</v>
      </c>
      <c r="Q542" s="126">
        <v>0.23</v>
      </c>
      <c r="R542" s="126">
        <v>0.23</v>
      </c>
      <c r="S542" s="121">
        <f t="shared" si="58"/>
        <v>279.95165647661025</v>
      </c>
      <c r="T542" s="121">
        <f t="shared" si="59"/>
        <v>85604.34782608696</v>
      </c>
      <c r="U542" s="127">
        <f t="shared" si="60"/>
        <v>1.9652054138220147</v>
      </c>
      <c r="V542" s="126">
        <v>55.67</v>
      </c>
      <c r="W542" s="126">
        <f t="shared" si="61"/>
        <v>48400</v>
      </c>
      <c r="X542" s="126">
        <f t="shared" si="63"/>
        <v>869.40901742410631</v>
      </c>
      <c r="Y542" s="128" t="s">
        <v>1767</v>
      </c>
      <c r="Z542" s="119" t="s">
        <v>35</v>
      </c>
      <c r="AA542" s="119" t="s">
        <v>35</v>
      </c>
      <c r="AB542" s="119" t="s">
        <v>1776</v>
      </c>
      <c r="AC542" s="119">
        <v>0</v>
      </c>
      <c r="AD542" s="119">
        <v>1</v>
      </c>
      <c r="AE542" s="119" t="s">
        <v>42</v>
      </c>
      <c r="AF542" s="119" t="s">
        <v>43</v>
      </c>
      <c r="AG542" s="119" t="s">
        <v>38</v>
      </c>
      <c r="AH542" s="119" t="s">
        <v>92</v>
      </c>
    </row>
    <row r="543" spans="1:34" x14ac:dyDescent="0.3">
      <c r="A543" s="118" t="s">
        <v>1776</v>
      </c>
      <c r="B543" s="119" t="s">
        <v>1811</v>
      </c>
      <c r="C543" s="119" t="s">
        <v>1812</v>
      </c>
      <c r="D543" s="120">
        <v>45730</v>
      </c>
      <c r="E543" s="121">
        <v>284900</v>
      </c>
      <c r="F543" s="119" t="s">
        <v>32</v>
      </c>
      <c r="G543" s="119" t="s">
        <v>33</v>
      </c>
      <c r="H543" s="121">
        <v>284900</v>
      </c>
      <c r="I543" s="121">
        <v>125300</v>
      </c>
      <c r="J543" s="122">
        <f t="shared" si="56"/>
        <v>43.980343980343974</v>
      </c>
      <c r="K543" s="121">
        <v>257331</v>
      </c>
      <c r="L543" s="121">
        <f>H543-246473</f>
        <v>38427</v>
      </c>
      <c r="M543" s="121">
        <v>10858</v>
      </c>
      <c r="N543" s="123">
        <f t="shared" si="57"/>
        <v>3.811161811161811E-2</v>
      </c>
      <c r="O543" s="124">
        <v>63.87</v>
      </c>
      <c r="P543" s="125">
        <v>113.91</v>
      </c>
      <c r="Q543" s="126">
        <v>0.17199999999999999</v>
      </c>
      <c r="R543" s="126">
        <v>0.17199999999999999</v>
      </c>
      <c r="S543" s="121">
        <f t="shared" si="58"/>
        <v>601.64396430248951</v>
      </c>
      <c r="T543" s="121">
        <f t="shared" si="59"/>
        <v>223412.79069767444</v>
      </c>
      <c r="U543" s="127">
        <f t="shared" si="60"/>
        <v>5.128851944391057</v>
      </c>
      <c r="V543" s="126">
        <v>65</v>
      </c>
      <c r="W543" s="126">
        <f t="shared" si="61"/>
        <v>56980</v>
      </c>
      <c r="X543" s="126">
        <f t="shared" si="63"/>
        <v>876.61538461538464</v>
      </c>
      <c r="Y543" s="128" t="s">
        <v>1767</v>
      </c>
      <c r="Z543" s="119" t="s">
        <v>35</v>
      </c>
      <c r="AA543" s="119" t="s">
        <v>35</v>
      </c>
      <c r="AB543" s="119" t="s">
        <v>1776</v>
      </c>
      <c r="AC543" s="119">
        <v>0</v>
      </c>
      <c r="AD543" s="119">
        <v>1</v>
      </c>
      <c r="AE543" s="119" t="s">
        <v>37</v>
      </c>
      <c r="AF543" s="119" t="s">
        <v>35</v>
      </c>
      <c r="AG543" s="119" t="s">
        <v>38</v>
      </c>
      <c r="AH543" s="119" t="s">
        <v>92</v>
      </c>
    </row>
    <row r="544" spans="1:34" x14ac:dyDescent="0.3">
      <c r="A544" s="107" t="s">
        <v>1776</v>
      </c>
      <c r="B544" s="108" t="s">
        <v>1789</v>
      </c>
      <c r="C544" s="108" t="s">
        <v>1790</v>
      </c>
      <c r="D544" s="109">
        <v>45735</v>
      </c>
      <c r="E544" s="110">
        <v>275000</v>
      </c>
      <c r="F544" s="108" t="s">
        <v>32</v>
      </c>
      <c r="G544" s="108" t="s">
        <v>33</v>
      </c>
      <c r="H544" s="110">
        <v>275000</v>
      </c>
      <c r="I544" s="110">
        <v>112700</v>
      </c>
      <c r="J544" s="111">
        <f t="shared" si="56"/>
        <v>40.981818181818177</v>
      </c>
      <c r="K544" s="110">
        <v>230234</v>
      </c>
      <c r="L544" s="110">
        <f>H544-219864</f>
        <v>55136</v>
      </c>
      <c r="M544" s="110">
        <v>10370</v>
      </c>
      <c r="N544" s="112">
        <f t="shared" si="57"/>
        <v>3.7709090909090907E-2</v>
      </c>
      <c r="O544" s="113">
        <v>61</v>
      </c>
      <c r="P544" s="114">
        <v>120</v>
      </c>
      <c r="Q544" s="115">
        <v>0.16800000000000001</v>
      </c>
      <c r="R544" s="115">
        <v>0.16800000000000001</v>
      </c>
      <c r="S544" s="110">
        <f t="shared" si="58"/>
        <v>903.86885245901635</v>
      </c>
      <c r="T544" s="110">
        <f t="shared" si="59"/>
        <v>328190.47619047615</v>
      </c>
      <c r="U544" s="116">
        <f t="shared" si="60"/>
        <v>7.5342166251257154</v>
      </c>
      <c r="V544" s="115">
        <v>61</v>
      </c>
      <c r="W544" s="115">
        <f t="shared" si="61"/>
        <v>55000</v>
      </c>
      <c r="X544" s="115">
        <f t="shared" si="63"/>
        <v>901.63934426229503</v>
      </c>
      <c r="Y544" s="117" t="s">
        <v>1767</v>
      </c>
      <c r="Z544" s="108" t="s">
        <v>35</v>
      </c>
      <c r="AA544" s="108" t="s">
        <v>35</v>
      </c>
      <c r="AB544" s="108" t="s">
        <v>1776</v>
      </c>
      <c r="AC544" s="108">
        <v>0</v>
      </c>
      <c r="AD544" s="108">
        <v>1</v>
      </c>
      <c r="AE544" s="108" t="s">
        <v>42</v>
      </c>
      <c r="AF544" s="108" t="s">
        <v>35</v>
      </c>
      <c r="AG544" s="108" t="s">
        <v>38</v>
      </c>
      <c r="AH544" s="108" t="s">
        <v>92</v>
      </c>
    </row>
    <row r="545" spans="1:34" x14ac:dyDescent="0.3">
      <c r="A545" s="107" t="s">
        <v>1776</v>
      </c>
      <c r="B545" s="108" t="s">
        <v>1797</v>
      </c>
      <c r="C545" s="108" t="s">
        <v>1798</v>
      </c>
      <c r="D545" s="109">
        <v>45630</v>
      </c>
      <c r="E545" s="110">
        <v>290000</v>
      </c>
      <c r="F545" s="108" t="s">
        <v>32</v>
      </c>
      <c r="G545" s="108" t="s">
        <v>33</v>
      </c>
      <c r="H545" s="110">
        <v>290000</v>
      </c>
      <c r="I545" s="110">
        <v>137500</v>
      </c>
      <c r="J545" s="111">
        <f t="shared" si="56"/>
        <v>47.413793103448278</v>
      </c>
      <c r="K545" s="110">
        <v>284095</v>
      </c>
      <c r="L545" s="110">
        <f>H545-273895</f>
        <v>16105</v>
      </c>
      <c r="M545" s="110">
        <v>10200</v>
      </c>
      <c r="N545" s="112">
        <f t="shared" si="57"/>
        <v>3.5172413793103451E-2</v>
      </c>
      <c r="O545" s="113">
        <v>60</v>
      </c>
      <c r="P545" s="114">
        <v>120</v>
      </c>
      <c r="Q545" s="115">
        <v>0.16500000000000001</v>
      </c>
      <c r="R545" s="115">
        <v>0.16500000000000001</v>
      </c>
      <c r="S545" s="110">
        <f t="shared" si="58"/>
        <v>268.41666666666669</v>
      </c>
      <c r="T545" s="110">
        <f t="shared" si="59"/>
        <v>97606.060606060608</v>
      </c>
      <c r="U545" s="116">
        <f t="shared" si="60"/>
        <v>2.2407268275036869</v>
      </c>
      <c r="V545" s="115">
        <v>60</v>
      </c>
      <c r="W545" s="115">
        <f t="shared" si="61"/>
        <v>58000</v>
      </c>
      <c r="X545" s="115">
        <f t="shared" si="63"/>
        <v>966.66666666666663</v>
      </c>
      <c r="Y545" s="117" t="s">
        <v>1767</v>
      </c>
      <c r="Z545" s="108" t="s">
        <v>35</v>
      </c>
      <c r="AA545" s="108" t="s">
        <v>35</v>
      </c>
      <c r="AB545" s="108" t="s">
        <v>1776</v>
      </c>
      <c r="AC545" s="108">
        <v>0</v>
      </c>
      <c r="AD545" s="108">
        <v>1</v>
      </c>
      <c r="AE545" s="108" t="s">
        <v>42</v>
      </c>
      <c r="AF545" s="108" t="s">
        <v>35</v>
      </c>
      <c r="AG545" s="108" t="s">
        <v>38</v>
      </c>
      <c r="AH545" s="108" t="s">
        <v>92</v>
      </c>
    </row>
    <row r="546" spans="1:34" x14ac:dyDescent="0.3">
      <c r="A546" s="118" t="s">
        <v>1776</v>
      </c>
      <c r="B546" s="119" t="s">
        <v>1785</v>
      </c>
      <c r="C546" s="119" t="s">
        <v>1786</v>
      </c>
      <c r="D546" s="120">
        <v>45513</v>
      </c>
      <c r="E546" s="121">
        <v>295000</v>
      </c>
      <c r="F546" s="119" t="s">
        <v>32</v>
      </c>
      <c r="G546" s="119" t="s">
        <v>33</v>
      </c>
      <c r="H546" s="121">
        <v>295000</v>
      </c>
      <c r="I546" s="121">
        <v>111700</v>
      </c>
      <c r="J546" s="122">
        <f t="shared" si="56"/>
        <v>37.864406779661017</v>
      </c>
      <c r="K546" s="121">
        <v>229160</v>
      </c>
      <c r="L546" s="121">
        <f>H546-217452</f>
        <v>77548</v>
      </c>
      <c r="M546" s="121">
        <v>11708</v>
      </c>
      <c r="N546" s="123">
        <f t="shared" si="57"/>
        <v>3.968813559322034E-2</v>
      </c>
      <c r="O546" s="124">
        <v>68.86</v>
      </c>
      <c r="P546" s="125">
        <v>156.06</v>
      </c>
      <c r="Q546" s="126">
        <v>0.217</v>
      </c>
      <c r="R546" s="126">
        <v>0.217</v>
      </c>
      <c r="S546" s="121">
        <f t="shared" si="58"/>
        <v>1126.1690386291025</v>
      </c>
      <c r="T546" s="121">
        <f t="shared" si="59"/>
        <v>357364.05529953918</v>
      </c>
      <c r="U546" s="127">
        <f t="shared" si="60"/>
        <v>8.2039498461785847</v>
      </c>
      <c r="V546" s="126">
        <v>60</v>
      </c>
      <c r="W546" s="126">
        <f t="shared" si="61"/>
        <v>59000</v>
      </c>
      <c r="X546" s="126">
        <f t="shared" si="63"/>
        <v>983.33333333333337</v>
      </c>
      <c r="Y546" s="128" t="s">
        <v>1767</v>
      </c>
      <c r="Z546" s="119" t="s">
        <v>35</v>
      </c>
      <c r="AA546" s="119" t="s">
        <v>35</v>
      </c>
      <c r="AB546" s="119" t="s">
        <v>1776</v>
      </c>
      <c r="AC546" s="119">
        <v>0</v>
      </c>
      <c r="AD546" s="119">
        <v>1</v>
      </c>
      <c r="AE546" s="119" t="s">
        <v>42</v>
      </c>
      <c r="AF546" s="119" t="s">
        <v>43</v>
      </c>
      <c r="AG546" s="119" t="s">
        <v>38</v>
      </c>
      <c r="AH546" s="119" t="s">
        <v>92</v>
      </c>
    </row>
    <row r="547" spans="1:34" x14ac:dyDescent="0.3">
      <c r="A547" s="118" t="s">
        <v>1776</v>
      </c>
      <c r="B547" s="119" t="s">
        <v>1809</v>
      </c>
      <c r="C547" s="119" t="s">
        <v>1810</v>
      </c>
      <c r="D547" s="120">
        <v>45215</v>
      </c>
      <c r="E547" s="121">
        <v>320000</v>
      </c>
      <c r="F547" s="119" t="s">
        <v>32</v>
      </c>
      <c r="G547" s="119" t="s">
        <v>33</v>
      </c>
      <c r="H547" s="121">
        <v>320000</v>
      </c>
      <c r="I547" s="121">
        <v>128800</v>
      </c>
      <c r="J547" s="122">
        <f t="shared" si="56"/>
        <v>40.25</v>
      </c>
      <c r="K547" s="121">
        <v>303180</v>
      </c>
      <c r="L547" s="121">
        <f>H547-292163</f>
        <v>27837</v>
      </c>
      <c r="M547" s="121">
        <v>11017</v>
      </c>
      <c r="N547" s="123">
        <f t="shared" si="57"/>
        <v>3.4428124999999997E-2</v>
      </c>
      <c r="O547" s="124">
        <v>64.8</v>
      </c>
      <c r="P547" s="125">
        <v>140</v>
      </c>
      <c r="Q547" s="126">
        <v>0.193</v>
      </c>
      <c r="R547" s="126">
        <v>0.193</v>
      </c>
      <c r="S547" s="121">
        <f t="shared" si="58"/>
        <v>429.58333333333337</v>
      </c>
      <c r="T547" s="121">
        <f t="shared" si="59"/>
        <v>144233.16062176166</v>
      </c>
      <c r="U547" s="127">
        <f t="shared" si="60"/>
        <v>3.3111377553205159</v>
      </c>
      <c r="V547" s="126">
        <v>60</v>
      </c>
      <c r="W547" s="126">
        <f t="shared" si="61"/>
        <v>64000</v>
      </c>
      <c r="X547" s="126">
        <f t="shared" si="63"/>
        <v>1066.6666666666667</v>
      </c>
      <c r="Y547" s="128" t="s">
        <v>1767</v>
      </c>
      <c r="Z547" s="119" t="s">
        <v>35</v>
      </c>
      <c r="AA547" s="119" t="s">
        <v>35</v>
      </c>
      <c r="AB547" s="119" t="s">
        <v>1776</v>
      </c>
      <c r="AC547" s="119">
        <v>0</v>
      </c>
      <c r="AD547" s="119">
        <v>1</v>
      </c>
      <c r="AE547" s="119" t="s">
        <v>42</v>
      </c>
      <c r="AF547" s="119" t="s">
        <v>43</v>
      </c>
      <c r="AG547" s="119" t="s">
        <v>38</v>
      </c>
      <c r="AH547" s="119" t="s">
        <v>92</v>
      </c>
    </row>
    <row r="548" spans="1:34" x14ac:dyDescent="0.3">
      <c r="A548" s="107" t="s">
        <v>1824</v>
      </c>
      <c r="B548" s="108" t="s">
        <v>1821</v>
      </c>
      <c r="C548" s="108" t="s">
        <v>1822</v>
      </c>
      <c r="D548" s="109">
        <v>45660</v>
      </c>
      <c r="E548" s="110">
        <v>145000</v>
      </c>
      <c r="F548" s="108" t="s">
        <v>32</v>
      </c>
      <c r="G548" s="108" t="s">
        <v>33</v>
      </c>
      <c r="H548" s="110">
        <v>145000</v>
      </c>
      <c r="I548" s="110">
        <v>80800</v>
      </c>
      <c r="J548" s="111">
        <f t="shared" si="56"/>
        <v>55.724137931034477</v>
      </c>
      <c r="K548" s="110">
        <v>199288</v>
      </c>
      <c r="L548" s="110">
        <f>H548-189314</f>
        <v>-44314</v>
      </c>
      <c r="M548" s="110">
        <v>9974</v>
      </c>
      <c r="N548" s="112">
        <f t="shared" si="57"/>
        <v>6.8786206896551724E-2</v>
      </c>
      <c r="O548" s="113">
        <v>74.430000000000007</v>
      </c>
      <c r="P548" s="114">
        <v>305.26</v>
      </c>
      <c r="Q548" s="115">
        <v>0.46300000000000002</v>
      </c>
      <c r="R548" s="115">
        <v>0.46300000000000002</v>
      </c>
      <c r="S548" s="110">
        <f t="shared" si="58"/>
        <v>-595.37820771194401</v>
      </c>
      <c r="T548" s="110">
        <f t="shared" si="59"/>
        <v>-95710.583153347732</v>
      </c>
      <c r="U548" s="116">
        <f t="shared" si="60"/>
        <v>-2.197212652739847</v>
      </c>
      <c r="V548" s="115">
        <v>66</v>
      </c>
      <c r="W548" s="115">
        <f t="shared" si="61"/>
        <v>29000</v>
      </c>
      <c r="X548" s="115">
        <f t="shared" si="63"/>
        <v>439.39393939393938</v>
      </c>
      <c r="Y548" s="117" t="s">
        <v>1823</v>
      </c>
      <c r="Z548" s="108" t="s">
        <v>35</v>
      </c>
      <c r="AA548" s="108" t="s">
        <v>35</v>
      </c>
      <c r="AB548" s="108" t="s">
        <v>1824</v>
      </c>
      <c r="AC548" s="108">
        <v>0</v>
      </c>
      <c r="AD548" s="108">
        <v>1</v>
      </c>
      <c r="AE548" s="108" t="s">
        <v>1825</v>
      </c>
      <c r="AF548" s="108" t="s">
        <v>35</v>
      </c>
      <c r="AG548" s="108" t="s">
        <v>38</v>
      </c>
      <c r="AH548" s="108" t="s">
        <v>92</v>
      </c>
    </row>
    <row r="549" spans="1:34" x14ac:dyDescent="0.3">
      <c r="A549" s="107" t="s">
        <v>1829</v>
      </c>
      <c r="B549" s="108" t="s">
        <v>1877</v>
      </c>
      <c r="C549" s="108" t="s">
        <v>1878</v>
      </c>
      <c r="D549" s="109">
        <v>45471</v>
      </c>
      <c r="E549" s="110">
        <v>65625</v>
      </c>
      <c r="F549" s="108" t="s">
        <v>32</v>
      </c>
      <c r="G549" s="108" t="s">
        <v>33</v>
      </c>
      <c r="H549" s="110">
        <v>65625</v>
      </c>
      <c r="I549" s="110">
        <v>56000</v>
      </c>
      <c r="J549" s="111">
        <f t="shared" si="56"/>
        <v>85.333333333333343</v>
      </c>
      <c r="K549" s="110">
        <v>128573</v>
      </c>
      <c r="L549" s="110">
        <f>H549-119145</f>
        <v>-53520</v>
      </c>
      <c r="M549" s="110">
        <v>9428</v>
      </c>
      <c r="N549" s="112">
        <f t="shared" si="57"/>
        <v>0.14366476190476191</v>
      </c>
      <c r="O549" s="113">
        <v>46.9</v>
      </c>
      <c r="P549" s="114">
        <v>110</v>
      </c>
      <c r="Q549" s="115">
        <v>0.126</v>
      </c>
      <c r="R549" s="115">
        <v>0.126</v>
      </c>
      <c r="S549" s="110">
        <f t="shared" si="58"/>
        <v>-1141.1513859275053</v>
      </c>
      <c r="T549" s="110">
        <f t="shared" si="59"/>
        <v>-424761.90476190473</v>
      </c>
      <c r="U549" s="116">
        <f t="shared" si="60"/>
        <v>-9.7511915693733862</v>
      </c>
      <c r="V549" s="115">
        <v>50</v>
      </c>
      <c r="W549" s="115">
        <f t="shared" si="61"/>
        <v>13125</v>
      </c>
      <c r="X549" s="115">
        <f t="shared" si="63"/>
        <v>262.5</v>
      </c>
      <c r="Y549" s="117" t="s">
        <v>1828</v>
      </c>
      <c r="Z549" s="108" t="s">
        <v>35</v>
      </c>
      <c r="AA549" s="108" t="s">
        <v>35</v>
      </c>
      <c r="AB549" s="108" t="s">
        <v>1829</v>
      </c>
      <c r="AC549" s="108">
        <v>0</v>
      </c>
      <c r="AD549" s="108">
        <v>1</v>
      </c>
      <c r="AE549" s="108" t="s">
        <v>42</v>
      </c>
      <c r="AF549" s="108" t="s">
        <v>43</v>
      </c>
      <c r="AG549" s="108" t="s">
        <v>38</v>
      </c>
      <c r="AH549" s="108" t="s">
        <v>1830</v>
      </c>
    </row>
    <row r="550" spans="1:34" x14ac:dyDescent="0.3">
      <c r="A550" s="107" t="s">
        <v>1829</v>
      </c>
      <c r="B550" s="108" t="s">
        <v>1891</v>
      </c>
      <c r="C550" s="108" t="s">
        <v>1892</v>
      </c>
      <c r="D550" s="109">
        <v>45568</v>
      </c>
      <c r="E550" s="110">
        <v>180000</v>
      </c>
      <c r="F550" s="108" t="s">
        <v>32</v>
      </c>
      <c r="G550" s="108" t="s">
        <v>33</v>
      </c>
      <c r="H550" s="110">
        <v>180000</v>
      </c>
      <c r="I550" s="110">
        <v>83200</v>
      </c>
      <c r="J550" s="111">
        <f t="shared" si="56"/>
        <v>46.222222222222221</v>
      </c>
      <c r="K550" s="110">
        <v>195296</v>
      </c>
      <c r="L550" s="110">
        <f>H550-170709</f>
        <v>9291</v>
      </c>
      <c r="M550" s="110">
        <v>24587</v>
      </c>
      <c r="N550" s="112">
        <f t="shared" si="57"/>
        <v>0.13659444444444444</v>
      </c>
      <c r="O550" s="113">
        <v>122.32</v>
      </c>
      <c r="P550" s="114">
        <v>114.14</v>
      </c>
      <c r="Q550" s="115">
        <v>0.33500000000000002</v>
      </c>
      <c r="R550" s="115">
        <v>0.33500000000000002</v>
      </c>
      <c r="S550" s="110">
        <f t="shared" si="58"/>
        <v>75.95650752125573</v>
      </c>
      <c r="T550" s="110">
        <f t="shared" si="59"/>
        <v>27734.328358208953</v>
      </c>
      <c r="U550" s="116">
        <f t="shared" si="60"/>
        <v>0.63669257020681713</v>
      </c>
      <c r="V550" s="115">
        <v>128.01</v>
      </c>
      <c r="W550" s="115">
        <f t="shared" si="61"/>
        <v>36000</v>
      </c>
      <c r="X550" s="115">
        <f t="shared" si="63"/>
        <v>281.22802906022969</v>
      </c>
      <c r="Y550" s="117" t="s">
        <v>1828</v>
      </c>
      <c r="Z550" s="108" t="s">
        <v>35</v>
      </c>
      <c r="AA550" s="108" t="s">
        <v>35</v>
      </c>
      <c r="AB550" s="108" t="s">
        <v>1829</v>
      </c>
      <c r="AC550" s="108">
        <v>0</v>
      </c>
      <c r="AD550" s="108">
        <v>1</v>
      </c>
      <c r="AE550" s="108" t="s">
        <v>37</v>
      </c>
      <c r="AF550" s="108" t="s">
        <v>43</v>
      </c>
      <c r="AG550" s="108" t="s">
        <v>38</v>
      </c>
      <c r="AH550" s="108" t="s">
        <v>1830</v>
      </c>
    </row>
    <row r="551" spans="1:34" x14ac:dyDescent="0.3">
      <c r="A551" s="107" t="s">
        <v>1829</v>
      </c>
      <c r="B551" s="108" t="s">
        <v>1869</v>
      </c>
      <c r="C551" s="108" t="s">
        <v>1870</v>
      </c>
      <c r="D551" s="109">
        <v>45132</v>
      </c>
      <c r="E551" s="110">
        <v>178000</v>
      </c>
      <c r="F551" s="108" t="s">
        <v>32</v>
      </c>
      <c r="G551" s="108" t="s">
        <v>33</v>
      </c>
      <c r="H551" s="110">
        <v>178000</v>
      </c>
      <c r="I551" s="110">
        <v>90100</v>
      </c>
      <c r="J551" s="111">
        <f t="shared" si="56"/>
        <v>50.617977528089888</v>
      </c>
      <c r="K551" s="110">
        <v>241140</v>
      </c>
      <c r="L551" s="110">
        <f>H551-214970</f>
        <v>-36970</v>
      </c>
      <c r="M551" s="110">
        <v>26170</v>
      </c>
      <c r="N551" s="112">
        <f t="shared" si="57"/>
        <v>0.14702247191011236</v>
      </c>
      <c r="O551" s="113">
        <v>130.19</v>
      </c>
      <c r="P551" s="114">
        <v>147.15</v>
      </c>
      <c r="Q551" s="115">
        <v>0.40500000000000003</v>
      </c>
      <c r="R551" s="115">
        <v>0.40500000000000003</v>
      </c>
      <c r="S551" s="110">
        <f t="shared" si="58"/>
        <v>-283.96958291727475</v>
      </c>
      <c r="T551" s="110">
        <f t="shared" si="59"/>
        <v>-91283.950617283946</v>
      </c>
      <c r="U551" s="116">
        <f t="shared" si="60"/>
        <v>-2.09559115283021</v>
      </c>
      <c r="V551" s="115">
        <v>120</v>
      </c>
      <c r="W551" s="115">
        <f t="shared" si="61"/>
        <v>35600</v>
      </c>
      <c r="X551" s="115">
        <f t="shared" si="63"/>
        <v>296.66666666666669</v>
      </c>
      <c r="Y551" s="117" t="s">
        <v>1828</v>
      </c>
      <c r="Z551" s="108" t="s">
        <v>35</v>
      </c>
      <c r="AA551" s="108" t="s">
        <v>35</v>
      </c>
      <c r="AB551" s="108" t="s">
        <v>1829</v>
      </c>
      <c r="AC551" s="108">
        <v>0</v>
      </c>
      <c r="AD551" s="108">
        <v>1</v>
      </c>
      <c r="AE551" s="108" t="s">
        <v>42</v>
      </c>
      <c r="AF551" s="108" t="s">
        <v>43</v>
      </c>
      <c r="AG551" s="108" t="s">
        <v>38</v>
      </c>
      <c r="AH551" s="108" t="s">
        <v>1830</v>
      </c>
    </row>
    <row r="552" spans="1:34" x14ac:dyDescent="0.3">
      <c r="A552" s="107" t="s">
        <v>1829</v>
      </c>
      <c r="B552" s="108" t="s">
        <v>1883</v>
      </c>
      <c r="C552" s="108" t="s">
        <v>1884</v>
      </c>
      <c r="D552" s="109">
        <v>45125</v>
      </c>
      <c r="E552" s="110">
        <v>185000</v>
      </c>
      <c r="F552" s="108" t="s">
        <v>32</v>
      </c>
      <c r="G552" s="108" t="s">
        <v>33</v>
      </c>
      <c r="H552" s="110">
        <v>185000</v>
      </c>
      <c r="I552" s="110">
        <v>53900</v>
      </c>
      <c r="J552" s="111">
        <f t="shared" si="56"/>
        <v>29.135135135135137</v>
      </c>
      <c r="K552" s="110">
        <v>141551</v>
      </c>
      <c r="L552" s="110">
        <f>H552-118129</f>
        <v>66871</v>
      </c>
      <c r="M552" s="110">
        <v>23422</v>
      </c>
      <c r="N552" s="112">
        <f t="shared" si="57"/>
        <v>0.12660540540540541</v>
      </c>
      <c r="O552" s="113">
        <v>116.52</v>
      </c>
      <c r="P552" s="114">
        <v>127.4</v>
      </c>
      <c r="Q552" s="115">
        <v>0.33400000000000002</v>
      </c>
      <c r="R552" s="115">
        <v>0.33400000000000002</v>
      </c>
      <c r="S552" s="110">
        <f t="shared" si="58"/>
        <v>573.90147614143496</v>
      </c>
      <c r="T552" s="110">
        <f t="shared" si="59"/>
        <v>200212.5748502994</v>
      </c>
      <c r="U552" s="116">
        <f t="shared" si="60"/>
        <v>4.5962482748002618</v>
      </c>
      <c r="V552" s="115">
        <v>117.6</v>
      </c>
      <c r="W552" s="115">
        <f t="shared" si="61"/>
        <v>37000</v>
      </c>
      <c r="X552" s="115">
        <f t="shared" si="63"/>
        <v>314.62585034013608</v>
      </c>
      <c r="Y552" s="117" t="s">
        <v>1828</v>
      </c>
      <c r="Z552" s="108" t="s">
        <v>35</v>
      </c>
      <c r="AA552" s="108" t="s">
        <v>35</v>
      </c>
      <c r="AB552" s="108" t="s">
        <v>1829</v>
      </c>
      <c r="AC552" s="108">
        <v>0</v>
      </c>
      <c r="AD552" s="108">
        <v>1</v>
      </c>
      <c r="AE552" s="108" t="s">
        <v>42</v>
      </c>
      <c r="AF552" s="108" t="s">
        <v>43</v>
      </c>
      <c r="AG552" s="108" t="s">
        <v>38</v>
      </c>
      <c r="AH552" s="108" t="s">
        <v>1830</v>
      </c>
    </row>
    <row r="553" spans="1:34" x14ac:dyDescent="0.3">
      <c r="A553" s="118" t="s">
        <v>1829</v>
      </c>
      <c r="B553" s="119" t="s">
        <v>1871</v>
      </c>
      <c r="C553" s="119" t="s">
        <v>1872</v>
      </c>
      <c r="D553" s="120">
        <v>45576</v>
      </c>
      <c r="E553" s="121">
        <v>205001</v>
      </c>
      <c r="F553" s="119" t="s">
        <v>32</v>
      </c>
      <c r="G553" s="119" t="s">
        <v>33</v>
      </c>
      <c r="H553" s="121">
        <v>205001</v>
      </c>
      <c r="I553" s="121">
        <v>86200</v>
      </c>
      <c r="J553" s="122">
        <f t="shared" si="56"/>
        <v>42.048575372803057</v>
      </c>
      <c r="K553" s="121">
        <v>199021</v>
      </c>
      <c r="L553" s="121">
        <f>H553-173705</f>
        <v>31296</v>
      </c>
      <c r="M553" s="121">
        <v>25316</v>
      </c>
      <c r="N553" s="123">
        <f t="shared" si="57"/>
        <v>0.12349208052643645</v>
      </c>
      <c r="O553" s="124">
        <v>125.95</v>
      </c>
      <c r="P553" s="125">
        <v>135.09</v>
      </c>
      <c r="Q553" s="126">
        <v>0.372</v>
      </c>
      <c r="R553" s="126">
        <v>0.372</v>
      </c>
      <c r="S553" s="121">
        <f t="shared" si="58"/>
        <v>248.47955537911869</v>
      </c>
      <c r="T553" s="121">
        <f t="shared" si="59"/>
        <v>84129.032258064515</v>
      </c>
      <c r="U553" s="127">
        <f t="shared" si="60"/>
        <v>1.9313368286975325</v>
      </c>
      <c r="V553" s="126">
        <v>123.47</v>
      </c>
      <c r="W553" s="126">
        <f t="shared" si="61"/>
        <v>41000.200000000004</v>
      </c>
      <c r="X553" s="126">
        <f t="shared" si="63"/>
        <v>332.0660889284847</v>
      </c>
      <c r="Y553" s="128" t="s">
        <v>1828</v>
      </c>
      <c r="Z553" s="119" t="s">
        <v>35</v>
      </c>
      <c r="AA553" s="119" t="s">
        <v>35</v>
      </c>
      <c r="AB553" s="119" t="s">
        <v>1829</v>
      </c>
      <c r="AC553" s="119">
        <v>0</v>
      </c>
      <c r="AD553" s="119">
        <v>1</v>
      </c>
      <c r="AE553" s="119" t="s">
        <v>37</v>
      </c>
      <c r="AF553" s="119" t="s">
        <v>43</v>
      </c>
      <c r="AG553" s="119" t="s">
        <v>38</v>
      </c>
      <c r="AH553" s="119" t="s">
        <v>1830</v>
      </c>
    </row>
    <row r="554" spans="1:34" x14ac:dyDescent="0.3">
      <c r="A554" s="107" t="s">
        <v>1829</v>
      </c>
      <c r="B554" s="108" t="s">
        <v>1875</v>
      </c>
      <c r="C554" s="108" t="s">
        <v>1876</v>
      </c>
      <c r="D554" s="109">
        <v>45092</v>
      </c>
      <c r="E554" s="110">
        <v>105000</v>
      </c>
      <c r="F554" s="108" t="s">
        <v>32</v>
      </c>
      <c r="G554" s="108" t="s">
        <v>33</v>
      </c>
      <c r="H554" s="110">
        <v>105000</v>
      </c>
      <c r="I554" s="110">
        <v>50800</v>
      </c>
      <c r="J554" s="111">
        <f t="shared" si="56"/>
        <v>48.38095238095238</v>
      </c>
      <c r="K554" s="110">
        <v>134238</v>
      </c>
      <c r="L554" s="110">
        <f>H554-122371</f>
        <v>-17371</v>
      </c>
      <c r="M554" s="110">
        <v>11867</v>
      </c>
      <c r="N554" s="112">
        <f t="shared" si="57"/>
        <v>0.11301904761904762</v>
      </c>
      <c r="O554" s="113">
        <v>59.04</v>
      </c>
      <c r="P554" s="114">
        <v>135</v>
      </c>
      <c r="Q554" s="115">
        <v>0.23499999999999999</v>
      </c>
      <c r="R554" s="115">
        <v>0.17299999999999999</v>
      </c>
      <c r="S554" s="110">
        <f t="shared" si="58"/>
        <v>-294.22425474254743</v>
      </c>
      <c r="T554" s="110">
        <f t="shared" si="59"/>
        <v>-73919.148936170212</v>
      </c>
      <c r="U554" s="116">
        <f t="shared" si="60"/>
        <v>-1.6969501592325578</v>
      </c>
      <c r="V554" s="115">
        <v>58.49</v>
      </c>
      <c r="W554" s="115">
        <f t="shared" si="61"/>
        <v>21000</v>
      </c>
      <c r="X554" s="115">
        <f t="shared" si="63"/>
        <v>359.03573260386389</v>
      </c>
      <c r="Y554" s="117" t="s">
        <v>1828</v>
      </c>
      <c r="Z554" s="108" t="s">
        <v>35</v>
      </c>
      <c r="AA554" s="108" t="s">
        <v>35</v>
      </c>
      <c r="AB554" s="108" t="s">
        <v>1829</v>
      </c>
      <c r="AC554" s="108">
        <v>0</v>
      </c>
      <c r="AD554" s="108">
        <v>1</v>
      </c>
      <c r="AE554" s="108" t="s">
        <v>37</v>
      </c>
      <c r="AF554" s="108" t="s">
        <v>43</v>
      </c>
      <c r="AG554" s="108" t="s">
        <v>38</v>
      </c>
      <c r="AH554" s="108" t="s">
        <v>1830</v>
      </c>
    </row>
    <row r="555" spans="1:34" x14ac:dyDescent="0.3">
      <c r="A555" s="118" t="s">
        <v>1829</v>
      </c>
      <c r="B555" s="119" t="s">
        <v>1873</v>
      </c>
      <c r="C555" s="119" t="s">
        <v>1874</v>
      </c>
      <c r="D555" s="120">
        <v>45182</v>
      </c>
      <c r="E555" s="121">
        <v>220000</v>
      </c>
      <c r="F555" s="119" t="s">
        <v>32</v>
      </c>
      <c r="G555" s="119" t="s">
        <v>33</v>
      </c>
      <c r="H555" s="121">
        <v>220000</v>
      </c>
      <c r="I555" s="121">
        <v>49300</v>
      </c>
      <c r="J555" s="122">
        <f t="shared" si="56"/>
        <v>22.40909090909091</v>
      </c>
      <c r="K555" s="121">
        <v>163185</v>
      </c>
      <c r="L555" s="121">
        <f>H555-139494</f>
        <v>80506</v>
      </c>
      <c r="M555" s="121">
        <v>23691</v>
      </c>
      <c r="N555" s="123">
        <f t="shared" si="57"/>
        <v>0.10768636363636364</v>
      </c>
      <c r="O555" s="124">
        <v>117.86</v>
      </c>
      <c r="P555" s="125">
        <v>135.09</v>
      </c>
      <c r="Q555" s="126">
        <v>0.35499999999999998</v>
      </c>
      <c r="R555" s="126">
        <v>0.35499999999999998</v>
      </c>
      <c r="S555" s="121">
        <f t="shared" si="58"/>
        <v>683.06465297810962</v>
      </c>
      <c r="T555" s="121">
        <f t="shared" si="59"/>
        <v>226777.46478873241</v>
      </c>
      <c r="U555" s="127">
        <f t="shared" si="60"/>
        <v>5.2060942329828377</v>
      </c>
      <c r="V555" s="126">
        <v>111.13</v>
      </c>
      <c r="W555" s="126">
        <f t="shared" si="61"/>
        <v>44000</v>
      </c>
      <c r="X555" s="126">
        <f t="shared" si="63"/>
        <v>395.93269144245482</v>
      </c>
      <c r="Y555" s="128" t="s">
        <v>1828</v>
      </c>
      <c r="Z555" s="119" t="s">
        <v>35</v>
      </c>
      <c r="AA555" s="119" t="s">
        <v>35</v>
      </c>
      <c r="AB555" s="119" t="s">
        <v>1829</v>
      </c>
      <c r="AC555" s="119">
        <v>0</v>
      </c>
      <c r="AD555" s="119">
        <v>1</v>
      </c>
      <c r="AE555" s="119" t="s">
        <v>42</v>
      </c>
      <c r="AF555" s="119" t="s">
        <v>43</v>
      </c>
      <c r="AG555" s="119" t="s">
        <v>38</v>
      </c>
      <c r="AH555" s="119" t="s">
        <v>1830</v>
      </c>
    </row>
    <row r="556" spans="1:34" x14ac:dyDescent="0.3">
      <c r="A556" s="118" t="s">
        <v>1829</v>
      </c>
      <c r="B556" s="119" t="s">
        <v>1863</v>
      </c>
      <c r="C556" s="119" t="s">
        <v>1864</v>
      </c>
      <c r="D556" s="120">
        <v>45224</v>
      </c>
      <c r="E556" s="121">
        <v>140000</v>
      </c>
      <c r="F556" s="119" t="s">
        <v>32</v>
      </c>
      <c r="G556" s="119" t="s">
        <v>33</v>
      </c>
      <c r="H556" s="121">
        <v>140000</v>
      </c>
      <c r="I556" s="121">
        <v>51100</v>
      </c>
      <c r="J556" s="122">
        <f t="shared" si="56"/>
        <v>36.5</v>
      </c>
      <c r="K556" s="121">
        <v>135925</v>
      </c>
      <c r="L556" s="121">
        <f>H556-124612</f>
        <v>15388</v>
      </c>
      <c r="M556" s="121">
        <v>11313</v>
      </c>
      <c r="N556" s="123">
        <f t="shared" si="57"/>
        <v>8.0807142857142855E-2</v>
      </c>
      <c r="O556" s="124">
        <v>56.28</v>
      </c>
      <c r="P556" s="125">
        <v>110</v>
      </c>
      <c r="Q556" s="126">
        <v>0.152</v>
      </c>
      <c r="R556" s="126">
        <v>0.152</v>
      </c>
      <c r="S556" s="121">
        <f t="shared" si="58"/>
        <v>273.4186211798152</v>
      </c>
      <c r="T556" s="121">
        <f t="shared" si="59"/>
        <v>101236.84210526316</v>
      </c>
      <c r="U556" s="127">
        <f t="shared" si="60"/>
        <v>2.3240781015900636</v>
      </c>
      <c r="V556" s="126">
        <v>60</v>
      </c>
      <c r="W556" s="126">
        <f t="shared" si="61"/>
        <v>28000</v>
      </c>
      <c r="X556" s="126">
        <f t="shared" si="63"/>
        <v>466.66666666666669</v>
      </c>
      <c r="Y556" s="128" t="s">
        <v>1828</v>
      </c>
      <c r="Z556" s="119" t="s">
        <v>35</v>
      </c>
      <c r="AA556" s="119" t="s">
        <v>35</v>
      </c>
      <c r="AB556" s="119" t="s">
        <v>1829</v>
      </c>
      <c r="AC556" s="119">
        <v>0</v>
      </c>
      <c r="AD556" s="119">
        <v>1</v>
      </c>
      <c r="AE556" s="119" t="s">
        <v>37</v>
      </c>
      <c r="AF556" s="119" t="s">
        <v>43</v>
      </c>
      <c r="AG556" s="119" t="s">
        <v>38</v>
      </c>
      <c r="AH556" s="119" t="s">
        <v>1830</v>
      </c>
    </row>
    <row r="557" spans="1:34" x14ac:dyDescent="0.3">
      <c r="A557" s="107" t="s">
        <v>1829</v>
      </c>
      <c r="B557" s="108" t="s">
        <v>1881</v>
      </c>
      <c r="C557" s="108" t="s">
        <v>1882</v>
      </c>
      <c r="D557" s="109">
        <v>45597</v>
      </c>
      <c r="E557" s="110">
        <v>140000</v>
      </c>
      <c r="F557" s="108" t="s">
        <v>32</v>
      </c>
      <c r="G557" s="108" t="s">
        <v>33</v>
      </c>
      <c r="H557" s="110">
        <v>140000</v>
      </c>
      <c r="I557" s="110">
        <v>66400</v>
      </c>
      <c r="J557" s="111">
        <f t="shared" si="56"/>
        <v>47.428571428571431</v>
      </c>
      <c r="K557" s="110">
        <v>151058</v>
      </c>
      <c r="L557" s="110">
        <f>H557-138352</f>
        <v>1648</v>
      </c>
      <c r="M557" s="110">
        <v>12706</v>
      </c>
      <c r="N557" s="112">
        <f t="shared" si="57"/>
        <v>9.0757142857142856E-2</v>
      </c>
      <c r="O557" s="113">
        <v>63.21</v>
      </c>
      <c r="P557" s="114">
        <v>135.09</v>
      </c>
      <c r="Q557" s="115">
        <v>0.192</v>
      </c>
      <c r="R557" s="115">
        <v>0.192</v>
      </c>
      <c r="S557" s="110">
        <f t="shared" si="58"/>
        <v>26.071824078468595</v>
      </c>
      <c r="T557" s="110">
        <f t="shared" si="59"/>
        <v>8583.3333333333339</v>
      </c>
      <c r="U557" s="116">
        <f t="shared" si="60"/>
        <v>0.19704621977349251</v>
      </c>
      <c r="V557" s="115">
        <v>58.49</v>
      </c>
      <c r="W557" s="115">
        <f t="shared" si="61"/>
        <v>28000</v>
      </c>
      <c r="X557" s="115">
        <f t="shared" si="63"/>
        <v>478.71431013848519</v>
      </c>
      <c r="Y557" s="117" t="s">
        <v>1828</v>
      </c>
      <c r="Z557" s="108" t="s">
        <v>35</v>
      </c>
      <c r="AA557" s="108" t="s">
        <v>35</v>
      </c>
      <c r="AB557" s="108" t="s">
        <v>1829</v>
      </c>
      <c r="AC557" s="108">
        <v>0</v>
      </c>
      <c r="AD557" s="108">
        <v>1</v>
      </c>
      <c r="AE557" s="108" t="s">
        <v>37</v>
      </c>
      <c r="AF557" s="108" t="s">
        <v>35</v>
      </c>
      <c r="AG557" s="108" t="s">
        <v>38</v>
      </c>
      <c r="AH557" s="108" t="s">
        <v>1830</v>
      </c>
    </row>
    <row r="558" spans="1:34" x14ac:dyDescent="0.3">
      <c r="A558" s="118" t="s">
        <v>1829</v>
      </c>
      <c r="B558" s="119" t="s">
        <v>1877</v>
      </c>
      <c r="C558" s="119" t="s">
        <v>1878</v>
      </c>
      <c r="D558" s="120">
        <v>45623</v>
      </c>
      <c r="E558" s="121">
        <v>130900</v>
      </c>
      <c r="F558" s="119" t="s">
        <v>32</v>
      </c>
      <c r="G558" s="119" t="s">
        <v>33</v>
      </c>
      <c r="H558" s="121">
        <v>130900</v>
      </c>
      <c r="I558" s="121">
        <v>56000</v>
      </c>
      <c r="J558" s="122">
        <f t="shared" si="56"/>
        <v>42.780748663101605</v>
      </c>
      <c r="K558" s="121">
        <v>128573</v>
      </c>
      <c r="L558" s="121">
        <f>H558-119145</f>
        <v>11755</v>
      </c>
      <c r="M558" s="121">
        <v>9428</v>
      </c>
      <c r="N558" s="123">
        <f t="shared" si="57"/>
        <v>7.2024446142093204E-2</v>
      </c>
      <c r="O558" s="124">
        <v>46.9</v>
      </c>
      <c r="P558" s="125">
        <v>110</v>
      </c>
      <c r="Q558" s="126">
        <v>0.126</v>
      </c>
      <c r="R558" s="126">
        <v>0.126</v>
      </c>
      <c r="S558" s="121">
        <f t="shared" si="58"/>
        <v>250.63965884861409</v>
      </c>
      <c r="T558" s="121">
        <f t="shared" si="59"/>
        <v>93293.650793650799</v>
      </c>
      <c r="U558" s="127">
        <f t="shared" si="60"/>
        <v>2.1417275205153996</v>
      </c>
      <c r="V558" s="126">
        <v>50</v>
      </c>
      <c r="W558" s="126">
        <f t="shared" si="61"/>
        <v>26180</v>
      </c>
      <c r="X558" s="126">
        <f t="shared" si="63"/>
        <v>523.6</v>
      </c>
      <c r="Y558" s="128" t="s">
        <v>1828</v>
      </c>
      <c r="Z558" s="119" t="s">
        <v>35</v>
      </c>
      <c r="AA558" s="119" t="s">
        <v>35</v>
      </c>
      <c r="AB558" s="119" t="s">
        <v>1829</v>
      </c>
      <c r="AC558" s="119">
        <v>0</v>
      </c>
      <c r="AD558" s="119">
        <v>1</v>
      </c>
      <c r="AE558" s="119" t="s">
        <v>42</v>
      </c>
      <c r="AF558" s="119" t="s">
        <v>35</v>
      </c>
      <c r="AG558" s="119" t="s">
        <v>38</v>
      </c>
      <c r="AH558" s="119" t="s">
        <v>1830</v>
      </c>
    </row>
    <row r="559" spans="1:34" x14ac:dyDescent="0.3">
      <c r="A559" s="118" t="s">
        <v>1829</v>
      </c>
      <c r="B559" s="119" t="s">
        <v>1865</v>
      </c>
      <c r="C559" s="119" t="s">
        <v>1866</v>
      </c>
      <c r="D559" s="120">
        <v>45464</v>
      </c>
      <c r="E559" s="121">
        <v>159000</v>
      </c>
      <c r="F559" s="119" t="s">
        <v>32</v>
      </c>
      <c r="G559" s="119" t="s">
        <v>33</v>
      </c>
      <c r="H559" s="121">
        <v>159000</v>
      </c>
      <c r="I559" s="121">
        <v>57000</v>
      </c>
      <c r="J559" s="122">
        <f t="shared" si="56"/>
        <v>35.849056603773583</v>
      </c>
      <c r="K559" s="121">
        <v>134903</v>
      </c>
      <c r="L559" s="121">
        <f>H559-123590</f>
        <v>35410</v>
      </c>
      <c r="M559" s="121">
        <v>11313</v>
      </c>
      <c r="N559" s="123">
        <f t="shared" si="57"/>
        <v>7.1150943396226421E-2</v>
      </c>
      <c r="O559" s="124">
        <v>56.28</v>
      </c>
      <c r="P559" s="125">
        <v>110</v>
      </c>
      <c r="Q559" s="126">
        <v>0.152</v>
      </c>
      <c r="R559" s="126">
        <v>0.152</v>
      </c>
      <c r="S559" s="121">
        <f t="shared" si="58"/>
        <v>629.1755508173419</v>
      </c>
      <c r="T559" s="121">
        <f t="shared" si="59"/>
        <v>232960.52631578947</v>
      </c>
      <c r="U559" s="127">
        <f t="shared" si="60"/>
        <v>5.3480377942100432</v>
      </c>
      <c r="V559" s="126">
        <v>60</v>
      </c>
      <c r="W559" s="126">
        <f t="shared" si="61"/>
        <v>31800</v>
      </c>
      <c r="X559" s="126">
        <f t="shared" si="63"/>
        <v>530</v>
      </c>
      <c r="Y559" s="128" t="s">
        <v>1828</v>
      </c>
      <c r="Z559" s="119" t="s">
        <v>35</v>
      </c>
      <c r="AA559" s="119" t="s">
        <v>35</v>
      </c>
      <c r="AB559" s="119" t="s">
        <v>1829</v>
      </c>
      <c r="AC559" s="119">
        <v>0</v>
      </c>
      <c r="AD559" s="119">
        <v>1</v>
      </c>
      <c r="AE559" s="119" t="s">
        <v>42</v>
      </c>
      <c r="AF559" s="119" t="s">
        <v>43</v>
      </c>
      <c r="AG559" s="119" t="s">
        <v>38</v>
      </c>
      <c r="AH559" s="119" t="s">
        <v>1830</v>
      </c>
    </row>
    <row r="560" spans="1:34" x14ac:dyDescent="0.3">
      <c r="A560" s="118" t="s">
        <v>1829</v>
      </c>
      <c r="B560" s="119" t="s">
        <v>1879</v>
      </c>
      <c r="C560" s="119" t="s">
        <v>1880</v>
      </c>
      <c r="D560" s="120">
        <v>45615</v>
      </c>
      <c r="E560" s="121">
        <v>140000</v>
      </c>
      <c r="F560" s="119" t="s">
        <v>32</v>
      </c>
      <c r="G560" s="119" t="s">
        <v>33</v>
      </c>
      <c r="H560" s="121">
        <v>140000</v>
      </c>
      <c r="I560" s="121">
        <v>65200</v>
      </c>
      <c r="J560" s="122">
        <f t="shared" si="56"/>
        <v>46.571428571428569</v>
      </c>
      <c r="K560" s="121">
        <v>145694</v>
      </c>
      <c r="L560" s="121">
        <f>H560-136266</f>
        <v>3734</v>
      </c>
      <c r="M560" s="121">
        <v>9428</v>
      </c>
      <c r="N560" s="123">
        <f t="shared" si="57"/>
        <v>6.7342857142857149E-2</v>
      </c>
      <c r="O560" s="124">
        <v>46.9</v>
      </c>
      <c r="P560" s="125">
        <v>110</v>
      </c>
      <c r="Q560" s="126">
        <v>0.126</v>
      </c>
      <c r="R560" s="126">
        <v>0.126</v>
      </c>
      <c r="S560" s="121">
        <f t="shared" si="58"/>
        <v>79.616204690831566</v>
      </c>
      <c r="T560" s="121">
        <f t="shared" si="59"/>
        <v>29634.920634920636</v>
      </c>
      <c r="U560" s="127">
        <f t="shared" si="60"/>
        <v>0.68032416517265004</v>
      </c>
      <c r="V560" s="126">
        <v>50</v>
      </c>
      <c r="W560" s="126">
        <f t="shared" si="61"/>
        <v>28000</v>
      </c>
      <c r="X560" s="126">
        <f t="shared" si="63"/>
        <v>560</v>
      </c>
      <c r="Y560" s="128" t="s">
        <v>1828</v>
      </c>
      <c r="Z560" s="119" t="s">
        <v>35</v>
      </c>
      <c r="AA560" s="119" t="s">
        <v>35</v>
      </c>
      <c r="AB560" s="119" t="s">
        <v>1829</v>
      </c>
      <c r="AC560" s="119">
        <v>0</v>
      </c>
      <c r="AD560" s="119">
        <v>1</v>
      </c>
      <c r="AE560" s="119" t="s">
        <v>42</v>
      </c>
      <c r="AF560" s="119" t="s">
        <v>35</v>
      </c>
      <c r="AG560" s="119" t="s">
        <v>38</v>
      </c>
      <c r="AH560" s="119" t="s">
        <v>1830</v>
      </c>
    </row>
    <row r="561" spans="1:34" x14ac:dyDescent="0.3">
      <c r="A561" s="107" t="s">
        <v>1829</v>
      </c>
      <c r="B561" s="108" t="s">
        <v>1889</v>
      </c>
      <c r="C561" s="108" t="s">
        <v>1890</v>
      </c>
      <c r="D561" s="109">
        <v>45474</v>
      </c>
      <c r="E561" s="110">
        <v>129000</v>
      </c>
      <c r="F561" s="108" t="s">
        <v>32</v>
      </c>
      <c r="G561" s="108" t="s">
        <v>33</v>
      </c>
      <c r="H561" s="110">
        <v>129000</v>
      </c>
      <c r="I561" s="110">
        <v>56300</v>
      </c>
      <c r="J561" s="111">
        <f t="shared" si="56"/>
        <v>43.643410852713174</v>
      </c>
      <c r="K561" s="110">
        <v>128947</v>
      </c>
      <c r="L561" s="110">
        <f>H561-120831</f>
        <v>8169</v>
      </c>
      <c r="M561" s="110">
        <v>8116</v>
      </c>
      <c r="N561" s="112">
        <f t="shared" si="57"/>
        <v>6.2914728682170545E-2</v>
      </c>
      <c r="O561" s="113">
        <v>40.369999999999997</v>
      </c>
      <c r="P561" s="114">
        <v>127.36</v>
      </c>
      <c r="Q561" s="115">
        <v>0.11700000000000001</v>
      </c>
      <c r="R561" s="115">
        <v>0.11700000000000001</v>
      </c>
      <c r="S561" s="110">
        <f t="shared" si="58"/>
        <v>202.35323259846422</v>
      </c>
      <c r="T561" s="110">
        <f t="shared" si="59"/>
        <v>69820.512820512813</v>
      </c>
      <c r="U561" s="116">
        <f t="shared" si="60"/>
        <v>1.602858421040239</v>
      </c>
      <c r="V561" s="115">
        <v>40</v>
      </c>
      <c r="W561" s="115">
        <f t="shared" si="61"/>
        <v>25800</v>
      </c>
      <c r="X561" s="115">
        <f t="shared" si="63"/>
        <v>645</v>
      </c>
      <c r="Y561" s="117" t="s">
        <v>1828</v>
      </c>
      <c r="Z561" s="108" t="s">
        <v>35</v>
      </c>
      <c r="AA561" s="108" t="s">
        <v>35</v>
      </c>
      <c r="AB561" s="108" t="s">
        <v>1829</v>
      </c>
      <c r="AC561" s="108">
        <v>0</v>
      </c>
      <c r="AD561" s="108">
        <v>1</v>
      </c>
      <c r="AE561" s="108" t="s">
        <v>37</v>
      </c>
      <c r="AF561" s="108" t="s">
        <v>43</v>
      </c>
      <c r="AG561" s="108" t="s">
        <v>38</v>
      </c>
      <c r="AH561" s="108" t="s">
        <v>1830</v>
      </c>
    </row>
    <row r="562" spans="1:34" x14ac:dyDescent="0.3">
      <c r="A562" s="118" t="s">
        <v>1829</v>
      </c>
      <c r="B562" s="119" t="s">
        <v>1885</v>
      </c>
      <c r="C562" s="119" t="s">
        <v>1886</v>
      </c>
      <c r="D562" s="120">
        <v>45167</v>
      </c>
      <c r="E562" s="121">
        <v>144000</v>
      </c>
      <c r="F562" s="119" t="s">
        <v>32</v>
      </c>
      <c r="G562" s="119" t="s">
        <v>33</v>
      </c>
      <c r="H562" s="121">
        <v>144000</v>
      </c>
      <c r="I562" s="121">
        <v>50100</v>
      </c>
      <c r="J562" s="122">
        <f t="shared" si="56"/>
        <v>34.791666666666664</v>
      </c>
      <c r="K562" s="121">
        <v>126984</v>
      </c>
      <c r="L562" s="121">
        <f>H562-118907</f>
        <v>25093</v>
      </c>
      <c r="M562" s="121">
        <v>8077</v>
      </c>
      <c r="N562" s="123">
        <f t="shared" si="57"/>
        <v>5.6090277777777781E-2</v>
      </c>
      <c r="O562" s="124">
        <v>40.18</v>
      </c>
      <c r="P562" s="125">
        <v>126.14</v>
      </c>
      <c r="Q562" s="126">
        <v>0.11600000000000001</v>
      </c>
      <c r="R562" s="126">
        <v>0.11600000000000001</v>
      </c>
      <c r="S562" s="121">
        <f t="shared" si="58"/>
        <v>624.51468392234938</v>
      </c>
      <c r="T562" s="121">
        <f t="shared" si="59"/>
        <v>216318.96551724136</v>
      </c>
      <c r="U562" s="127">
        <f t="shared" si="60"/>
        <v>4.9660001266584333</v>
      </c>
      <c r="V562" s="126">
        <v>40</v>
      </c>
      <c r="W562" s="126">
        <f t="shared" si="61"/>
        <v>28800</v>
      </c>
      <c r="X562" s="126">
        <f t="shared" si="63"/>
        <v>720</v>
      </c>
      <c r="Y562" s="128" t="s">
        <v>1828</v>
      </c>
      <c r="Z562" s="119" t="s">
        <v>35</v>
      </c>
      <c r="AA562" s="119" t="s">
        <v>35</v>
      </c>
      <c r="AB562" s="119" t="s">
        <v>1829</v>
      </c>
      <c r="AC562" s="119">
        <v>0</v>
      </c>
      <c r="AD562" s="119">
        <v>1</v>
      </c>
      <c r="AE562" s="119" t="s">
        <v>37</v>
      </c>
      <c r="AF562" s="119" t="s">
        <v>43</v>
      </c>
      <c r="AG562" s="119" t="s">
        <v>38</v>
      </c>
      <c r="AH562" s="119" t="s">
        <v>1830</v>
      </c>
    </row>
    <row r="563" spans="1:34" x14ac:dyDescent="0.3">
      <c r="A563" s="107" t="s">
        <v>1829</v>
      </c>
      <c r="B563" s="108" t="s">
        <v>1867</v>
      </c>
      <c r="C563" s="108" t="s">
        <v>1868</v>
      </c>
      <c r="D563" s="109">
        <v>45449</v>
      </c>
      <c r="E563" s="110">
        <v>150000</v>
      </c>
      <c r="F563" s="108" t="s">
        <v>32</v>
      </c>
      <c r="G563" s="108" t="s">
        <v>33</v>
      </c>
      <c r="H563" s="110">
        <v>150000</v>
      </c>
      <c r="I563" s="110">
        <v>60800</v>
      </c>
      <c r="J563" s="111">
        <f t="shared" si="56"/>
        <v>40.533333333333331</v>
      </c>
      <c r="K563" s="110">
        <v>138596</v>
      </c>
      <c r="L563" s="110">
        <f>H563-131054</f>
        <v>18946</v>
      </c>
      <c r="M563" s="110">
        <v>7542</v>
      </c>
      <c r="N563" s="112">
        <f t="shared" si="57"/>
        <v>5.0279999999999998E-2</v>
      </c>
      <c r="O563" s="113">
        <v>37.520000000000003</v>
      </c>
      <c r="P563" s="114">
        <v>110</v>
      </c>
      <c r="Q563" s="115">
        <v>0.10100000000000001</v>
      </c>
      <c r="R563" s="115">
        <v>0.10100000000000001</v>
      </c>
      <c r="S563" s="110">
        <f t="shared" si="58"/>
        <v>504.95735607675903</v>
      </c>
      <c r="T563" s="110">
        <f t="shared" si="59"/>
        <v>187584.15841584158</v>
      </c>
      <c r="U563" s="116">
        <f t="shared" si="60"/>
        <v>4.3063397248815791</v>
      </c>
      <c r="V563" s="115">
        <v>40</v>
      </c>
      <c r="W563" s="115">
        <f t="shared" si="61"/>
        <v>30000</v>
      </c>
      <c r="X563" s="115">
        <f t="shared" si="63"/>
        <v>750</v>
      </c>
      <c r="Y563" s="117" t="s">
        <v>1828</v>
      </c>
      <c r="Z563" s="108" t="s">
        <v>35</v>
      </c>
      <c r="AA563" s="108" t="s">
        <v>35</v>
      </c>
      <c r="AB563" s="108" t="s">
        <v>1829</v>
      </c>
      <c r="AC563" s="108">
        <v>0</v>
      </c>
      <c r="AD563" s="108">
        <v>1</v>
      </c>
      <c r="AE563" s="108" t="s">
        <v>37</v>
      </c>
      <c r="AF563" s="108" t="s">
        <v>43</v>
      </c>
      <c r="AG563" s="108" t="s">
        <v>38</v>
      </c>
      <c r="AH563" s="108" t="s">
        <v>1830</v>
      </c>
    </row>
    <row r="564" spans="1:34" x14ac:dyDescent="0.3">
      <c r="A564" s="118" t="s">
        <v>1829</v>
      </c>
      <c r="B564" s="119" t="s">
        <v>1887</v>
      </c>
      <c r="C564" s="119" t="s">
        <v>1888</v>
      </c>
      <c r="D564" s="120">
        <v>45485</v>
      </c>
      <c r="E564" s="121">
        <v>155000</v>
      </c>
      <c r="F564" s="119" t="s">
        <v>32</v>
      </c>
      <c r="G564" s="119" t="s">
        <v>33</v>
      </c>
      <c r="H564" s="121">
        <v>155000</v>
      </c>
      <c r="I564" s="121">
        <v>55300</v>
      </c>
      <c r="J564" s="122">
        <f t="shared" si="56"/>
        <v>35.677419354838705</v>
      </c>
      <c r="K564" s="121">
        <v>127012</v>
      </c>
      <c r="L564" s="121">
        <f>H564-118907</f>
        <v>36093</v>
      </c>
      <c r="M564" s="121">
        <v>8105</v>
      </c>
      <c r="N564" s="123">
        <f t="shared" si="57"/>
        <v>5.2290322580645164E-2</v>
      </c>
      <c r="O564" s="124">
        <v>40.32</v>
      </c>
      <c r="P564" s="125">
        <v>127.03</v>
      </c>
      <c r="Q564" s="126">
        <v>0.11700000000000001</v>
      </c>
      <c r="R564" s="126">
        <v>0.11700000000000001</v>
      </c>
      <c r="S564" s="121">
        <f t="shared" si="58"/>
        <v>895.16369047619048</v>
      </c>
      <c r="T564" s="121">
        <f t="shared" si="59"/>
        <v>308487.17948717944</v>
      </c>
      <c r="U564" s="127">
        <f t="shared" si="60"/>
        <v>7.0818911728002627</v>
      </c>
      <c r="V564" s="126">
        <v>40</v>
      </c>
      <c r="W564" s="126">
        <f t="shared" si="61"/>
        <v>31000</v>
      </c>
      <c r="X564" s="126">
        <f t="shared" si="63"/>
        <v>775</v>
      </c>
      <c r="Y564" s="128" t="s">
        <v>1828</v>
      </c>
      <c r="Z564" s="119" t="s">
        <v>35</v>
      </c>
      <c r="AA564" s="119" t="s">
        <v>35</v>
      </c>
      <c r="AB564" s="119" t="s">
        <v>1829</v>
      </c>
      <c r="AC564" s="119">
        <v>0</v>
      </c>
      <c r="AD564" s="119">
        <v>1</v>
      </c>
      <c r="AE564" s="119" t="s">
        <v>37</v>
      </c>
      <c r="AF564" s="119" t="s">
        <v>43</v>
      </c>
      <c r="AG564" s="119" t="s">
        <v>38</v>
      </c>
      <c r="AH564" s="119" t="s">
        <v>1830</v>
      </c>
    </row>
    <row r="565" spans="1:34" x14ac:dyDescent="0.3">
      <c r="A565" s="107" t="s">
        <v>1829</v>
      </c>
      <c r="B565" s="108" t="s">
        <v>1826</v>
      </c>
      <c r="C565" s="108" t="s">
        <v>1827</v>
      </c>
      <c r="D565" s="109">
        <v>45366</v>
      </c>
      <c r="E565" s="110">
        <v>333000</v>
      </c>
      <c r="F565" s="108" t="s">
        <v>32</v>
      </c>
      <c r="G565" s="108" t="s">
        <v>33</v>
      </c>
      <c r="H565" s="110">
        <v>333000</v>
      </c>
      <c r="I565" s="110">
        <v>99800</v>
      </c>
      <c r="J565" s="111">
        <f t="shared" si="56"/>
        <v>29.969969969969966</v>
      </c>
      <c r="K565" s="110">
        <v>347618</v>
      </c>
      <c r="L565" s="110">
        <f>H565-328935</f>
        <v>4065</v>
      </c>
      <c r="M565" s="110">
        <v>18683</v>
      </c>
      <c r="N565" s="112">
        <f t="shared" si="57"/>
        <v>5.6105105105105108E-2</v>
      </c>
      <c r="O565" s="113">
        <v>92.95</v>
      </c>
      <c r="P565" s="114">
        <v>300</v>
      </c>
      <c r="Q565" s="115">
        <v>0.41299999999999998</v>
      </c>
      <c r="R565" s="115">
        <v>0.41299999999999998</v>
      </c>
      <c r="S565" s="110">
        <f t="shared" si="58"/>
        <v>43.73318988703604</v>
      </c>
      <c r="T565" s="110">
        <f t="shared" si="59"/>
        <v>9842.6150121065384</v>
      </c>
      <c r="U565" s="116">
        <f t="shared" si="60"/>
        <v>0.22595534922191318</v>
      </c>
      <c r="V565" s="115">
        <v>60</v>
      </c>
      <c r="W565" s="115">
        <f t="shared" si="61"/>
        <v>66600</v>
      </c>
      <c r="X565" s="115">
        <f t="shared" si="63"/>
        <v>1110</v>
      </c>
      <c r="Y565" s="117" t="s">
        <v>1828</v>
      </c>
      <c r="Z565" s="108" t="s">
        <v>35</v>
      </c>
      <c r="AA565" s="108" t="s">
        <v>35</v>
      </c>
      <c r="AB565" s="108" t="s">
        <v>1829</v>
      </c>
      <c r="AC565" s="108">
        <v>0</v>
      </c>
      <c r="AD565" s="108">
        <v>1</v>
      </c>
      <c r="AE565" s="108" t="s">
        <v>42</v>
      </c>
      <c r="AF565" s="108" t="s">
        <v>43</v>
      </c>
      <c r="AG565" s="108" t="s">
        <v>38</v>
      </c>
      <c r="AH565" s="108" t="s">
        <v>1830</v>
      </c>
    </row>
    <row r="566" spans="1:34" x14ac:dyDescent="0.3">
      <c r="A566" s="107" t="s">
        <v>1834</v>
      </c>
      <c r="B566" s="108" t="s">
        <v>1905</v>
      </c>
      <c r="C566" s="108" t="s">
        <v>1906</v>
      </c>
      <c r="D566" s="109">
        <v>45134</v>
      </c>
      <c r="E566" s="110">
        <v>261000</v>
      </c>
      <c r="F566" s="108" t="s">
        <v>32</v>
      </c>
      <c r="G566" s="108" t="s">
        <v>33</v>
      </c>
      <c r="H566" s="110">
        <v>261000</v>
      </c>
      <c r="I566" s="110">
        <v>112100</v>
      </c>
      <c r="J566" s="111">
        <f t="shared" si="56"/>
        <v>42.950191570881223</v>
      </c>
      <c r="K566" s="110">
        <v>288996</v>
      </c>
      <c r="L566" s="110">
        <f>H566-266731</f>
        <v>-5731</v>
      </c>
      <c r="M566" s="110">
        <v>22265</v>
      </c>
      <c r="N566" s="112">
        <f t="shared" si="57"/>
        <v>8.530651340996169E-2</v>
      </c>
      <c r="O566" s="113">
        <v>139.15</v>
      </c>
      <c r="P566" s="114">
        <v>150.96</v>
      </c>
      <c r="Q566" s="115">
        <v>0.4</v>
      </c>
      <c r="R566" s="115">
        <v>0.4</v>
      </c>
      <c r="S566" s="110">
        <f t="shared" si="58"/>
        <v>-41.185770750988141</v>
      </c>
      <c r="T566" s="110">
        <f t="shared" si="59"/>
        <v>-14327.5</v>
      </c>
      <c r="U566" s="116">
        <f t="shared" si="60"/>
        <v>-0.32891414141414144</v>
      </c>
      <c r="V566" s="115">
        <v>141.6</v>
      </c>
      <c r="W566" s="115">
        <f t="shared" si="61"/>
        <v>52200</v>
      </c>
      <c r="X566" s="115">
        <f t="shared" si="63"/>
        <v>368.64406779661016</v>
      </c>
      <c r="Y566" s="117" t="s">
        <v>1833</v>
      </c>
      <c r="Z566" s="108" t="s">
        <v>35</v>
      </c>
      <c r="AA566" s="108" t="s">
        <v>35</v>
      </c>
      <c r="AB566" s="108" t="s">
        <v>1834</v>
      </c>
      <c r="AC566" s="108">
        <v>0</v>
      </c>
      <c r="AD566" s="108">
        <v>1</v>
      </c>
      <c r="AE566" s="108" t="s">
        <v>42</v>
      </c>
      <c r="AF566" s="108" t="s">
        <v>43</v>
      </c>
      <c r="AG566" s="108" t="s">
        <v>38</v>
      </c>
      <c r="AH566" s="108" t="s">
        <v>92</v>
      </c>
    </row>
    <row r="567" spans="1:34" x14ac:dyDescent="0.3">
      <c r="A567" s="118" t="s">
        <v>1834</v>
      </c>
      <c r="B567" s="119" t="s">
        <v>1849</v>
      </c>
      <c r="C567" s="119" t="s">
        <v>1850</v>
      </c>
      <c r="D567" s="120">
        <v>45106</v>
      </c>
      <c r="E567" s="121">
        <v>220000</v>
      </c>
      <c r="F567" s="119" t="s">
        <v>32</v>
      </c>
      <c r="G567" s="119" t="s">
        <v>33</v>
      </c>
      <c r="H567" s="121">
        <v>220000</v>
      </c>
      <c r="I567" s="121">
        <v>102600</v>
      </c>
      <c r="J567" s="122">
        <f t="shared" si="56"/>
        <v>46.63636363636364</v>
      </c>
      <c r="K567" s="121">
        <v>263033</v>
      </c>
      <c r="L567" s="121">
        <f>H567-251892</f>
        <v>-31892</v>
      </c>
      <c r="M567" s="121">
        <v>11141</v>
      </c>
      <c r="N567" s="123">
        <f t="shared" si="57"/>
        <v>5.0640909090909091E-2</v>
      </c>
      <c r="O567" s="124">
        <v>69.63</v>
      </c>
      <c r="P567" s="125">
        <v>100</v>
      </c>
      <c r="Q567" s="126">
        <v>0.17499999999999999</v>
      </c>
      <c r="R567" s="126">
        <v>0.17499999999999999</v>
      </c>
      <c r="S567" s="121">
        <f t="shared" si="58"/>
        <v>-458.02096797357461</v>
      </c>
      <c r="T567" s="121">
        <f t="shared" si="59"/>
        <v>-182240</v>
      </c>
      <c r="U567" s="127">
        <f t="shared" si="60"/>
        <v>-4.1836547291092749</v>
      </c>
      <c r="V567" s="126">
        <v>76.28</v>
      </c>
      <c r="W567" s="126">
        <f t="shared" si="61"/>
        <v>44000</v>
      </c>
      <c r="X567" s="126">
        <f t="shared" si="63"/>
        <v>576.82223387519662</v>
      </c>
      <c r="Y567" s="128" t="s">
        <v>1833</v>
      </c>
      <c r="Z567" s="119" t="s">
        <v>35</v>
      </c>
      <c r="AA567" s="119" t="s">
        <v>35</v>
      </c>
      <c r="AB567" s="119" t="s">
        <v>1834</v>
      </c>
      <c r="AC567" s="119">
        <v>0</v>
      </c>
      <c r="AD567" s="119">
        <v>1</v>
      </c>
      <c r="AE567" s="119" t="s">
        <v>37</v>
      </c>
      <c r="AF567" s="119" t="s">
        <v>43</v>
      </c>
      <c r="AG567" s="119" t="s">
        <v>38</v>
      </c>
      <c r="AH567" s="119" t="s">
        <v>92</v>
      </c>
    </row>
    <row r="568" spans="1:34" x14ac:dyDescent="0.3">
      <c r="A568" s="118" t="s">
        <v>1834</v>
      </c>
      <c r="B568" s="119" t="s">
        <v>1857</v>
      </c>
      <c r="C568" s="119" t="s">
        <v>1858</v>
      </c>
      <c r="D568" s="120">
        <v>45497</v>
      </c>
      <c r="E568" s="121">
        <v>182500</v>
      </c>
      <c r="F568" s="119" t="s">
        <v>32</v>
      </c>
      <c r="G568" s="119" t="s">
        <v>33</v>
      </c>
      <c r="H568" s="121">
        <v>182500</v>
      </c>
      <c r="I568" s="121">
        <v>145900</v>
      </c>
      <c r="J568" s="122">
        <f t="shared" si="56"/>
        <v>79.945205479452056</v>
      </c>
      <c r="K568" s="121">
        <v>343715</v>
      </c>
      <c r="L568" s="121">
        <f>H568-333143</f>
        <v>-150643</v>
      </c>
      <c r="M568" s="121">
        <v>10572</v>
      </c>
      <c r="N568" s="123">
        <f t="shared" si="57"/>
        <v>5.7928767123287671E-2</v>
      </c>
      <c r="O568" s="124">
        <v>66.069999999999993</v>
      </c>
      <c r="P568" s="125">
        <v>121.57</v>
      </c>
      <c r="Q568" s="126">
        <v>0.19600000000000001</v>
      </c>
      <c r="R568" s="126">
        <v>0.19600000000000001</v>
      </c>
      <c r="S568" s="121">
        <f t="shared" si="58"/>
        <v>-2280.0514605721205</v>
      </c>
      <c r="T568" s="121">
        <f t="shared" si="59"/>
        <v>-768586.73469387752</v>
      </c>
      <c r="U568" s="127">
        <f t="shared" si="60"/>
        <v>-17.644323569648243</v>
      </c>
      <c r="V568" s="126">
        <v>56.65</v>
      </c>
      <c r="W568" s="126">
        <f t="shared" si="61"/>
        <v>36500</v>
      </c>
      <c r="X568" s="126">
        <f t="shared" si="63"/>
        <v>644.30714916151805</v>
      </c>
      <c r="Y568" s="128" t="s">
        <v>1833</v>
      </c>
      <c r="Z568" s="119" t="s">
        <v>35</v>
      </c>
      <c r="AA568" s="119" t="s">
        <v>35</v>
      </c>
      <c r="AB568" s="119" t="s">
        <v>1834</v>
      </c>
      <c r="AC568" s="119">
        <v>0</v>
      </c>
      <c r="AD568" s="119">
        <v>1</v>
      </c>
      <c r="AE568" s="119" t="s">
        <v>42</v>
      </c>
      <c r="AF568" s="119" t="s">
        <v>43</v>
      </c>
      <c r="AG568" s="119" t="s">
        <v>38</v>
      </c>
      <c r="AH568" s="119" t="s">
        <v>92</v>
      </c>
    </row>
    <row r="569" spans="1:34" x14ac:dyDescent="0.3">
      <c r="A569" s="118" t="s">
        <v>1834</v>
      </c>
      <c r="B569" s="119" t="s">
        <v>1831</v>
      </c>
      <c r="C569" s="119" t="s">
        <v>1832</v>
      </c>
      <c r="D569" s="120">
        <v>45686</v>
      </c>
      <c r="E569" s="121">
        <v>295000</v>
      </c>
      <c r="F569" s="119" t="s">
        <v>32</v>
      </c>
      <c r="G569" s="119" t="s">
        <v>33</v>
      </c>
      <c r="H569" s="121">
        <v>295000</v>
      </c>
      <c r="I569" s="121">
        <v>120900</v>
      </c>
      <c r="J569" s="122">
        <f t="shared" si="56"/>
        <v>40.983050847457626</v>
      </c>
      <c r="K569" s="121">
        <v>286258</v>
      </c>
      <c r="L569" s="121">
        <f>H569-273645</f>
        <v>21355</v>
      </c>
      <c r="M569" s="121">
        <v>12613</v>
      </c>
      <c r="N569" s="123">
        <f t="shared" si="57"/>
        <v>4.2755932203389829E-2</v>
      </c>
      <c r="O569" s="124">
        <v>78.819999999999993</v>
      </c>
      <c r="P569" s="125">
        <v>155.38999999999999</v>
      </c>
      <c r="Q569" s="126">
        <v>0.21</v>
      </c>
      <c r="R569" s="126">
        <v>0.21</v>
      </c>
      <c r="S569" s="121">
        <f t="shared" si="58"/>
        <v>270.93377315402182</v>
      </c>
      <c r="T569" s="121">
        <f t="shared" si="59"/>
        <v>101690.4761904762</v>
      </c>
      <c r="U569" s="127">
        <f t="shared" si="60"/>
        <v>2.3344921072193801</v>
      </c>
      <c r="V569" s="126">
        <v>90.22</v>
      </c>
      <c r="W569" s="126">
        <f t="shared" si="61"/>
        <v>59000</v>
      </c>
      <c r="X569" s="126">
        <f t="shared" si="63"/>
        <v>653.95699401463094</v>
      </c>
      <c r="Y569" s="128" t="s">
        <v>1833</v>
      </c>
      <c r="Z569" s="119" t="s">
        <v>35</v>
      </c>
      <c r="AA569" s="119" t="s">
        <v>35</v>
      </c>
      <c r="AB569" s="119" t="s">
        <v>1834</v>
      </c>
      <c r="AC569" s="119">
        <v>0</v>
      </c>
      <c r="AD569" s="119">
        <v>1</v>
      </c>
      <c r="AE569" s="119" t="s">
        <v>37</v>
      </c>
      <c r="AF569" s="119" t="s">
        <v>35</v>
      </c>
      <c r="AG569" s="119" t="s">
        <v>38</v>
      </c>
      <c r="AH569" s="119" t="s">
        <v>92</v>
      </c>
    </row>
    <row r="570" spans="1:34" x14ac:dyDescent="0.3">
      <c r="A570" s="107" t="s">
        <v>1834</v>
      </c>
      <c r="B570" s="108" t="s">
        <v>1859</v>
      </c>
      <c r="C570" s="108" t="s">
        <v>1860</v>
      </c>
      <c r="D570" s="109">
        <v>45709</v>
      </c>
      <c r="E570" s="110">
        <v>285000</v>
      </c>
      <c r="F570" s="108" t="s">
        <v>32</v>
      </c>
      <c r="G570" s="108" t="s">
        <v>33</v>
      </c>
      <c r="H570" s="110">
        <v>285000</v>
      </c>
      <c r="I570" s="110">
        <v>132900</v>
      </c>
      <c r="J570" s="111">
        <f t="shared" si="56"/>
        <v>46.631578947368418</v>
      </c>
      <c r="K570" s="110">
        <v>309640</v>
      </c>
      <c r="L570" s="110">
        <f>H570-298173</f>
        <v>-13173</v>
      </c>
      <c r="M570" s="110">
        <v>11467</v>
      </c>
      <c r="N570" s="112">
        <f t="shared" si="57"/>
        <v>4.0235087719298249E-2</v>
      </c>
      <c r="O570" s="113">
        <v>71.66</v>
      </c>
      <c r="P570" s="114">
        <v>111.91</v>
      </c>
      <c r="Q570" s="115">
        <v>0.17799999999999999</v>
      </c>
      <c r="R570" s="115">
        <v>0.17799999999999999</v>
      </c>
      <c r="S570" s="110">
        <f t="shared" si="58"/>
        <v>-183.82640245604244</v>
      </c>
      <c r="T570" s="110">
        <f t="shared" si="59"/>
        <v>-74005.617977528091</v>
      </c>
      <c r="U570" s="116">
        <f t="shared" si="60"/>
        <v>-1.6989352152784227</v>
      </c>
      <c r="V570" s="115">
        <v>84.27</v>
      </c>
      <c r="W570" s="115">
        <f t="shared" si="61"/>
        <v>57000</v>
      </c>
      <c r="X570" s="115">
        <f t="shared" si="63"/>
        <v>676.39729441082238</v>
      </c>
      <c r="Y570" s="117" t="s">
        <v>1833</v>
      </c>
      <c r="Z570" s="108" t="s">
        <v>35</v>
      </c>
      <c r="AA570" s="108" t="s">
        <v>35</v>
      </c>
      <c r="AB570" s="108" t="s">
        <v>1834</v>
      </c>
      <c r="AC570" s="108">
        <v>0</v>
      </c>
      <c r="AD570" s="108">
        <v>1</v>
      </c>
      <c r="AE570" s="108" t="s">
        <v>37</v>
      </c>
      <c r="AF570" s="108" t="s">
        <v>35</v>
      </c>
      <c r="AG570" s="108" t="s">
        <v>38</v>
      </c>
      <c r="AH570" s="108" t="s">
        <v>92</v>
      </c>
    </row>
    <row r="571" spans="1:34" x14ac:dyDescent="0.3">
      <c r="A571" s="107" t="s">
        <v>1834</v>
      </c>
      <c r="B571" s="108" t="s">
        <v>1861</v>
      </c>
      <c r="C571" s="108" t="s">
        <v>1862</v>
      </c>
      <c r="D571" s="109">
        <v>45467</v>
      </c>
      <c r="E571" s="110">
        <v>270000</v>
      </c>
      <c r="F571" s="108" t="s">
        <v>32</v>
      </c>
      <c r="G571" s="108" t="s">
        <v>33</v>
      </c>
      <c r="H571" s="110">
        <v>270000</v>
      </c>
      <c r="I571" s="110">
        <v>128500</v>
      </c>
      <c r="J571" s="111">
        <f t="shared" si="56"/>
        <v>47.592592592592595</v>
      </c>
      <c r="K571" s="110">
        <v>299104</v>
      </c>
      <c r="L571" s="110">
        <f>H571-288043</f>
        <v>-18043</v>
      </c>
      <c r="M571" s="110">
        <v>11061</v>
      </c>
      <c r="N571" s="112">
        <f t="shared" si="57"/>
        <v>4.0966666666666665E-2</v>
      </c>
      <c r="O571" s="113">
        <v>69.13</v>
      </c>
      <c r="P571" s="114">
        <v>120</v>
      </c>
      <c r="Q571" s="115">
        <v>0.18099999999999999</v>
      </c>
      <c r="R571" s="115">
        <v>0.18099999999999999</v>
      </c>
      <c r="S571" s="110">
        <f t="shared" si="58"/>
        <v>-261.00101258498484</v>
      </c>
      <c r="T571" s="110">
        <f t="shared" si="59"/>
        <v>-99685.082872928178</v>
      </c>
      <c r="U571" s="116">
        <f t="shared" si="60"/>
        <v>-2.2884546114079014</v>
      </c>
      <c r="V571" s="115">
        <v>75.66</v>
      </c>
      <c r="W571" s="115">
        <f t="shared" si="61"/>
        <v>54000</v>
      </c>
      <c r="X571" s="115">
        <f t="shared" si="63"/>
        <v>713.71927042030143</v>
      </c>
      <c r="Y571" s="117" t="s">
        <v>1833</v>
      </c>
      <c r="Z571" s="108" t="s">
        <v>35</v>
      </c>
      <c r="AA571" s="108" t="s">
        <v>35</v>
      </c>
      <c r="AB571" s="108" t="s">
        <v>1834</v>
      </c>
      <c r="AC571" s="108">
        <v>0</v>
      </c>
      <c r="AD571" s="108">
        <v>1</v>
      </c>
      <c r="AE571" s="108" t="s">
        <v>42</v>
      </c>
      <c r="AF571" s="108" t="s">
        <v>43</v>
      </c>
      <c r="AG571" s="108" t="s">
        <v>38</v>
      </c>
      <c r="AH571" s="108" t="s">
        <v>92</v>
      </c>
    </row>
    <row r="572" spans="1:34" x14ac:dyDescent="0.3">
      <c r="A572" s="118" t="s">
        <v>1834</v>
      </c>
      <c r="B572" s="119" t="s">
        <v>1909</v>
      </c>
      <c r="C572" s="119" t="s">
        <v>1910</v>
      </c>
      <c r="D572" s="120">
        <v>45380</v>
      </c>
      <c r="E572" s="121">
        <v>215000</v>
      </c>
      <c r="F572" s="119" t="s">
        <v>32</v>
      </c>
      <c r="G572" s="119" t="s">
        <v>33</v>
      </c>
      <c r="H572" s="121">
        <v>215000</v>
      </c>
      <c r="I572" s="121">
        <v>106200</v>
      </c>
      <c r="J572" s="122">
        <f t="shared" si="56"/>
        <v>49.395348837209305</v>
      </c>
      <c r="K572" s="121">
        <v>274813</v>
      </c>
      <c r="L572" s="121">
        <f>H572-264199</f>
        <v>-49199</v>
      </c>
      <c r="M572" s="121">
        <v>10614</v>
      </c>
      <c r="N572" s="123">
        <f t="shared" si="57"/>
        <v>4.9367441860465114E-2</v>
      </c>
      <c r="O572" s="124">
        <v>66.33</v>
      </c>
      <c r="P572" s="125">
        <v>146.69</v>
      </c>
      <c r="Q572" s="126">
        <v>0.20200000000000001</v>
      </c>
      <c r="R572" s="126">
        <v>0.20200000000000001</v>
      </c>
      <c r="S572" s="121">
        <f t="shared" si="58"/>
        <v>-741.730740238203</v>
      </c>
      <c r="T572" s="121">
        <f t="shared" si="59"/>
        <v>-243559.40594059404</v>
      </c>
      <c r="U572" s="127">
        <f t="shared" si="60"/>
        <v>-5.5913545900044541</v>
      </c>
      <c r="V572" s="126">
        <v>60</v>
      </c>
      <c r="W572" s="126">
        <f t="shared" si="61"/>
        <v>43000</v>
      </c>
      <c r="X572" s="126">
        <f t="shared" si="63"/>
        <v>716.66666666666663</v>
      </c>
      <c r="Y572" s="128" t="s">
        <v>1833</v>
      </c>
      <c r="Z572" s="119" t="s">
        <v>35</v>
      </c>
      <c r="AA572" s="119" t="s">
        <v>35</v>
      </c>
      <c r="AB572" s="119" t="s">
        <v>1834</v>
      </c>
      <c r="AC572" s="119">
        <v>0</v>
      </c>
      <c r="AD572" s="119">
        <v>1</v>
      </c>
      <c r="AE572" s="119" t="s">
        <v>37</v>
      </c>
      <c r="AF572" s="119" t="s">
        <v>43</v>
      </c>
      <c r="AG572" s="119" t="s">
        <v>38</v>
      </c>
      <c r="AH572" s="119" t="s">
        <v>92</v>
      </c>
    </row>
    <row r="573" spans="1:34" x14ac:dyDescent="0.3">
      <c r="A573" s="107" t="s">
        <v>1834</v>
      </c>
      <c r="B573" s="108" t="s">
        <v>1847</v>
      </c>
      <c r="C573" s="108" t="s">
        <v>1848</v>
      </c>
      <c r="D573" s="109">
        <v>45344</v>
      </c>
      <c r="E573" s="110">
        <v>224900</v>
      </c>
      <c r="F573" s="108" t="s">
        <v>32</v>
      </c>
      <c r="G573" s="108" t="s">
        <v>33</v>
      </c>
      <c r="H573" s="110">
        <v>224900</v>
      </c>
      <c r="I573" s="110">
        <v>94200</v>
      </c>
      <c r="J573" s="111">
        <f t="shared" si="56"/>
        <v>41.885282347710096</v>
      </c>
      <c r="K573" s="110">
        <v>242215</v>
      </c>
      <c r="L573" s="110">
        <f>H573-232615</f>
        <v>-7715</v>
      </c>
      <c r="M573" s="110">
        <v>9600</v>
      </c>
      <c r="N573" s="112">
        <f t="shared" si="57"/>
        <v>4.2685638061360602E-2</v>
      </c>
      <c r="O573" s="113">
        <v>60</v>
      </c>
      <c r="P573" s="114">
        <v>120</v>
      </c>
      <c r="Q573" s="115">
        <v>0.16500000000000001</v>
      </c>
      <c r="R573" s="115">
        <v>0.16500000000000001</v>
      </c>
      <c r="S573" s="110">
        <f t="shared" si="58"/>
        <v>-128.58333333333334</v>
      </c>
      <c r="T573" s="110">
        <f t="shared" si="59"/>
        <v>-46757.575757575753</v>
      </c>
      <c r="U573" s="116">
        <f t="shared" si="60"/>
        <v>-1.0734062386954948</v>
      </c>
      <c r="V573" s="115">
        <v>60</v>
      </c>
      <c r="W573" s="115">
        <f t="shared" si="61"/>
        <v>44980</v>
      </c>
      <c r="X573" s="115">
        <f t="shared" si="63"/>
        <v>749.66666666666663</v>
      </c>
      <c r="Y573" s="117" t="s">
        <v>1833</v>
      </c>
      <c r="Z573" s="108" t="s">
        <v>35</v>
      </c>
      <c r="AA573" s="108" t="s">
        <v>35</v>
      </c>
      <c r="AB573" s="108" t="s">
        <v>1834</v>
      </c>
      <c r="AC573" s="108">
        <v>0</v>
      </c>
      <c r="AD573" s="108">
        <v>1</v>
      </c>
      <c r="AE573" s="108" t="s">
        <v>37</v>
      </c>
      <c r="AF573" s="108" t="s">
        <v>43</v>
      </c>
      <c r="AG573" s="108" t="s">
        <v>38</v>
      </c>
      <c r="AH573" s="108" t="s">
        <v>92</v>
      </c>
    </row>
    <row r="574" spans="1:34" x14ac:dyDescent="0.3">
      <c r="A574" s="107" t="s">
        <v>1834</v>
      </c>
      <c r="B574" s="108" t="s">
        <v>1907</v>
      </c>
      <c r="C574" s="108" t="s">
        <v>1908</v>
      </c>
      <c r="D574" s="109">
        <v>45201</v>
      </c>
      <c r="E574" s="110">
        <v>250000</v>
      </c>
      <c r="F574" s="108" t="s">
        <v>32</v>
      </c>
      <c r="G574" s="108" t="s">
        <v>33</v>
      </c>
      <c r="H574" s="110">
        <v>250000</v>
      </c>
      <c r="I574" s="110">
        <v>92200</v>
      </c>
      <c r="J574" s="111">
        <f t="shared" si="56"/>
        <v>36.880000000000003</v>
      </c>
      <c r="K574" s="110">
        <v>237461</v>
      </c>
      <c r="L574" s="110">
        <f>H574-226854</f>
        <v>23146</v>
      </c>
      <c r="M574" s="110">
        <v>10607</v>
      </c>
      <c r="N574" s="112">
        <f t="shared" si="57"/>
        <v>4.2428E-2</v>
      </c>
      <c r="O574" s="113">
        <v>66.290000000000006</v>
      </c>
      <c r="P574" s="114">
        <v>146.5</v>
      </c>
      <c r="Q574" s="115">
        <v>0.20200000000000001</v>
      </c>
      <c r="R574" s="115">
        <v>0.20200000000000001</v>
      </c>
      <c r="S574" s="110">
        <f t="shared" si="58"/>
        <v>349.16276964851409</v>
      </c>
      <c r="T574" s="110">
        <f t="shared" si="59"/>
        <v>114584.15841584158</v>
      </c>
      <c r="U574" s="116">
        <f t="shared" si="60"/>
        <v>2.6304903217594484</v>
      </c>
      <c r="V574" s="115">
        <v>60</v>
      </c>
      <c r="W574" s="115">
        <f t="shared" si="61"/>
        <v>50000</v>
      </c>
      <c r="X574" s="115">
        <f t="shared" si="63"/>
        <v>833.33333333333337</v>
      </c>
      <c r="Y574" s="117" t="s">
        <v>1833</v>
      </c>
      <c r="Z574" s="108" t="s">
        <v>35</v>
      </c>
      <c r="AA574" s="108" t="s">
        <v>35</v>
      </c>
      <c r="AB574" s="108" t="s">
        <v>1834</v>
      </c>
      <c r="AC574" s="108">
        <v>0</v>
      </c>
      <c r="AD574" s="108">
        <v>1</v>
      </c>
      <c r="AE574" s="108" t="s">
        <v>42</v>
      </c>
      <c r="AF574" s="108" t="s">
        <v>43</v>
      </c>
      <c r="AG574" s="108" t="s">
        <v>38</v>
      </c>
      <c r="AH574" s="108" t="s">
        <v>92</v>
      </c>
    </row>
    <row r="575" spans="1:34" x14ac:dyDescent="0.3">
      <c r="A575" s="118" t="s">
        <v>1834</v>
      </c>
      <c r="B575" s="119" t="s">
        <v>1835</v>
      </c>
      <c r="C575" s="119" t="s">
        <v>1836</v>
      </c>
      <c r="D575" s="120">
        <v>45191</v>
      </c>
      <c r="E575" s="121">
        <v>227500</v>
      </c>
      <c r="F575" s="119" t="s">
        <v>32</v>
      </c>
      <c r="G575" s="119" t="s">
        <v>33</v>
      </c>
      <c r="H575" s="121">
        <v>227500</v>
      </c>
      <c r="I575" s="121">
        <v>94200</v>
      </c>
      <c r="J575" s="122">
        <f t="shared" si="56"/>
        <v>41.406593406593409</v>
      </c>
      <c r="K575" s="121">
        <v>242747</v>
      </c>
      <c r="L575" s="121">
        <f>H575-231851</f>
        <v>-4351</v>
      </c>
      <c r="M575" s="121">
        <v>10896</v>
      </c>
      <c r="N575" s="123">
        <f t="shared" si="57"/>
        <v>4.7894505494505496E-2</v>
      </c>
      <c r="O575" s="124">
        <v>68.09</v>
      </c>
      <c r="P575" s="125">
        <v>131.77000000000001</v>
      </c>
      <c r="Q575" s="126">
        <v>0.21199999999999999</v>
      </c>
      <c r="R575" s="126">
        <v>0.21199999999999999</v>
      </c>
      <c r="S575" s="121">
        <f t="shared" si="58"/>
        <v>-63.900719635776177</v>
      </c>
      <c r="T575" s="121">
        <f t="shared" si="59"/>
        <v>-20523.584905660377</v>
      </c>
      <c r="U575" s="127">
        <f t="shared" si="60"/>
        <v>-0.4711566782750316</v>
      </c>
      <c r="V575" s="126">
        <v>54.56</v>
      </c>
      <c r="W575" s="126">
        <f t="shared" si="61"/>
        <v>45500</v>
      </c>
      <c r="X575" s="126">
        <f t="shared" si="63"/>
        <v>833.94428152492662</v>
      </c>
      <c r="Y575" s="128" t="s">
        <v>1833</v>
      </c>
      <c r="Z575" s="119" t="s">
        <v>35</v>
      </c>
      <c r="AA575" s="119" t="s">
        <v>35</v>
      </c>
      <c r="AB575" s="119" t="s">
        <v>1834</v>
      </c>
      <c r="AC575" s="119">
        <v>0</v>
      </c>
      <c r="AD575" s="119">
        <v>1</v>
      </c>
      <c r="AE575" s="119" t="s">
        <v>42</v>
      </c>
      <c r="AF575" s="119" t="s">
        <v>43</v>
      </c>
      <c r="AG575" s="119" t="s">
        <v>38</v>
      </c>
      <c r="AH575" s="119" t="s">
        <v>92</v>
      </c>
    </row>
    <row r="576" spans="1:34" x14ac:dyDescent="0.3">
      <c r="A576" s="118" t="s">
        <v>1834</v>
      </c>
      <c r="B576" s="119" t="s">
        <v>1895</v>
      </c>
      <c r="C576" s="119" t="s">
        <v>1896</v>
      </c>
      <c r="D576" s="120">
        <v>45385</v>
      </c>
      <c r="E576" s="121">
        <v>260000</v>
      </c>
      <c r="F576" s="119" t="s">
        <v>32</v>
      </c>
      <c r="G576" s="119" t="s">
        <v>33</v>
      </c>
      <c r="H576" s="121">
        <v>260000</v>
      </c>
      <c r="I576" s="121">
        <v>119000</v>
      </c>
      <c r="J576" s="122">
        <f t="shared" si="56"/>
        <v>45.769230769230766</v>
      </c>
      <c r="K576" s="121">
        <v>275976</v>
      </c>
      <c r="L576" s="121">
        <f>H576-266376</f>
        <v>-6376</v>
      </c>
      <c r="M576" s="121">
        <v>9600</v>
      </c>
      <c r="N576" s="123">
        <f t="shared" si="57"/>
        <v>3.6923076923076927E-2</v>
      </c>
      <c r="O576" s="124">
        <v>60</v>
      </c>
      <c r="P576" s="125">
        <v>120</v>
      </c>
      <c r="Q576" s="126">
        <v>0.16500000000000001</v>
      </c>
      <c r="R576" s="126">
        <v>0.16500000000000001</v>
      </c>
      <c r="S576" s="121">
        <f t="shared" si="58"/>
        <v>-106.26666666666667</v>
      </c>
      <c r="T576" s="121">
        <f t="shared" si="59"/>
        <v>-38642.42424242424</v>
      </c>
      <c r="U576" s="127">
        <f t="shared" si="60"/>
        <v>-0.88710799454601097</v>
      </c>
      <c r="V576" s="126">
        <v>60</v>
      </c>
      <c r="W576" s="126">
        <f t="shared" si="61"/>
        <v>52000</v>
      </c>
      <c r="X576" s="126">
        <f t="shared" si="63"/>
        <v>866.66666666666663</v>
      </c>
      <c r="Y576" s="128" t="s">
        <v>1833</v>
      </c>
      <c r="Z576" s="119" t="s">
        <v>35</v>
      </c>
      <c r="AA576" s="119" t="s">
        <v>35</v>
      </c>
      <c r="AB576" s="119" t="s">
        <v>1834</v>
      </c>
      <c r="AC576" s="119">
        <v>0</v>
      </c>
      <c r="AD576" s="119">
        <v>1</v>
      </c>
      <c r="AE576" s="119" t="s">
        <v>42</v>
      </c>
      <c r="AF576" s="119" t="s">
        <v>43</v>
      </c>
      <c r="AG576" s="119" t="s">
        <v>38</v>
      </c>
      <c r="AH576" s="119" t="s">
        <v>92</v>
      </c>
    </row>
    <row r="577" spans="1:34" x14ac:dyDescent="0.3">
      <c r="A577" s="107" t="s">
        <v>1834</v>
      </c>
      <c r="B577" s="108" t="s">
        <v>1899</v>
      </c>
      <c r="C577" s="108" t="s">
        <v>1900</v>
      </c>
      <c r="D577" s="109">
        <v>45393</v>
      </c>
      <c r="E577" s="110">
        <v>260000</v>
      </c>
      <c r="F577" s="108" t="s">
        <v>32</v>
      </c>
      <c r="G577" s="108" t="s">
        <v>33</v>
      </c>
      <c r="H577" s="110">
        <v>260000</v>
      </c>
      <c r="I577" s="110">
        <v>136000</v>
      </c>
      <c r="J577" s="111">
        <f t="shared" si="56"/>
        <v>52.307692307692314</v>
      </c>
      <c r="K577" s="110">
        <v>321038</v>
      </c>
      <c r="L577" s="110">
        <f>H577-311438</f>
        <v>-51438</v>
      </c>
      <c r="M577" s="110">
        <v>9600</v>
      </c>
      <c r="N577" s="112">
        <f t="shared" si="57"/>
        <v>3.6923076923076927E-2</v>
      </c>
      <c r="O577" s="113">
        <v>60</v>
      </c>
      <c r="P577" s="114">
        <v>120</v>
      </c>
      <c r="Q577" s="115">
        <v>0.16500000000000001</v>
      </c>
      <c r="R577" s="115">
        <v>0.16500000000000001</v>
      </c>
      <c r="S577" s="110">
        <f t="shared" si="58"/>
        <v>-857.3</v>
      </c>
      <c r="T577" s="110">
        <f t="shared" si="59"/>
        <v>-311745.45454545453</v>
      </c>
      <c r="U577" s="116">
        <f t="shared" si="60"/>
        <v>-7.1566908756991401</v>
      </c>
      <c r="V577" s="115">
        <v>60</v>
      </c>
      <c r="W577" s="115">
        <f t="shared" si="61"/>
        <v>52000</v>
      </c>
      <c r="X577" s="115">
        <f t="shared" si="63"/>
        <v>866.66666666666663</v>
      </c>
      <c r="Y577" s="117" t="s">
        <v>1833</v>
      </c>
      <c r="Z577" s="108" t="s">
        <v>35</v>
      </c>
      <c r="AA577" s="108" t="s">
        <v>35</v>
      </c>
      <c r="AB577" s="108" t="s">
        <v>1834</v>
      </c>
      <c r="AC577" s="108">
        <v>0</v>
      </c>
      <c r="AD577" s="108">
        <v>1</v>
      </c>
      <c r="AE577" s="108" t="s">
        <v>42</v>
      </c>
      <c r="AF577" s="108" t="s">
        <v>43</v>
      </c>
      <c r="AG577" s="108" t="s">
        <v>38</v>
      </c>
      <c r="AH577" s="108" t="s">
        <v>92</v>
      </c>
    </row>
    <row r="578" spans="1:34" x14ac:dyDescent="0.3">
      <c r="A578" s="107" t="s">
        <v>1834</v>
      </c>
      <c r="B578" s="108" t="s">
        <v>1897</v>
      </c>
      <c r="C578" s="108" t="s">
        <v>1898</v>
      </c>
      <c r="D578" s="109">
        <v>45483</v>
      </c>
      <c r="E578" s="110">
        <v>265000</v>
      </c>
      <c r="F578" s="108" t="s">
        <v>32</v>
      </c>
      <c r="G578" s="108" t="s">
        <v>33</v>
      </c>
      <c r="H578" s="110">
        <v>265000</v>
      </c>
      <c r="I578" s="110">
        <v>118800</v>
      </c>
      <c r="J578" s="111">
        <f t="shared" ref="J578:J641" si="64">I578/H578*100</f>
        <v>44.830188679245282</v>
      </c>
      <c r="K578" s="110">
        <v>279177</v>
      </c>
      <c r="L578" s="110">
        <f>H578-269401</f>
        <v>-4401</v>
      </c>
      <c r="M578" s="110">
        <v>9776</v>
      </c>
      <c r="N578" s="112">
        <f t="shared" ref="N578:N641" si="65">M578/E578</f>
        <v>3.6890566037735849E-2</v>
      </c>
      <c r="O578" s="113">
        <v>61.09</v>
      </c>
      <c r="P578" s="114">
        <v>123.22</v>
      </c>
      <c r="Q578" s="115">
        <v>0.17</v>
      </c>
      <c r="R578" s="115">
        <v>0.17</v>
      </c>
      <c r="S578" s="110">
        <f t="shared" ref="S578:S641" si="66">L578/O578</f>
        <v>-72.041250613848419</v>
      </c>
      <c r="T578" s="110">
        <f t="shared" ref="T578:T641" si="67">L578/Q578</f>
        <v>-25888.235294117647</v>
      </c>
      <c r="U578" s="116">
        <f t="shared" ref="U578:U641" si="68">L578/Q578/43560</f>
        <v>-0.59431210500729215</v>
      </c>
      <c r="V578" s="115">
        <v>60.44</v>
      </c>
      <c r="W578" s="115">
        <f t="shared" ref="W578:W641" si="69">0.2*E578</f>
        <v>53000</v>
      </c>
      <c r="X578" s="115">
        <f t="shared" si="63"/>
        <v>876.9027134348114</v>
      </c>
      <c r="Y578" s="117" t="s">
        <v>1833</v>
      </c>
      <c r="Z578" s="108" t="s">
        <v>35</v>
      </c>
      <c r="AA578" s="108" t="s">
        <v>35</v>
      </c>
      <c r="AB578" s="108" t="s">
        <v>1834</v>
      </c>
      <c r="AC578" s="108">
        <v>0</v>
      </c>
      <c r="AD578" s="108">
        <v>1</v>
      </c>
      <c r="AE578" s="108" t="s">
        <v>37</v>
      </c>
      <c r="AF578" s="108" t="s">
        <v>43</v>
      </c>
      <c r="AG578" s="108" t="s">
        <v>38</v>
      </c>
      <c r="AH578" s="108" t="s">
        <v>92</v>
      </c>
    </row>
    <row r="579" spans="1:34" x14ac:dyDescent="0.3">
      <c r="A579" s="118" t="s">
        <v>1834</v>
      </c>
      <c r="B579" s="119" t="s">
        <v>1901</v>
      </c>
      <c r="C579" s="119" t="s">
        <v>1902</v>
      </c>
      <c r="D579" s="120">
        <v>45349</v>
      </c>
      <c r="E579" s="121">
        <v>267000</v>
      </c>
      <c r="F579" s="119" t="s">
        <v>32</v>
      </c>
      <c r="G579" s="119" t="s">
        <v>33</v>
      </c>
      <c r="H579" s="121">
        <v>267000</v>
      </c>
      <c r="I579" s="121">
        <v>90800</v>
      </c>
      <c r="J579" s="122">
        <f t="shared" si="64"/>
        <v>34.007490636704119</v>
      </c>
      <c r="K579" s="121">
        <v>234104</v>
      </c>
      <c r="L579" s="121">
        <f>H579-224504</f>
        <v>42496</v>
      </c>
      <c r="M579" s="121">
        <v>9600</v>
      </c>
      <c r="N579" s="123">
        <f t="shared" si="65"/>
        <v>3.5955056179775284E-2</v>
      </c>
      <c r="O579" s="124">
        <v>60</v>
      </c>
      <c r="P579" s="125">
        <v>120</v>
      </c>
      <c r="Q579" s="126">
        <v>0.16500000000000001</v>
      </c>
      <c r="R579" s="126">
        <v>0.16500000000000001</v>
      </c>
      <c r="S579" s="121">
        <f t="shared" si="66"/>
        <v>708.26666666666665</v>
      </c>
      <c r="T579" s="121">
        <f t="shared" si="67"/>
        <v>257551.51515151514</v>
      </c>
      <c r="U579" s="127">
        <f t="shared" si="68"/>
        <v>5.9125692183543421</v>
      </c>
      <c r="V579" s="126">
        <v>60</v>
      </c>
      <c r="W579" s="126">
        <f t="shared" si="69"/>
        <v>53400</v>
      </c>
      <c r="X579" s="126">
        <f t="shared" si="63"/>
        <v>890</v>
      </c>
      <c r="Y579" s="128" t="s">
        <v>1833</v>
      </c>
      <c r="Z579" s="119" t="s">
        <v>35</v>
      </c>
      <c r="AA579" s="119" t="s">
        <v>35</v>
      </c>
      <c r="AB579" s="119" t="s">
        <v>1834</v>
      </c>
      <c r="AC579" s="119">
        <v>0</v>
      </c>
      <c r="AD579" s="119">
        <v>1</v>
      </c>
      <c r="AE579" s="119" t="s">
        <v>37</v>
      </c>
      <c r="AF579" s="119" t="s">
        <v>43</v>
      </c>
      <c r="AG579" s="119" t="s">
        <v>38</v>
      </c>
      <c r="AH579" s="119" t="s">
        <v>92</v>
      </c>
    </row>
    <row r="580" spans="1:34" x14ac:dyDescent="0.3">
      <c r="A580" s="118" t="s">
        <v>1834</v>
      </c>
      <c r="B580" s="119" t="s">
        <v>1903</v>
      </c>
      <c r="C580" s="119" t="s">
        <v>1904</v>
      </c>
      <c r="D580" s="120">
        <v>45737</v>
      </c>
      <c r="E580" s="121">
        <v>267500</v>
      </c>
      <c r="F580" s="119" t="s">
        <v>32</v>
      </c>
      <c r="G580" s="119" t="s">
        <v>33</v>
      </c>
      <c r="H580" s="121">
        <v>267500</v>
      </c>
      <c r="I580" s="121">
        <v>110700</v>
      </c>
      <c r="J580" s="122">
        <f t="shared" si="64"/>
        <v>41.383177570093459</v>
      </c>
      <c r="K580" s="121">
        <v>256150</v>
      </c>
      <c r="L580" s="121">
        <f>H580-245625</f>
        <v>21875</v>
      </c>
      <c r="M580" s="121">
        <v>10525</v>
      </c>
      <c r="N580" s="123">
        <f t="shared" si="65"/>
        <v>3.9345794392523364E-2</v>
      </c>
      <c r="O580" s="124">
        <v>65.77</v>
      </c>
      <c r="P580" s="125">
        <v>144.22999999999999</v>
      </c>
      <c r="Q580" s="126">
        <v>0.19900000000000001</v>
      </c>
      <c r="R580" s="126">
        <v>0.19900000000000001</v>
      </c>
      <c r="S580" s="121">
        <f t="shared" si="66"/>
        <v>332.59844914094572</v>
      </c>
      <c r="T580" s="121">
        <f t="shared" si="67"/>
        <v>109924.62311557788</v>
      </c>
      <c r="U580" s="127">
        <f t="shared" si="68"/>
        <v>2.5235221100913194</v>
      </c>
      <c r="V580" s="126">
        <v>60</v>
      </c>
      <c r="W580" s="126">
        <f t="shared" si="69"/>
        <v>53500</v>
      </c>
      <c r="X580" s="126">
        <f t="shared" si="63"/>
        <v>891.66666666666663</v>
      </c>
      <c r="Y580" s="128" t="s">
        <v>1833</v>
      </c>
      <c r="Z580" s="119" t="s">
        <v>35</v>
      </c>
      <c r="AA580" s="119" t="s">
        <v>35</v>
      </c>
      <c r="AB580" s="119" t="s">
        <v>1834</v>
      </c>
      <c r="AC580" s="119">
        <v>0</v>
      </c>
      <c r="AD580" s="119">
        <v>1</v>
      </c>
      <c r="AE580" s="119" t="s">
        <v>42</v>
      </c>
      <c r="AF580" s="119" t="s">
        <v>35</v>
      </c>
      <c r="AG580" s="119" t="s">
        <v>38</v>
      </c>
      <c r="AH580" s="119" t="s">
        <v>92</v>
      </c>
    </row>
    <row r="581" spans="1:34" x14ac:dyDescent="0.3">
      <c r="A581" s="118" t="s">
        <v>1834</v>
      </c>
      <c r="B581" s="119" t="s">
        <v>1893</v>
      </c>
      <c r="C581" s="119" t="s">
        <v>1894</v>
      </c>
      <c r="D581" s="120">
        <v>45548</v>
      </c>
      <c r="E581" s="121">
        <v>270000</v>
      </c>
      <c r="F581" s="119" t="s">
        <v>32</v>
      </c>
      <c r="G581" s="119" t="s">
        <v>33</v>
      </c>
      <c r="H581" s="121">
        <v>270000</v>
      </c>
      <c r="I581" s="121">
        <v>133900</v>
      </c>
      <c r="J581" s="122">
        <f t="shared" si="64"/>
        <v>49.592592592592595</v>
      </c>
      <c r="K581" s="121">
        <v>316782</v>
      </c>
      <c r="L581" s="121">
        <f>H581-307182</f>
        <v>-37182</v>
      </c>
      <c r="M581" s="121">
        <v>9600</v>
      </c>
      <c r="N581" s="123">
        <f t="shared" si="65"/>
        <v>3.5555555555555556E-2</v>
      </c>
      <c r="O581" s="124">
        <v>60</v>
      </c>
      <c r="P581" s="125">
        <v>120</v>
      </c>
      <c r="Q581" s="126">
        <v>0.16500000000000001</v>
      </c>
      <c r="R581" s="126">
        <v>0.16500000000000001</v>
      </c>
      <c r="S581" s="121">
        <f t="shared" si="66"/>
        <v>-619.70000000000005</v>
      </c>
      <c r="T581" s="121">
        <f t="shared" si="67"/>
        <v>-225345.45454545453</v>
      </c>
      <c r="U581" s="127">
        <f t="shared" si="68"/>
        <v>-5.1732198013189743</v>
      </c>
      <c r="V581" s="126">
        <v>60</v>
      </c>
      <c r="W581" s="126">
        <f t="shared" si="69"/>
        <v>54000</v>
      </c>
      <c r="X581" s="126">
        <f t="shared" si="63"/>
        <v>900</v>
      </c>
      <c r="Y581" s="128" t="s">
        <v>1833</v>
      </c>
      <c r="Z581" s="119" t="s">
        <v>35</v>
      </c>
      <c r="AA581" s="119" t="s">
        <v>35</v>
      </c>
      <c r="AB581" s="119" t="s">
        <v>1834</v>
      </c>
      <c r="AC581" s="119">
        <v>0</v>
      </c>
      <c r="AD581" s="119">
        <v>1</v>
      </c>
      <c r="AE581" s="119" t="s">
        <v>42</v>
      </c>
      <c r="AF581" s="119" t="s">
        <v>43</v>
      </c>
      <c r="AG581" s="119" t="s">
        <v>38</v>
      </c>
      <c r="AH581" s="119" t="s">
        <v>92</v>
      </c>
    </row>
    <row r="582" spans="1:34" x14ac:dyDescent="0.3">
      <c r="A582" s="107" t="s">
        <v>1834</v>
      </c>
      <c r="B582" s="108" t="s">
        <v>1855</v>
      </c>
      <c r="C582" s="108" t="s">
        <v>1856</v>
      </c>
      <c r="D582" s="109">
        <v>45520</v>
      </c>
      <c r="E582" s="110">
        <v>275000</v>
      </c>
      <c r="F582" s="108" t="s">
        <v>32</v>
      </c>
      <c r="G582" s="108" t="s">
        <v>33</v>
      </c>
      <c r="H582" s="110">
        <v>275000</v>
      </c>
      <c r="I582" s="110">
        <v>117600</v>
      </c>
      <c r="J582" s="111">
        <f t="shared" si="64"/>
        <v>42.763636363636365</v>
      </c>
      <c r="K582" s="110">
        <v>277480</v>
      </c>
      <c r="L582" s="110">
        <f>H582-267880</f>
        <v>7120</v>
      </c>
      <c r="M582" s="110">
        <v>9600</v>
      </c>
      <c r="N582" s="112">
        <f t="shared" si="65"/>
        <v>3.490909090909091E-2</v>
      </c>
      <c r="O582" s="113">
        <v>60</v>
      </c>
      <c r="P582" s="114">
        <v>120</v>
      </c>
      <c r="Q582" s="115">
        <v>0.16500000000000001</v>
      </c>
      <c r="R582" s="115">
        <v>0.16500000000000001</v>
      </c>
      <c r="S582" s="110">
        <f t="shared" si="66"/>
        <v>118.66666666666667</v>
      </c>
      <c r="T582" s="110">
        <f t="shared" si="67"/>
        <v>43151.515151515152</v>
      </c>
      <c r="U582" s="116">
        <f t="shared" si="68"/>
        <v>0.99062247822578398</v>
      </c>
      <c r="V582" s="115">
        <v>60</v>
      </c>
      <c r="W582" s="115">
        <f t="shared" si="69"/>
        <v>55000</v>
      </c>
      <c r="X582" s="115">
        <f t="shared" si="63"/>
        <v>916.66666666666663</v>
      </c>
      <c r="Y582" s="117" t="s">
        <v>1833</v>
      </c>
      <c r="Z582" s="108" t="s">
        <v>35</v>
      </c>
      <c r="AA582" s="108" t="s">
        <v>35</v>
      </c>
      <c r="AB582" s="108" t="s">
        <v>1834</v>
      </c>
      <c r="AC582" s="108">
        <v>0</v>
      </c>
      <c r="AD582" s="108">
        <v>1</v>
      </c>
      <c r="AE582" s="108" t="s">
        <v>42</v>
      </c>
      <c r="AF582" s="108" t="s">
        <v>43</v>
      </c>
      <c r="AG582" s="108" t="s">
        <v>38</v>
      </c>
      <c r="AH582" s="108" t="s">
        <v>92</v>
      </c>
    </row>
    <row r="583" spans="1:34" x14ac:dyDescent="0.3">
      <c r="A583" s="107" t="s">
        <v>1834</v>
      </c>
      <c r="B583" s="108" t="s">
        <v>1839</v>
      </c>
      <c r="C583" s="108" t="s">
        <v>1840</v>
      </c>
      <c r="D583" s="109">
        <v>45330</v>
      </c>
      <c r="E583" s="110">
        <v>275000</v>
      </c>
      <c r="F583" s="108" t="s">
        <v>32</v>
      </c>
      <c r="G583" s="108" t="s">
        <v>33</v>
      </c>
      <c r="H583" s="110">
        <v>275000</v>
      </c>
      <c r="I583" s="110">
        <v>126800</v>
      </c>
      <c r="J583" s="111">
        <f t="shared" si="64"/>
        <v>46.109090909090909</v>
      </c>
      <c r="K583" s="110">
        <v>333151</v>
      </c>
      <c r="L583" s="110">
        <f>H583-323476</f>
        <v>-48476</v>
      </c>
      <c r="M583" s="110">
        <v>9675</v>
      </c>
      <c r="N583" s="112">
        <f t="shared" si="65"/>
        <v>3.5181818181818182E-2</v>
      </c>
      <c r="O583" s="113">
        <v>60.46</v>
      </c>
      <c r="P583" s="114">
        <v>121.88</v>
      </c>
      <c r="Q583" s="115">
        <v>0.16800000000000001</v>
      </c>
      <c r="R583" s="115">
        <v>0.16800000000000001</v>
      </c>
      <c r="S583" s="110">
        <f t="shared" si="66"/>
        <v>-801.78630499503799</v>
      </c>
      <c r="T583" s="110">
        <f t="shared" si="67"/>
        <v>-288547.61904761905</v>
      </c>
      <c r="U583" s="116">
        <f t="shared" si="68"/>
        <v>-6.6241418514145787</v>
      </c>
      <c r="V583" s="115">
        <v>60</v>
      </c>
      <c r="W583" s="115">
        <f t="shared" si="69"/>
        <v>55000</v>
      </c>
      <c r="X583" s="115">
        <f t="shared" si="63"/>
        <v>916.66666666666663</v>
      </c>
      <c r="Y583" s="117" t="s">
        <v>1833</v>
      </c>
      <c r="Z583" s="108" t="s">
        <v>35</v>
      </c>
      <c r="AA583" s="108" t="s">
        <v>35</v>
      </c>
      <c r="AB583" s="108" t="s">
        <v>1834</v>
      </c>
      <c r="AC583" s="108">
        <v>0</v>
      </c>
      <c r="AD583" s="108">
        <v>1</v>
      </c>
      <c r="AE583" s="108" t="s">
        <v>42</v>
      </c>
      <c r="AF583" s="108" t="s">
        <v>43</v>
      </c>
      <c r="AG583" s="108" t="s">
        <v>38</v>
      </c>
      <c r="AH583" s="108" t="s">
        <v>92</v>
      </c>
    </row>
    <row r="584" spans="1:34" x14ac:dyDescent="0.3">
      <c r="A584" s="107" t="s">
        <v>1834</v>
      </c>
      <c r="B584" s="108" t="s">
        <v>1845</v>
      </c>
      <c r="C584" s="108" t="s">
        <v>1846</v>
      </c>
      <c r="D584" s="109">
        <v>45435</v>
      </c>
      <c r="E584" s="110">
        <v>288000</v>
      </c>
      <c r="F584" s="108" t="s">
        <v>32</v>
      </c>
      <c r="G584" s="108" t="s">
        <v>33</v>
      </c>
      <c r="H584" s="110">
        <v>288000</v>
      </c>
      <c r="I584" s="110">
        <v>117900</v>
      </c>
      <c r="J584" s="111">
        <f t="shared" si="64"/>
        <v>40.9375</v>
      </c>
      <c r="K584" s="110">
        <v>279024</v>
      </c>
      <c r="L584" s="110">
        <f>H584-269424</f>
        <v>18576</v>
      </c>
      <c r="M584" s="110">
        <v>9600</v>
      </c>
      <c r="N584" s="112">
        <f t="shared" si="65"/>
        <v>3.3333333333333333E-2</v>
      </c>
      <c r="O584" s="113">
        <v>60</v>
      </c>
      <c r="P584" s="114">
        <v>120</v>
      </c>
      <c r="Q584" s="115">
        <v>0.16500000000000001</v>
      </c>
      <c r="R584" s="115">
        <v>0.16500000000000001</v>
      </c>
      <c r="S584" s="110">
        <f t="shared" si="66"/>
        <v>309.60000000000002</v>
      </c>
      <c r="T584" s="110">
        <f t="shared" si="67"/>
        <v>112581.81818181818</v>
      </c>
      <c r="U584" s="116">
        <f t="shared" si="68"/>
        <v>2.5845229151014273</v>
      </c>
      <c r="V584" s="115">
        <v>60</v>
      </c>
      <c r="W584" s="115">
        <f t="shared" si="69"/>
        <v>57600</v>
      </c>
      <c r="X584" s="115">
        <f t="shared" si="63"/>
        <v>960</v>
      </c>
      <c r="Y584" s="117" t="s">
        <v>1833</v>
      </c>
      <c r="Z584" s="108" t="s">
        <v>35</v>
      </c>
      <c r="AA584" s="108" t="s">
        <v>35</v>
      </c>
      <c r="AB584" s="108" t="s">
        <v>1834</v>
      </c>
      <c r="AC584" s="108">
        <v>0</v>
      </c>
      <c r="AD584" s="108">
        <v>1</v>
      </c>
      <c r="AE584" s="108" t="s">
        <v>37</v>
      </c>
      <c r="AF584" s="108" t="s">
        <v>43</v>
      </c>
      <c r="AG584" s="108" t="s">
        <v>38</v>
      </c>
      <c r="AH584" s="108" t="s">
        <v>92</v>
      </c>
    </row>
    <row r="585" spans="1:34" x14ac:dyDescent="0.3">
      <c r="A585" s="118" t="s">
        <v>1834</v>
      </c>
      <c r="B585" s="119" t="s">
        <v>1911</v>
      </c>
      <c r="C585" s="119" t="s">
        <v>1912</v>
      </c>
      <c r="D585" s="120">
        <v>45202</v>
      </c>
      <c r="E585" s="121">
        <v>290000</v>
      </c>
      <c r="F585" s="119" t="s">
        <v>32</v>
      </c>
      <c r="G585" s="119" t="s">
        <v>33</v>
      </c>
      <c r="H585" s="121">
        <v>290000</v>
      </c>
      <c r="I585" s="121">
        <v>118300</v>
      </c>
      <c r="J585" s="122">
        <f t="shared" si="64"/>
        <v>40.793103448275865</v>
      </c>
      <c r="K585" s="121">
        <v>310358</v>
      </c>
      <c r="L585" s="121">
        <f>H585-299741</f>
        <v>-9741</v>
      </c>
      <c r="M585" s="121">
        <v>10617</v>
      </c>
      <c r="N585" s="123">
        <f t="shared" si="65"/>
        <v>3.6610344827586204E-2</v>
      </c>
      <c r="O585" s="124">
        <v>66.349999999999994</v>
      </c>
      <c r="P585" s="125">
        <v>146.78</v>
      </c>
      <c r="Q585" s="126">
        <v>0.20200000000000001</v>
      </c>
      <c r="R585" s="126">
        <v>0.20200000000000001</v>
      </c>
      <c r="S585" s="121">
        <f t="shared" si="66"/>
        <v>-146.81235870384327</v>
      </c>
      <c r="T585" s="121">
        <f t="shared" si="67"/>
        <v>-48222.772277227719</v>
      </c>
      <c r="U585" s="127">
        <f t="shared" si="68"/>
        <v>-1.1070425224340614</v>
      </c>
      <c r="V585" s="126">
        <v>60</v>
      </c>
      <c r="W585" s="126">
        <f t="shared" si="69"/>
        <v>58000</v>
      </c>
      <c r="X585" s="126">
        <f t="shared" si="63"/>
        <v>966.66666666666663</v>
      </c>
      <c r="Y585" s="128" t="s">
        <v>1833</v>
      </c>
      <c r="Z585" s="119" t="s">
        <v>35</v>
      </c>
      <c r="AA585" s="119" t="s">
        <v>35</v>
      </c>
      <c r="AB585" s="119" t="s">
        <v>1834</v>
      </c>
      <c r="AC585" s="119">
        <v>0</v>
      </c>
      <c r="AD585" s="119">
        <v>1</v>
      </c>
      <c r="AE585" s="119" t="s">
        <v>42</v>
      </c>
      <c r="AF585" s="119" t="s">
        <v>43</v>
      </c>
      <c r="AG585" s="119" t="s">
        <v>38</v>
      </c>
      <c r="AH585" s="119" t="s">
        <v>92</v>
      </c>
    </row>
    <row r="586" spans="1:34" x14ac:dyDescent="0.3">
      <c r="A586" s="107" t="s">
        <v>1834</v>
      </c>
      <c r="B586" s="108" t="s">
        <v>1853</v>
      </c>
      <c r="C586" s="108" t="s">
        <v>1854</v>
      </c>
      <c r="D586" s="109">
        <v>45301</v>
      </c>
      <c r="E586" s="110">
        <v>295000</v>
      </c>
      <c r="F586" s="108" t="s">
        <v>32</v>
      </c>
      <c r="G586" s="108" t="s">
        <v>33</v>
      </c>
      <c r="H586" s="110">
        <v>295000</v>
      </c>
      <c r="I586" s="110">
        <v>115900</v>
      </c>
      <c r="J586" s="111">
        <f t="shared" si="64"/>
        <v>39.288135593220339</v>
      </c>
      <c r="K586" s="110">
        <v>304049</v>
      </c>
      <c r="L586" s="110">
        <f>H586-294449</f>
        <v>551</v>
      </c>
      <c r="M586" s="110">
        <v>9600</v>
      </c>
      <c r="N586" s="112">
        <f t="shared" si="65"/>
        <v>3.2542372881355933E-2</v>
      </c>
      <c r="O586" s="113">
        <v>60</v>
      </c>
      <c r="P586" s="114">
        <v>120</v>
      </c>
      <c r="Q586" s="115">
        <v>0.16500000000000001</v>
      </c>
      <c r="R586" s="115">
        <v>0.16500000000000001</v>
      </c>
      <c r="S586" s="110">
        <f t="shared" si="66"/>
        <v>9.1833333333333336</v>
      </c>
      <c r="T586" s="110">
        <f t="shared" si="67"/>
        <v>3339.393939393939</v>
      </c>
      <c r="U586" s="116">
        <f t="shared" si="68"/>
        <v>7.6661936166068395E-2</v>
      </c>
      <c r="V586" s="115">
        <v>60</v>
      </c>
      <c r="W586" s="115">
        <f t="shared" si="69"/>
        <v>59000</v>
      </c>
      <c r="X586" s="115">
        <f t="shared" si="63"/>
        <v>983.33333333333337</v>
      </c>
      <c r="Y586" s="117" t="s">
        <v>1833</v>
      </c>
      <c r="Z586" s="108" t="s">
        <v>35</v>
      </c>
      <c r="AA586" s="108" t="s">
        <v>35</v>
      </c>
      <c r="AB586" s="108" t="s">
        <v>1834</v>
      </c>
      <c r="AC586" s="108">
        <v>0</v>
      </c>
      <c r="AD586" s="108">
        <v>1</v>
      </c>
      <c r="AE586" s="108" t="s">
        <v>37</v>
      </c>
      <c r="AF586" s="108" t="s">
        <v>43</v>
      </c>
      <c r="AG586" s="108" t="s">
        <v>38</v>
      </c>
      <c r="AH586" s="108" t="s">
        <v>92</v>
      </c>
    </row>
    <row r="587" spans="1:34" x14ac:dyDescent="0.3">
      <c r="A587" s="118" t="s">
        <v>1834</v>
      </c>
      <c r="B587" s="119" t="s">
        <v>1841</v>
      </c>
      <c r="C587" s="119" t="s">
        <v>1842</v>
      </c>
      <c r="D587" s="120">
        <v>45639</v>
      </c>
      <c r="E587" s="121">
        <v>300000</v>
      </c>
      <c r="F587" s="119" t="s">
        <v>32</v>
      </c>
      <c r="G587" s="119" t="s">
        <v>33</v>
      </c>
      <c r="H587" s="121">
        <v>300000</v>
      </c>
      <c r="I587" s="121">
        <v>109600</v>
      </c>
      <c r="J587" s="122">
        <f t="shared" si="64"/>
        <v>36.533333333333331</v>
      </c>
      <c r="K587" s="121">
        <v>253657</v>
      </c>
      <c r="L587" s="121">
        <f>H587-244057</f>
        <v>55943</v>
      </c>
      <c r="M587" s="121">
        <v>9600</v>
      </c>
      <c r="N587" s="123">
        <f t="shared" si="65"/>
        <v>3.2000000000000001E-2</v>
      </c>
      <c r="O587" s="124">
        <v>60</v>
      </c>
      <c r="P587" s="125">
        <v>120</v>
      </c>
      <c r="Q587" s="126">
        <v>0.16500000000000001</v>
      </c>
      <c r="R587" s="126">
        <v>0.16500000000000001</v>
      </c>
      <c r="S587" s="121">
        <f t="shared" si="66"/>
        <v>932.38333333333333</v>
      </c>
      <c r="T587" s="121">
        <f t="shared" si="67"/>
        <v>339048.4848484848</v>
      </c>
      <c r="U587" s="127">
        <f t="shared" si="68"/>
        <v>7.7834822049698076</v>
      </c>
      <c r="V587" s="126">
        <v>60</v>
      </c>
      <c r="W587" s="126">
        <f t="shared" si="69"/>
        <v>60000</v>
      </c>
      <c r="X587" s="126">
        <f t="shared" si="63"/>
        <v>1000</v>
      </c>
      <c r="Y587" s="128" t="s">
        <v>1833</v>
      </c>
      <c r="Z587" s="119" t="s">
        <v>35</v>
      </c>
      <c r="AA587" s="119" t="s">
        <v>35</v>
      </c>
      <c r="AB587" s="119" t="s">
        <v>1834</v>
      </c>
      <c r="AC587" s="119">
        <v>0</v>
      </c>
      <c r="AD587" s="119">
        <v>1</v>
      </c>
      <c r="AE587" s="119" t="s">
        <v>37</v>
      </c>
      <c r="AF587" s="119" t="s">
        <v>35</v>
      </c>
      <c r="AG587" s="119" t="s">
        <v>38</v>
      </c>
      <c r="AH587" s="119" t="s">
        <v>92</v>
      </c>
    </row>
    <row r="588" spans="1:34" x14ac:dyDescent="0.3">
      <c r="A588" s="107" t="s">
        <v>1834</v>
      </c>
      <c r="B588" s="108" t="s">
        <v>1837</v>
      </c>
      <c r="C588" s="108" t="s">
        <v>1838</v>
      </c>
      <c r="D588" s="109">
        <v>45086</v>
      </c>
      <c r="E588" s="110">
        <v>287500</v>
      </c>
      <c r="F588" s="108" t="s">
        <v>32</v>
      </c>
      <c r="G588" s="108" t="s">
        <v>33</v>
      </c>
      <c r="H588" s="110">
        <v>287500</v>
      </c>
      <c r="I588" s="110">
        <v>115900</v>
      </c>
      <c r="J588" s="111">
        <f t="shared" si="64"/>
        <v>40.313043478260866</v>
      </c>
      <c r="K588" s="110">
        <v>301860</v>
      </c>
      <c r="L588" s="110">
        <f>H588-292180</f>
        <v>-4680</v>
      </c>
      <c r="M588" s="110">
        <v>9680</v>
      </c>
      <c r="N588" s="112">
        <f t="shared" si="65"/>
        <v>3.3669565217391305E-2</v>
      </c>
      <c r="O588" s="113">
        <v>60.49</v>
      </c>
      <c r="P588" s="114">
        <v>110.3</v>
      </c>
      <c r="Q588" s="115">
        <v>0.16900000000000001</v>
      </c>
      <c r="R588" s="115">
        <v>0.16900000000000001</v>
      </c>
      <c r="S588" s="110">
        <f t="shared" si="66"/>
        <v>-77.368160026450653</v>
      </c>
      <c r="T588" s="110">
        <f t="shared" si="67"/>
        <v>-27692.307692307691</v>
      </c>
      <c r="U588" s="116">
        <f t="shared" si="68"/>
        <v>-0.63572790845518112</v>
      </c>
      <c r="V588" s="115">
        <v>55.91</v>
      </c>
      <c r="W588" s="115">
        <f t="shared" si="69"/>
        <v>57500</v>
      </c>
      <c r="X588" s="115">
        <f t="shared" ref="X588:X651" si="70">W588/V588</f>
        <v>1028.4385619746022</v>
      </c>
      <c r="Y588" s="117" t="s">
        <v>1833</v>
      </c>
      <c r="Z588" s="108" t="s">
        <v>35</v>
      </c>
      <c r="AA588" s="108" t="s">
        <v>35</v>
      </c>
      <c r="AB588" s="108" t="s">
        <v>1834</v>
      </c>
      <c r="AC588" s="108">
        <v>0</v>
      </c>
      <c r="AD588" s="108">
        <v>1</v>
      </c>
      <c r="AE588" s="108" t="s">
        <v>37</v>
      </c>
      <c r="AF588" s="108" t="s">
        <v>43</v>
      </c>
      <c r="AG588" s="108" t="s">
        <v>38</v>
      </c>
      <c r="AH588" s="108" t="s">
        <v>92</v>
      </c>
    </row>
    <row r="589" spans="1:34" x14ac:dyDescent="0.3">
      <c r="A589" s="118" t="s">
        <v>1834</v>
      </c>
      <c r="B589" s="119" t="s">
        <v>1851</v>
      </c>
      <c r="C589" s="119" t="s">
        <v>1852</v>
      </c>
      <c r="D589" s="120">
        <v>45545</v>
      </c>
      <c r="E589" s="121">
        <v>310000</v>
      </c>
      <c r="F589" s="119" t="s">
        <v>32</v>
      </c>
      <c r="G589" s="119" t="s">
        <v>33</v>
      </c>
      <c r="H589" s="121">
        <v>310000</v>
      </c>
      <c r="I589" s="121">
        <v>134400</v>
      </c>
      <c r="J589" s="122">
        <f t="shared" si="64"/>
        <v>43.354838709677416</v>
      </c>
      <c r="K589" s="121">
        <v>319257</v>
      </c>
      <c r="L589" s="121">
        <f>H589-309657</f>
        <v>343</v>
      </c>
      <c r="M589" s="121">
        <v>9600</v>
      </c>
      <c r="N589" s="123">
        <f t="shared" si="65"/>
        <v>3.0967741935483871E-2</v>
      </c>
      <c r="O589" s="124">
        <v>60</v>
      </c>
      <c r="P589" s="125">
        <v>120</v>
      </c>
      <c r="Q589" s="126">
        <v>0.16500000000000001</v>
      </c>
      <c r="R589" s="126">
        <v>0.16500000000000001</v>
      </c>
      <c r="S589" s="121">
        <f t="shared" si="66"/>
        <v>5.7166666666666668</v>
      </c>
      <c r="T589" s="121">
        <f t="shared" si="67"/>
        <v>2078.7878787878785</v>
      </c>
      <c r="U589" s="127">
        <f t="shared" si="68"/>
        <v>4.7722403094303915E-2</v>
      </c>
      <c r="V589" s="126">
        <v>60</v>
      </c>
      <c r="W589" s="126">
        <f t="shared" si="69"/>
        <v>62000</v>
      </c>
      <c r="X589" s="126">
        <f t="shared" si="70"/>
        <v>1033.3333333333333</v>
      </c>
      <c r="Y589" s="128" t="s">
        <v>1833</v>
      </c>
      <c r="Z589" s="119" t="s">
        <v>35</v>
      </c>
      <c r="AA589" s="119" t="s">
        <v>35</v>
      </c>
      <c r="AB589" s="119" t="s">
        <v>1834</v>
      </c>
      <c r="AC589" s="119">
        <v>0</v>
      </c>
      <c r="AD589" s="119">
        <v>1</v>
      </c>
      <c r="AE589" s="119" t="s">
        <v>42</v>
      </c>
      <c r="AF589" s="119" t="s">
        <v>43</v>
      </c>
      <c r="AG589" s="119" t="s">
        <v>38</v>
      </c>
      <c r="AH589" s="119" t="s">
        <v>92</v>
      </c>
    </row>
    <row r="590" spans="1:34" x14ac:dyDescent="0.3">
      <c r="A590" s="118" t="s">
        <v>1834</v>
      </c>
      <c r="B590" s="119" t="s">
        <v>1843</v>
      </c>
      <c r="C590" s="119" t="s">
        <v>1844</v>
      </c>
      <c r="D590" s="120">
        <v>45510</v>
      </c>
      <c r="E590" s="121">
        <v>326500</v>
      </c>
      <c r="F590" s="119" t="s">
        <v>32</v>
      </c>
      <c r="G590" s="119" t="s">
        <v>33</v>
      </c>
      <c r="H590" s="121">
        <v>326500</v>
      </c>
      <c r="I590" s="121">
        <v>138200</v>
      </c>
      <c r="J590" s="122">
        <f t="shared" si="64"/>
        <v>42.32771822358346</v>
      </c>
      <c r="K590" s="121">
        <v>327020</v>
      </c>
      <c r="L590" s="121">
        <f>H590-317418</f>
        <v>9082</v>
      </c>
      <c r="M590" s="121">
        <v>9602</v>
      </c>
      <c r="N590" s="123">
        <f t="shared" si="65"/>
        <v>2.9408882082695254E-2</v>
      </c>
      <c r="O590" s="124">
        <v>60.01</v>
      </c>
      <c r="P590" s="125">
        <v>120.05</v>
      </c>
      <c r="Q590" s="126">
        <v>0.16500000000000001</v>
      </c>
      <c r="R590" s="126">
        <v>0.16500000000000001</v>
      </c>
      <c r="S590" s="121">
        <f t="shared" si="66"/>
        <v>151.34144309281785</v>
      </c>
      <c r="T590" s="121">
        <f t="shared" si="67"/>
        <v>55042.42424242424</v>
      </c>
      <c r="U590" s="127">
        <f t="shared" si="68"/>
        <v>1.2636001892200239</v>
      </c>
      <c r="V590" s="126">
        <v>60</v>
      </c>
      <c r="W590" s="126">
        <f t="shared" si="69"/>
        <v>65300</v>
      </c>
      <c r="X590" s="126">
        <f t="shared" si="70"/>
        <v>1088.3333333333333</v>
      </c>
      <c r="Y590" s="128" t="s">
        <v>1833</v>
      </c>
      <c r="Z590" s="119" t="s">
        <v>35</v>
      </c>
      <c r="AA590" s="119" t="s">
        <v>35</v>
      </c>
      <c r="AB590" s="119" t="s">
        <v>1834</v>
      </c>
      <c r="AC590" s="119">
        <v>0</v>
      </c>
      <c r="AD590" s="119">
        <v>1</v>
      </c>
      <c r="AE590" s="119" t="s">
        <v>42</v>
      </c>
      <c r="AF590" s="119" t="s">
        <v>43</v>
      </c>
      <c r="AG590" s="119" t="s">
        <v>38</v>
      </c>
      <c r="AH590" s="119" t="s">
        <v>92</v>
      </c>
    </row>
    <row r="591" spans="1:34" x14ac:dyDescent="0.3">
      <c r="A591" s="118" t="s">
        <v>1834</v>
      </c>
      <c r="B591" s="119" t="s">
        <v>1857</v>
      </c>
      <c r="C591" s="119" t="s">
        <v>1858</v>
      </c>
      <c r="D591" s="120">
        <v>45667</v>
      </c>
      <c r="E591" s="121">
        <v>311000</v>
      </c>
      <c r="F591" s="119" t="s">
        <v>32</v>
      </c>
      <c r="G591" s="119" t="s">
        <v>33</v>
      </c>
      <c r="H591" s="121">
        <v>311000</v>
      </c>
      <c r="I591" s="121">
        <v>145900</v>
      </c>
      <c r="J591" s="122">
        <f t="shared" si="64"/>
        <v>46.913183279742768</v>
      </c>
      <c r="K591" s="121">
        <v>343715</v>
      </c>
      <c r="L591" s="121">
        <f>H591-333143</f>
        <v>-22143</v>
      </c>
      <c r="M591" s="121">
        <v>10572</v>
      </c>
      <c r="N591" s="123">
        <f t="shared" si="65"/>
        <v>3.3993569131832796E-2</v>
      </c>
      <c r="O591" s="124">
        <v>66.069999999999993</v>
      </c>
      <c r="P591" s="125">
        <v>121.57</v>
      </c>
      <c r="Q591" s="126">
        <v>0.19600000000000001</v>
      </c>
      <c r="R591" s="126">
        <v>0.19600000000000001</v>
      </c>
      <c r="S591" s="121">
        <f t="shared" si="66"/>
        <v>-335.14454366580901</v>
      </c>
      <c r="T591" s="121">
        <f t="shared" si="67"/>
        <v>-112974.48979591836</v>
      </c>
      <c r="U591" s="127">
        <f t="shared" si="68"/>
        <v>-2.593537414965986</v>
      </c>
      <c r="V591" s="126">
        <v>56.65</v>
      </c>
      <c r="W591" s="126">
        <f t="shared" si="69"/>
        <v>62200</v>
      </c>
      <c r="X591" s="126">
        <f t="shared" si="70"/>
        <v>1097.9699911738746</v>
      </c>
      <c r="Y591" s="128" t="s">
        <v>1833</v>
      </c>
      <c r="Z591" s="119" t="s">
        <v>35</v>
      </c>
      <c r="AA591" s="119" t="s">
        <v>35</v>
      </c>
      <c r="AB591" s="119" t="s">
        <v>1834</v>
      </c>
      <c r="AC591" s="119">
        <v>0</v>
      </c>
      <c r="AD591" s="119">
        <v>1</v>
      </c>
      <c r="AE591" s="119" t="s">
        <v>42</v>
      </c>
      <c r="AF591" s="119" t="s">
        <v>35</v>
      </c>
      <c r="AG591" s="119" t="s">
        <v>38</v>
      </c>
      <c r="AH591" s="119" t="s">
        <v>92</v>
      </c>
    </row>
    <row r="592" spans="1:34" x14ac:dyDescent="0.3">
      <c r="A592" s="118" t="s">
        <v>2168</v>
      </c>
      <c r="B592" s="119" t="s">
        <v>2188</v>
      </c>
      <c r="C592" s="119" t="s">
        <v>2189</v>
      </c>
      <c r="D592" s="120">
        <v>45506</v>
      </c>
      <c r="E592" s="121">
        <v>13500</v>
      </c>
      <c r="F592" s="119" t="s">
        <v>32</v>
      </c>
      <c r="G592" s="119" t="s">
        <v>33</v>
      </c>
      <c r="H592" s="121">
        <v>13500</v>
      </c>
      <c r="I592" s="121">
        <v>4800</v>
      </c>
      <c r="J592" s="122">
        <f t="shared" si="64"/>
        <v>35.555555555555557</v>
      </c>
      <c r="K592" s="121">
        <v>10643</v>
      </c>
      <c r="L592" s="121">
        <f>H592-0</f>
        <v>13500</v>
      </c>
      <c r="M592" s="121">
        <v>10643</v>
      </c>
      <c r="N592" s="123">
        <f t="shared" si="65"/>
        <v>0.78837037037037039</v>
      </c>
      <c r="O592" s="124">
        <v>80.02</v>
      </c>
      <c r="P592" s="125">
        <v>135</v>
      </c>
      <c r="Q592" s="126">
        <v>0.23899999999999999</v>
      </c>
      <c r="R592" s="126">
        <v>0.23899999999999999</v>
      </c>
      <c r="S592" s="121">
        <f t="shared" si="66"/>
        <v>168.70782304423895</v>
      </c>
      <c r="T592" s="121">
        <f t="shared" si="67"/>
        <v>56485.355648535566</v>
      </c>
      <c r="U592" s="127">
        <f t="shared" si="68"/>
        <v>1.2967253362841038</v>
      </c>
      <c r="V592" s="126">
        <v>77</v>
      </c>
      <c r="W592" s="126">
        <f t="shared" si="69"/>
        <v>2700</v>
      </c>
      <c r="X592" s="126">
        <f t="shared" si="70"/>
        <v>35.064935064935064</v>
      </c>
      <c r="Y592" s="128" t="s">
        <v>1562</v>
      </c>
      <c r="Z592" s="119" t="s">
        <v>35</v>
      </c>
      <c r="AA592" s="119" t="s">
        <v>35</v>
      </c>
      <c r="AB592" s="119" t="s">
        <v>2168</v>
      </c>
      <c r="AC592" s="119">
        <v>0</v>
      </c>
      <c r="AD592" s="119">
        <v>0</v>
      </c>
      <c r="AE592" s="119" t="s">
        <v>37</v>
      </c>
      <c r="AF592" s="119" t="s">
        <v>43</v>
      </c>
      <c r="AG592" s="119" t="s">
        <v>61</v>
      </c>
      <c r="AH592" s="119" t="s">
        <v>92</v>
      </c>
    </row>
    <row r="593" spans="1:34" x14ac:dyDescent="0.3">
      <c r="A593" s="107" t="s">
        <v>2168</v>
      </c>
      <c r="B593" s="108" t="s">
        <v>2166</v>
      </c>
      <c r="C593" s="108" t="s">
        <v>2167</v>
      </c>
      <c r="D593" s="109">
        <v>45686</v>
      </c>
      <c r="E593" s="110">
        <v>135000</v>
      </c>
      <c r="F593" s="108" t="s">
        <v>32</v>
      </c>
      <c r="G593" s="108" t="s">
        <v>33</v>
      </c>
      <c r="H593" s="110">
        <v>135000</v>
      </c>
      <c r="I593" s="110">
        <v>56700</v>
      </c>
      <c r="J593" s="111">
        <f t="shared" si="64"/>
        <v>42</v>
      </c>
      <c r="K593" s="110">
        <v>127565</v>
      </c>
      <c r="L593" s="110">
        <f>H593-111478</f>
        <v>23522</v>
      </c>
      <c r="M593" s="110">
        <v>16087</v>
      </c>
      <c r="N593" s="112">
        <f t="shared" si="65"/>
        <v>0.11916296296296296</v>
      </c>
      <c r="O593" s="113">
        <v>120.95</v>
      </c>
      <c r="P593" s="114">
        <v>127</v>
      </c>
      <c r="Q593" s="115">
        <v>0.35</v>
      </c>
      <c r="R593" s="115">
        <v>0.35</v>
      </c>
      <c r="S593" s="110">
        <f t="shared" si="66"/>
        <v>194.47705663497314</v>
      </c>
      <c r="T593" s="110">
        <f t="shared" si="67"/>
        <v>67205.71428571429</v>
      </c>
      <c r="U593" s="116">
        <f t="shared" si="68"/>
        <v>1.5428309064672703</v>
      </c>
      <c r="V593" s="115">
        <v>120</v>
      </c>
      <c r="W593" s="115">
        <f t="shared" si="69"/>
        <v>27000</v>
      </c>
      <c r="X593" s="115">
        <f t="shared" si="70"/>
        <v>225</v>
      </c>
      <c r="Y593" s="117" t="s">
        <v>1562</v>
      </c>
      <c r="Z593" s="108" t="s">
        <v>35</v>
      </c>
      <c r="AA593" s="108" t="s">
        <v>35</v>
      </c>
      <c r="AB593" s="108" t="s">
        <v>2168</v>
      </c>
      <c r="AC593" s="108">
        <v>0</v>
      </c>
      <c r="AD593" s="108">
        <v>1</v>
      </c>
      <c r="AE593" s="108" t="s">
        <v>42</v>
      </c>
      <c r="AF593" s="108" t="s">
        <v>35</v>
      </c>
      <c r="AG593" s="108" t="s">
        <v>38</v>
      </c>
      <c r="AH593" s="108" t="s">
        <v>92</v>
      </c>
    </row>
    <row r="594" spans="1:34" x14ac:dyDescent="0.3">
      <c r="A594" s="118" t="s">
        <v>2168</v>
      </c>
      <c r="B594" s="119" t="s">
        <v>2180</v>
      </c>
      <c r="C594" s="119" t="s">
        <v>2181</v>
      </c>
      <c r="D594" s="120">
        <v>45072</v>
      </c>
      <c r="E594" s="121">
        <v>94000</v>
      </c>
      <c r="F594" s="119" t="s">
        <v>32</v>
      </c>
      <c r="G594" s="119" t="s">
        <v>66</v>
      </c>
      <c r="H594" s="121">
        <v>94000</v>
      </c>
      <c r="I594" s="121">
        <v>35600</v>
      </c>
      <c r="J594" s="122">
        <f t="shared" si="64"/>
        <v>37.872340425531917</v>
      </c>
      <c r="K594" s="121">
        <v>93721</v>
      </c>
      <c r="L594" s="121">
        <f>H594-82663</f>
        <v>11337</v>
      </c>
      <c r="M594" s="121">
        <v>11058</v>
      </c>
      <c r="N594" s="123">
        <f t="shared" si="65"/>
        <v>0.11763829787234042</v>
      </c>
      <c r="O594" s="124">
        <v>83.13</v>
      </c>
      <c r="P594" s="125">
        <v>270</v>
      </c>
      <c r="Q594" s="126">
        <v>0.248</v>
      </c>
      <c r="R594" s="126">
        <v>0.124</v>
      </c>
      <c r="S594" s="121">
        <f t="shared" si="66"/>
        <v>136.37675929267414</v>
      </c>
      <c r="T594" s="121">
        <f t="shared" si="67"/>
        <v>45713.709677419356</v>
      </c>
      <c r="U594" s="127">
        <f t="shared" si="68"/>
        <v>1.0494423709233094</v>
      </c>
      <c r="V594" s="126">
        <v>80</v>
      </c>
      <c r="W594" s="126">
        <f t="shared" si="69"/>
        <v>18800</v>
      </c>
      <c r="X594" s="126">
        <f t="shared" si="70"/>
        <v>235</v>
      </c>
      <c r="Y594" s="128" t="s">
        <v>1562</v>
      </c>
      <c r="Z594" s="119" t="s">
        <v>35</v>
      </c>
      <c r="AA594" s="119" t="s">
        <v>2182</v>
      </c>
      <c r="AB594" s="119" t="s">
        <v>2168</v>
      </c>
      <c r="AC594" s="119">
        <v>0</v>
      </c>
      <c r="AD594" s="119">
        <v>1</v>
      </c>
      <c r="AE594" s="119" t="s">
        <v>42</v>
      </c>
      <c r="AF594" s="119" t="s">
        <v>43</v>
      </c>
      <c r="AG594" s="119" t="s">
        <v>38</v>
      </c>
      <c r="AH594" s="119" t="s">
        <v>92</v>
      </c>
    </row>
    <row r="595" spans="1:34" x14ac:dyDescent="0.3">
      <c r="A595" s="118" t="s">
        <v>2168</v>
      </c>
      <c r="B595" s="119" t="s">
        <v>2171</v>
      </c>
      <c r="C595" s="119" t="s">
        <v>2172</v>
      </c>
      <c r="D595" s="120">
        <v>45398</v>
      </c>
      <c r="E595" s="121">
        <v>160000</v>
      </c>
      <c r="F595" s="119" t="s">
        <v>32</v>
      </c>
      <c r="G595" s="119" t="s">
        <v>33</v>
      </c>
      <c r="H595" s="121">
        <v>160000</v>
      </c>
      <c r="I595" s="121">
        <v>88200</v>
      </c>
      <c r="J595" s="122">
        <f t="shared" si="64"/>
        <v>55.125</v>
      </c>
      <c r="K595" s="121">
        <v>191068</v>
      </c>
      <c r="L595" s="121">
        <f>H595-173663</f>
        <v>-13663</v>
      </c>
      <c r="M595" s="121">
        <v>17405</v>
      </c>
      <c r="N595" s="123">
        <f t="shared" si="65"/>
        <v>0.10878125</v>
      </c>
      <c r="O595" s="124">
        <v>130.86000000000001</v>
      </c>
      <c r="P595" s="125">
        <v>137</v>
      </c>
      <c r="Q595" s="126">
        <v>0.39300000000000002</v>
      </c>
      <c r="R595" s="126">
        <v>0.39300000000000002</v>
      </c>
      <c r="S595" s="121">
        <f t="shared" si="66"/>
        <v>-104.40929237352896</v>
      </c>
      <c r="T595" s="121">
        <f t="shared" si="67"/>
        <v>-34765.903307888038</v>
      </c>
      <c r="U595" s="127">
        <f t="shared" si="68"/>
        <v>-0.79811531928117629</v>
      </c>
      <c r="V595" s="126">
        <v>125</v>
      </c>
      <c r="W595" s="126">
        <f t="shared" si="69"/>
        <v>32000</v>
      </c>
      <c r="X595" s="126">
        <f t="shared" si="70"/>
        <v>256</v>
      </c>
      <c r="Y595" s="128" t="s">
        <v>1562</v>
      </c>
      <c r="Z595" s="119" t="s">
        <v>35</v>
      </c>
      <c r="AA595" s="119" t="s">
        <v>35</v>
      </c>
      <c r="AB595" s="119" t="s">
        <v>2168</v>
      </c>
      <c r="AC595" s="119">
        <v>0</v>
      </c>
      <c r="AD595" s="119">
        <v>1</v>
      </c>
      <c r="AE595" s="119" t="s">
        <v>2173</v>
      </c>
      <c r="AF595" s="119" t="s">
        <v>43</v>
      </c>
      <c r="AG595" s="119" t="s">
        <v>38</v>
      </c>
      <c r="AH595" s="119" t="s">
        <v>92</v>
      </c>
    </row>
    <row r="596" spans="1:34" x14ac:dyDescent="0.3">
      <c r="A596" s="107" t="s">
        <v>2168</v>
      </c>
      <c r="B596" s="108" t="s">
        <v>2183</v>
      </c>
      <c r="C596" s="108" t="s">
        <v>2184</v>
      </c>
      <c r="D596" s="109">
        <v>45434</v>
      </c>
      <c r="E596" s="110">
        <v>66300</v>
      </c>
      <c r="F596" s="108" t="s">
        <v>32</v>
      </c>
      <c r="G596" s="108" t="s">
        <v>33</v>
      </c>
      <c r="H596" s="110">
        <v>66300</v>
      </c>
      <c r="I596" s="110">
        <v>41000</v>
      </c>
      <c r="J596" s="111">
        <f t="shared" si="64"/>
        <v>61.840120663650076</v>
      </c>
      <c r="K596" s="110">
        <v>92193</v>
      </c>
      <c r="L596" s="110">
        <f>H596-86664</f>
        <v>-20364</v>
      </c>
      <c r="M596" s="110">
        <v>5529</v>
      </c>
      <c r="N596" s="112">
        <f t="shared" si="65"/>
        <v>8.3393665158371044E-2</v>
      </c>
      <c r="O596" s="113">
        <v>41.56</v>
      </c>
      <c r="P596" s="114">
        <v>135</v>
      </c>
      <c r="Q596" s="115">
        <v>0.124</v>
      </c>
      <c r="R596" s="115">
        <v>0.124</v>
      </c>
      <c r="S596" s="110">
        <f t="shared" si="66"/>
        <v>-489.99037536092396</v>
      </c>
      <c r="T596" s="110">
        <f t="shared" si="67"/>
        <v>-164225.80645161291</v>
      </c>
      <c r="U596" s="116">
        <f t="shared" si="68"/>
        <v>-3.7701057495778905</v>
      </c>
      <c r="V596" s="115">
        <v>40</v>
      </c>
      <c r="W596" s="115">
        <f t="shared" si="69"/>
        <v>13260</v>
      </c>
      <c r="X596" s="115">
        <f t="shared" si="70"/>
        <v>331.5</v>
      </c>
      <c r="Y596" s="117" t="s">
        <v>1562</v>
      </c>
      <c r="Z596" s="108" t="s">
        <v>35</v>
      </c>
      <c r="AA596" s="108" t="s">
        <v>35</v>
      </c>
      <c r="AB596" s="108" t="s">
        <v>2168</v>
      </c>
      <c r="AC596" s="108">
        <v>0</v>
      </c>
      <c r="AD596" s="108">
        <v>1</v>
      </c>
      <c r="AE596" s="108" t="s">
        <v>37</v>
      </c>
      <c r="AF596" s="108" t="s">
        <v>43</v>
      </c>
      <c r="AG596" s="108" t="s">
        <v>38</v>
      </c>
      <c r="AH596" s="108" t="s">
        <v>92</v>
      </c>
    </row>
    <row r="597" spans="1:34" x14ac:dyDescent="0.3">
      <c r="A597" s="118" t="s">
        <v>2168</v>
      </c>
      <c r="B597" s="119" t="s">
        <v>2185</v>
      </c>
      <c r="C597" s="119" t="s">
        <v>2186</v>
      </c>
      <c r="D597" s="120">
        <v>45089</v>
      </c>
      <c r="E597" s="121">
        <v>221500</v>
      </c>
      <c r="F597" s="119" t="s">
        <v>32</v>
      </c>
      <c r="G597" s="119" t="s">
        <v>33</v>
      </c>
      <c r="H597" s="121">
        <v>221500</v>
      </c>
      <c r="I597" s="121">
        <v>89600</v>
      </c>
      <c r="J597" s="122">
        <f t="shared" si="64"/>
        <v>40.451467268623027</v>
      </c>
      <c r="K597" s="121">
        <v>225497</v>
      </c>
      <c r="L597" s="121">
        <f>H597-211675</f>
        <v>9825</v>
      </c>
      <c r="M597" s="121">
        <v>13822</v>
      </c>
      <c r="N597" s="123">
        <f t="shared" si="65"/>
        <v>6.2401805869074491E-2</v>
      </c>
      <c r="O597" s="124">
        <v>103.92</v>
      </c>
      <c r="P597" s="125">
        <v>135</v>
      </c>
      <c r="Q597" s="126">
        <v>0.31</v>
      </c>
      <c r="R597" s="126">
        <v>0.31</v>
      </c>
      <c r="S597" s="121">
        <f t="shared" si="66"/>
        <v>94.543879907621246</v>
      </c>
      <c r="T597" s="121">
        <f t="shared" si="67"/>
        <v>31693.548387096773</v>
      </c>
      <c r="U597" s="127">
        <f t="shared" si="68"/>
        <v>0.72758375544299292</v>
      </c>
      <c r="V597" s="126">
        <v>100</v>
      </c>
      <c r="W597" s="126">
        <f t="shared" si="69"/>
        <v>44300</v>
      </c>
      <c r="X597" s="126">
        <f t="shared" si="70"/>
        <v>443</v>
      </c>
      <c r="Y597" s="128" t="s">
        <v>1562</v>
      </c>
      <c r="Z597" s="119" t="s">
        <v>35</v>
      </c>
      <c r="AA597" s="119" t="s">
        <v>35</v>
      </c>
      <c r="AB597" s="119" t="s">
        <v>2168</v>
      </c>
      <c r="AC597" s="119">
        <v>0</v>
      </c>
      <c r="AD597" s="119">
        <v>1</v>
      </c>
      <c r="AE597" s="119" t="s">
        <v>2187</v>
      </c>
      <c r="AF597" s="119" t="s">
        <v>43</v>
      </c>
      <c r="AG597" s="119" t="s">
        <v>38</v>
      </c>
      <c r="AH597" s="119" t="s">
        <v>92</v>
      </c>
    </row>
    <row r="598" spans="1:34" x14ac:dyDescent="0.3">
      <c r="A598" s="107" t="s">
        <v>2168</v>
      </c>
      <c r="B598" s="108" t="s">
        <v>2176</v>
      </c>
      <c r="C598" s="108" t="s">
        <v>2177</v>
      </c>
      <c r="D598" s="109">
        <v>45071</v>
      </c>
      <c r="E598" s="110">
        <v>101000</v>
      </c>
      <c r="F598" s="108" t="s">
        <v>32</v>
      </c>
      <c r="G598" s="108" t="s">
        <v>33</v>
      </c>
      <c r="H598" s="110">
        <v>101000</v>
      </c>
      <c r="I598" s="110">
        <v>42200</v>
      </c>
      <c r="J598" s="111">
        <f t="shared" si="64"/>
        <v>41.78217821782178</v>
      </c>
      <c r="K598" s="110">
        <v>110589</v>
      </c>
      <c r="L598" s="110">
        <f>H598-105060</f>
        <v>-4060</v>
      </c>
      <c r="M598" s="110">
        <v>5529</v>
      </c>
      <c r="N598" s="112">
        <f t="shared" si="65"/>
        <v>5.4742574257425743E-2</v>
      </c>
      <c r="O598" s="113">
        <v>41.56</v>
      </c>
      <c r="P598" s="114">
        <v>135</v>
      </c>
      <c r="Q598" s="115">
        <v>0.124</v>
      </c>
      <c r="R598" s="115">
        <v>0.124</v>
      </c>
      <c r="S598" s="110">
        <f t="shared" si="66"/>
        <v>-97.690086621751675</v>
      </c>
      <c r="T598" s="110">
        <f t="shared" si="67"/>
        <v>-32741.93548387097</v>
      </c>
      <c r="U598" s="116">
        <f t="shared" si="68"/>
        <v>-0.75165141147545844</v>
      </c>
      <c r="V598" s="115">
        <v>40</v>
      </c>
      <c r="W598" s="115">
        <f t="shared" si="69"/>
        <v>20200</v>
      </c>
      <c r="X598" s="115">
        <f t="shared" si="70"/>
        <v>505</v>
      </c>
      <c r="Y598" s="117" t="s">
        <v>1562</v>
      </c>
      <c r="Z598" s="108" t="s">
        <v>35</v>
      </c>
      <c r="AA598" s="108" t="s">
        <v>35</v>
      </c>
      <c r="AB598" s="108" t="s">
        <v>2168</v>
      </c>
      <c r="AC598" s="108">
        <v>0</v>
      </c>
      <c r="AD598" s="108">
        <v>1</v>
      </c>
      <c r="AE598" s="108" t="s">
        <v>42</v>
      </c>
      <c r="AF598" s="108" t="s">
        <v>43</v>
      </c>
      <c r="AG598" s="108" t="s">
        <v>38</v>
      </c>
      <c r="AH598" s="108" t="s">
        <v>92</v>
      </c>
    </row>
    <row r="599" spans="1:34" x14ac:dyDescent="0.3">
      <c r="A599" s="118" t="s">
        <v>2168</v>
      </c>
      <c r="B599" s="119" t="s">
        <v>2169</v>
      </c>
      <c r="C599" s="119" t="s">
        <v>2170</v>
      </c>
      <c r="D599" s="120">
        <v>45159</v>
      </c>
      <c r="E599" s="121">
        <v>108000</v>
      </c>
      <c r="F599" s="119" t="s">
        <v>32</v>
      </c>
      <c r="G599" s="119" t="s">
        <v>33</v>
      </c>
      <c r="H599" s="121">
        <v>108000</v>
      </c>
      <c r="I599" s="121">
        <v>40600</v>
      </c>
      <c r="J599" s="122">
        <f t="shared" si="64"/>
        <v>37.592592592592595</v>
      </c>
      <c r="K599" s="121">
        <v>108128</v>
      </c>
      <c r="L599" s="121">
        <f>H599-102558</f>
        <v>5442</v>
      </c>
      <c r="M599" s="121">
        <v>5570</v>
      </c>
      <c r="N599" s="123">
        <f t="shared" si="65"/>
        <v>5.1574074074074071E-2</v>
      </c>
      <c r="O599" s="124">
        <v>41.87</v>
      </c>
      <c r="P599" s="125">
        <v>137</v>
      </c>
      <c r="Q599" s="126">
        <v>0.126</v>
      </c>
      <c r="R599" s="126">
        <v>0.126</v>
      </c>
      <c r="S599" s="121">
        <f t="shared" si="66"/>
        <v>129.973728206353</v>
      </c>
      <c r="T599" s="121">
        <f t="shared" si="67"/>
        <v>43190.476190476191</v>
      </c>
      <c r="U599" s="127">
        <f t="shared" si="68"/>
        <v>0.99151690060780973</v>
      </c>
      <c r="V599" s="126">
        <v>40</v>
      </c>
      <c r="W599" s="126">
        <f t="shared" si="69"/>
        <v>21600</v>
      </c>
      <c r="X599" s="126">
        <f t="shared" si="70"/>
        <v>540</v>
      </c>
      <c r="Y599" s="128" t="s">
        <v>1562</v>
      </c>
      <c r="Z599" s="119" t="s">
        <v>35</v>
      </c>
      <c r="AA599" s="119" t="s">
        <v>35</v>
      </c>
      <c r="AB599" s="119" t="s">
        <v>2168</v>
      </c>
      <c r="AC599" s="119">
        <v>0</v>
      </c>
      <c r="AD599" s="119">
        <v>1</v>
      </c>
      <c r="AE599" s="119" t="s">
        <v>42</v>
      </c>
      <c r="AF599" s="119" t="s">
        <v>43</v>
      </c>
      <c r="AG599" s="119" t="s">
        <v>38</v>
      </c>
      <c r="AH599" s="119" t="s">
        <v>92</v>
      </c>
    </row>
    <row r="600" spans="1:34" x14ac:dyDescent="0.3">
      <c r="A600" s="107" t="s">
        <v>2168</v>
      </c>
      <c r="B600" s="108" t="s">
        <v>2174</v>
      </c>
      <c r="C600" s="108" t="s">
        <v>2175</v>
      </c>
      <c r="D600" s="109">
        <v>45366</v>
      </c>
      <c r="E600" s="110">
        <v>130000</v>
      </c>
      <c r="F600" s="108" t="s">
        <v>32</v>
      </c>
      <c r="G600" s="108" t="s">
        <v>33</v>
      </c>
      <c r="H600" s="110">
        <v>130000</v>
      </c>
      <c r="I600" s="110">
        <v>42100</v>
      </c>
      <c r="J600" s="111">
        <f t="shared" si="64"/>
        <v>32.384615384615387</v>
      </c>
      <c r="K600" s="110">
        <v>111428</v>
      </c>
      <c r="L600" s="110">
        <f>H600-106087</f>
        <v>23913</v>
      </c>
      <c r="M600" s="110">
        <v>5341</v>
      </c>
      <c r="N600" s="112">
        <f t="shared" si="65"/>
        <v>4.1084615384615386E-2</v>
      </c>
      <c r="O600" s="113">
        <v>40.15</v>
      </c>
      <c r="P600" s="114">
        <v>126</v>
      </c>
      <c r="Q600" s="115">
        <v>0.124</v>
      </c>
      <c r="R600" s="115">
        <v>0.11600000000000001</v>
      </c>
      <c r="S600" s="110">
        <f t="shared" si="66"/>
        <v>595.5915317559153</v>
      </c>
      <c r="T600" s="110">
        <f t="shared" si="67"/>
        <v>192846.77419354839</v>
      </c>
      <c r="U600" s="116">
        <f t="shared" si="68"/>
        <v>4.4271527592641959</v>
      </c>
      <c r="V600" s="115">
        <v>40</v>
      </c>
      <c r="W600" s="115">
        <f t="shared" si="69"/>
        <v>26000</v>
      </c>
      <c r="X600" s="115">
        <f t="shared" si="70"/>
        <v>650</v>
      </c>
      <c r="Y600" s="117" t="s">
        <v>1562</v>
      </c>
      <c r="Z600" s="108" t="s">
        <v>35</v>
      </c>
      <c r="AA600" s="108" t="s">
        <v>35</v>
      </c>
      <c r="AB600" s="108" t="s">
        <v>2168</v>
      </c>
      <c r="AC600" s="108">
        <v>0</v>
      </c>
      <c r="AD600" s="108">
        <v>1</v>
      </c>
      <c r="AE600" s="108" t="s">
        <v>42</v>
      </c>
      <c r="AF600" s="108" t="s">
        <v>43</v>
      </c>
      <c r="AG600" s="108" t="s">
        <v>38</v>
      </c>
      <c r="AH600" s="108" t="s">
        <v>92</v>
      </c>
    </row>
    <row r="601" spans="1:34" x14ac:dyDescent="0.3">
      <c r="A601" s="107" t="s">
        <v>2168</v>
      </c>
      <c r="B601" s="108" t="s">
        <v>2183</v>
      </c>
      <c r="C601" s="108" t="s">
        <v>2184</v>
      </c>
      <c r="D601" s="109">
        <v>45609</v>
      </c>
      <c r="E601" s="110">
        <v>130000</v>
      </c>
      <c r="F601" s="108" t="s">
        <v>32</v>
      </c>
      <c r="G601" s="108" t="s">
        <v>33</v>
      </c>
      <c r="H601" s="110">
        <v>130000</v>
      </c>
      <c r="I601" s="110">
        <v>41000</v>
      </c>
      <c r="J601" s="111">
        <f t="shared" si="64"/>
        <v>31.538461538461537</v>
      </c>
      <c r="K601" s="110">
        <v>92193</v>
      </c>
      <c r="L601" s="110">
        <f>H601-86664</f>
        <v>43336</v>
      </c>
      <c r="M601" s="110">
        <v>5529</v>
      </c>
      <c r="N601" s="112">
        <f t="shared" si="65"/>
        <v>4.2530769230769233E-2</v>
      </c>
      <c r="O601" s="113">
        <v>41.56</v>
      </c>
      <c r="P601" s="114">
        <v>135</v>
      </c>
      <c r="Q601" s="115">
        <v>0.124</v>
      </c>
      <c r="R601" s="115">
        <v>0.124</v>
      </c>
      <c r="S601" s="110">
        <f t="shared" si="66"/>
        <v>1042.7333974975938</v>
      </c>
      <c r="T601" s="110">
        <f t="shared" si="67"/>
        <v>349483.87096774194</v>
      </c>
      <c r="U601" s="116">
        <f t="shared" si="68"/>
        <v>8.0230457063301639</v>
      </c>
      <c r="V601" s="115">
        <v>40</v>
      </c>
      <c r="W601" s="115">
        <f t="shared" si="69"/>
        <v>26000</v>
      </c>
      <c r="X601" s="115">
        <f t="shared" si="70"/>
        <v>650</v>
      </c>
      <c r="Y601" s="117" t="s">
        <v>1562</v>
      </c>
      <c r="Z601" s="108" t="s">
        <v>35</v>
      </c>
      <c r="AA601" s="108" t="s">
        <v>35</v>
      </c>
      <c r="AB601" s="108" t="s">
        <v>2168</v>
      </c>
      <c r="AC601" s="108">
        <v>0</v>
      </c>
      <c r="AD601" s="108">
        <v>1</v>
      </c>
      <c r="AE601" s="108" t="s">
        <v>37</v>
      </c>
      <c r="AF601" s="108" t="s">
        <v>35</v>
      </c>
      <c r="AG601" s="108" t="s">
        <v>38</v>
      </c>
      <c r="AH601" s="108" t="s">
        <v>92</v>
      </c>
    </row>
    <row r="602" spans="1:34" x14ac:dyDescent="0.3">
      <c r="A602" s="118" t="s">
        <v>2168</v>
      </c>
      <c r="B602" s="119" t="s">
        <v>2178</v>
      </c>
      <c r="C602" s="119" t="s">
        <v>2179</v>
      </c>
      <c r="D602" s="120">
        <v>45289</v>
      </c>
      <c r="E602" s="121">
        <v>140000</v>
      </c>
      <c r="F602" s="119" t="s">
        <v>32</v>
      </c>
      <c r="G602" s="119" t="s">
        <v>33</v>
      </c>
      <c r="H602" s="121">
        <v>140000</v>
      </c>
      <c r="I602" s="121">
        <v>66300</v>
      </c>
      <c r="J602" s="122">
        <f t="shared" si="64"/>
        <v>47.357142857142861</v>
      </c>
      <c r="K602" s="121">
        <v>178107</v>
      </c>
      <c r="L602" s="121">
        <f>H602-172578</f>
        <v>-32578</v>
      </c>
      <c r="M602" s="121">
        <v>5529</v>
      </c>
      <c r="N602" s="123">
        <f t="shared" si="65"/>
        <v>3.9492857142857142E-2</v>
      </c>
      <c r="O602" s="124">
        <v>41.56</v>
      </c>
      <c r="P602" s="125">
        <v>135</v>
      </c>
      <c r="Q602" s="126">
        <v>0.124</v>
      </c>
      <c r="R602" s="126">
        <v>0.124</v>
      </c>
      <c r="S602" s="121">
        <f t="shared" si="66"/>
        <v>-783.87872954764191</v>
      </c>
      <c r="T602" s="121">
        <f t="shared" si="67"/>
        <v>-262725.80645161291</v>
      </c>
      <c r="U602" s="127">
        <f t="shared" si="68"/>
        <v>-6.0313546017358339</v>
      </c>
      <c r="V602" s="126">
        <v>40</v>
      </c>
      <c r="W602" s="126">
        <f t="shared" si="69"/>
        <v>28000</v>
      </c>
      <c r="X602" s="126">
        <f t="shared" si="70"/>
        <v>700</v>
      </c>
      <c r="Y602" s="128" t="s">
        <v>1562</v>
      </c>
      <c r="Z602" s="119" t="s">
        <v>35</v>
      </c>
      <c r="AA602" s="119" t="s">
        <v>35</v>
      </c>
      <c r="AB602" s="119" t="s">
        <v>2168</v>
      </c>
      <c r="AC602" s="119">
        <v>0</v>
      </c>
      <c r="AD602" s="119">
        <v>1</v>
      </c>
      <c r="AE602" s="119" t="s">
        <v>42</v>
      </c>
      <c r="AF602" s="119" t="s">
        <v>43</v>
      </c>
      <c r="AG602" s="119" t="s">
        <v>38</v>
      </c>
      <c r="AH602" s="119" t="s">
        <v>92</v>
      </c>
    </row>
    <row r="603" spans="1:34" x14ac:dyDescent="0.3">
      <c r="A603" s="118" t="s">
        <v>2200</v>
      </c>
      <c r="B603" s="119" t="s">
        <v>2197</v>
      </c>
      <c r="C603" s="119" t="s">
        <v>2198</v>
      </c>
      <c r="D603" s="120">
        <v>45723</v>
      </c>
      <c r="E603" s="121">
        <v>95000</v>
      </c>
      <c r="F603" s="119" t="s">
        <v>32</v>
      </c>
      <c r="G603" s="119" t="s">
        <v>33</v>
      </c>
      <c r="H603" s="121">
        <v>95000</v>
      </c>
      <c r="I603" s="121">
        <v>78200</v>
      </c>
      <c r="J603" s="122">
        <f t="shared" si="64"/>
        <v>82.315789473684205</v>
      </c>
      <c r="K603" s="121">
        <v>179459</v>
      </c>
      <c r="L603" s="121">
        <f>H603-162616</f>
        <v>-67616</v>
      </c>
      <c r="M603" s="121">
        <v>16843</v>
      </c>
      <c r="N603" s="123">
        <f t="shared" si="65"/>
        <v>0.17729473684210525</v>
      </c>
      <c r="O603" s="124">
        <v>98.49</v>
      </c>
      <c r="P603" s="125">
        <v>66</v>
      </c>
      <c r="Q603" s="126">
        <v>0.52600000000000002</v>
      </c>
      <c r="R603" s="126">
        <v>0.318</v>
      </c>
      <c r="S603" s="121">
        <f t="shared" si="66"/>
        <v>-686.52655091887505</v>
      </c>
      <c r="T603" s="121">
        <f t="shared" si="67"/>
        <v>-128547.52851711026</v>
      </c>
      <c r="U603" s="127">
        <f t="shared" si="68"/>
        <v>-2.951045190934579</v>
      </c>
      <c r="V603" s="126">
        <v>210</v>
      </c>
      <c r="W603" s="126">
        <f t="shared" si="69"/>
        <v>19000</v>
      </c>
      <c r="X603" s="126">
        <f t="shared" si="70"/>
        <v>90.476190476190482</v>
      </c>
      <c r="Y603" s="128" t="s">
        <v>2199</v>
      </c>
      <c r="Z603" s="119" t="s">
        <v>35</v>
      </c>
      <c r="AA603" s="119" t="s">
        <v>35</v>
      </c>
      <c r="AB603" s="119" t="s">
        <v>2200</v>
      </c>
      <c r="AC603" s="119">
        <v>0</v>
      </c>
      <c r="AD603" s="119">
        <v>1</v>
      </c>
      <c r="AE603" s="119" t="s">
        <v>42</v>
      </c>
      <c r="AF603" s="119" t="s">
        <v>35</v>
      </c>
      <c r="AG603" s="119" t="s">
        <v>38</v>
      </c>
      <c r="AH603" s="119" t="s">
        <v>92</v>
      </c>
    </row>
    <row r="604" spans="1:34" x14ac:dyDescent="0.3">
      <c r="A604" s="107" t="s">
        <v>2200</v>
      </c>
      <c r="B604" s="108" t="s">
        <v>2201</v>
      </c>
      <c r="C604" s="108" t="s">
        <v>2202</v>
      </c>
      <c r="D604" s="109">
        <v>45429</v>
      </c>
      <c r="E604" s="110">
        <v>110000</v>
      </c>
      <c r="F604" s="108" t="s">
        <v>32</v>
      </c>
      <c r="G604" s="108" t="s">
        <v>33</v>
      </c>
      <c r="H604" s="110">
        <v>110000</v>
      </c>
      <c r="I604" s="110">
        <v>114500</v>
      </c>
      <c r="J604" s="111">
        <f t="shared" si="64"/>
        <v>104.09090909090909</v>
      </c>
      <c r="K604" s="110">
        <v>275874</v>
      </c>
      <c r="L604" s="110">
        <f>H604-256555</f>
        <v>-146555</v>
      </c>
      <c r="M604" s="110">
        <v>19319</v>
      </c>
      <c r="N604" s="112">
        <f t="shared" si="65"/>
        <v>0.17562727272727272</v>
      </c>
      <c r="O604" s="113">
        <v>112.97</v>
      </c>
      <c r="P604" s="114">
        <v>462.34</v>
      </c>
      <c r="Q604" s="115">
        <v>0.96599999999999997</v>
      </c>
      <c r="R604" s="115">
        <v>0.96599999999999997</v>
      </c>
      <c r="S604" s="110">
        <f t="shared" si="66"/>
        <v>-1297.2913162786581</v>
      </c>
      <c r="T604" s="110">
        <f t="shared" si="67"/>
        <v>-151713.25051759835</v>
      </c>
      <c r="U604" s="116">
        <f t="shared" si="68"/>
        <v>-3.4828569907621292</v>
      </c>
      <c r="V604" s="115">
        <v>91.01</v>
      </c>
      <c r="W604" s="115">
        <f t="shared" si="69"/>
        <v>22000</v>
      </c>
      <c r="X604" s="115">
        <f t="shared" si="70"/>
        <v>241.73167783760024</v>
      </c>
      <c r="Y604" s="117" t="s">
        <v>2199</v>
      </c>
      <c r="Z604" s="108" t="s">
        <v>35</v>
      </c>
      <c r="AA604" s="108" t="s">
        <v>35</v>
      </c>
      <c r="AB604" s="108" t="s">
        <v>2200</v>
      </c>
      <c r="AC604" s="108">
        <v>0</v>
      </c>
      <c r="AD604" s="108">
        <v>1</v>
      </c>
      <c r="AE604" s="108" t="s">
        <v>42</v>
      </c>
      <c r="AF604" s="108" t="s">
        <v>43</v>
      </c>
      <c r="AG604" s="108" t="s">
        <v>38</v>
      </c>
      <c r="AH604" s="108" t="s">
        <v>92</v>
      </c>
    </row>
    <row r="605" spans="1:34" x14ac:dyDescent="0.3">
      <c r="A605" s="118" t="s">
        <v>2200</v>
      </c>
      <c r="B605" s="119" t="s">
        <v>2205</v>
      </c>
      <c r="C605" s="119" t="s">
        <v>2206</v>
      </c>
      <c r="D605" s="120">
        <v>45072</v>
      </c>
      <c r="E605" s="121">
        <v>170000</v>
      </c>
      <c r="F605" s="119" t="s">
        <v>32</v>
      </c>
      <c r="G605" s="119" t="s">
        <v>33</v>
      </c>
      <c r="H605" s="121">
        <v>170000</v>
      </c>
      <c r="I605" s="121">
        <v>58600</v>
      </c>
      <c r="J605" s="122">
        <f t="shared" si="64"/>
        <v>34.470588235294116</v>
      </c>
      <c r="K605" s="121">
        <v>146224</v>
      </c>
      <c r="L605" s="121">
        <f>H605-123465</f>
        <v>46535</v>
      </c>
      <c r="M605" s="121">
        <v>22759</v>
      </c>
      <c r="N605" s="123">
        <f t="shared" si="65"/>
        <v>0.13387647058823529</v>
      </c>
      <c r="O605" s="124">
        <v>133.09</v>
      </c>
      <c r="P605" s="125">
        <v>305</v>
      </c>
      <c r="Q605" s="126">
        <v>0.92400000000000004</v>
      </c>
      <c r="R605" s="126">
        <v>0.92400000000000004</v>
      </c>
      <c r="S605" s="121">
        <f t="shared" si="66"/>
        <v>349.65061236757083</v>
      </c>
      <c r="T605" s="121">
        <f t="shared" si="67"/>
        <v>50362.554112554113</v>
      </c>
      <c r="U605" s="127">
        <f t="shared" si="68"/>
        <v>1.1561651540990383</v>
      </c>
      <c r="V605" s="126">
        <v>132</v>
      </c>
      <c r="W605" s="126">
        <f t="shared" si="69"/>
        <v>34000</v>
      </c>
      <c r="X605" s="126">
        <f t="shared" si="70"/>
        <v>257.57575757575756</v>
      </c>
      <c r="Y605" s="128" t="s">
        <v>2199</v>
      </c>
      <c r="Z605" s="119" t="s">
        <v>35</v>
      </c>
      <c r="AA605" s="119" t="s">
        <v>35</v>
      </c>
      <c r="AB605" s="119" t="s">
        <v>2200</v>
      </c>
      <c r="AC605" s="119">
        <v>0</v>
      </c>
      <c r="AD605" s="119">
        <v>1</v>
      </c>
      <c r="AE605" s="119" t="s">
        <v>42</v>
      </c>
      <c r="AF605" s="119" t="s">
        <v>43</v>
      </c>
      <c r="AG605" s="119" t="s">
        <v>38</v>
      </c>
      <c r="AH605" s="119" t="s">
        <v>92</v>
      </c>
    </row>
    <row r="606" spans="1:34" x14ac:dyDescent="0.3">
      <c r="A606" s="107" t="s">
        <v>2200</v>
      </c>
      <c r="B606" s="108" t="s">
        <v>2203</v>
      </c>
      <c r="C606" s="108" t="s">
        <v>2204</v>
      </c>
      <c r="D606" s="109">
        <v>45238</v>
      </c>
      <c r="E606" s="110">
        <v>215000</v>
      </c>
      <c r="F606" s="108" t="s">
        <v>32</v>
      </c>
      <c r="G606" s="108" t="s">
        <v>33</v>
      </c>
      <c r="H606" s="110">
        <v>215000</v>
      </c>
      <c r="I606" s="110">
        <v>95300</v>
      </c>
      <c r="J606" s="111">
        <f t="shared" si="64"/>
        <v>44.325581395348841</v>
      </c>
      <c r="K606" s="110">
        <v>225038</v>
      </c>
      <c r="L606" s="110">
        <f>H606-202279</f>
        <v>12721</v>
      </c>
      <c r="M606" s="110">
        <v>22759</v>
      </c>
      <c r="N606" s="112">
        <f t="shared" si="65"/>
        <v>0.10585581395348838</v>
      </c>
      <c r="O606" s="113">
        <v>133.09</v>
      </c>
      <c r="P606" s="114">
        <v>305</v>
      </c>
      <c r="Q606" s="115">
        <v>0.92400000000000004</v>
      </c>
      <c r="R606" s="115">
        <v>0.92400000000000004</v>
      </c>
      <c r="S606" s="110">
        <f t="shared" si="66"/>
        <v>95.581937035089041</v>
      </c>
      <c r="T606" s="110">
        <f t="shared" si="67"/>
        <v>13767.316017316016</v>
      </c>
      <c r="U606" s="116">
        <f t="shared" si="68"/>
        <v>0.31605408671524371</v>
      </c>
      <c r="V606" s="115">
        <v>132</v>
      </c>
      <c r="W606" s="115">
        <f t="shared" si="69"/>
        <v>43000</v>
      </c>
      <c r="X606" s="115">
        <f t="shared" si="70"/>
        <v>325.75757575757575</v>
      </c>
      <c r="Y606" s="117" t="s">
        <v>2199</v>
      </c>
      <c r="Z606" s="108" t="s">
        <v>35</v>
      </c>
      <c r="AA606" s="108" t="s">
        <v>35</v>
      </c>
      <c r="AB606" s="108" t="s">
        <v>2200</v>
      </c>
      <c r="AC606" s="108">
        <v>0</v>
      </c>
      <c r="AD606" s="108">
        <v>1</v>
      </c>
      <c r="AE606" s="108" t="s">
        <v>42</v>
      </c>
      <c r="AF606" s="108" t="s">
        <v>43</v>
      </c>
      <c r="AG606" s="108" t="s">
        <v>38</v>
      </c>
      <c r="AH606" s="108" t="s">
        <v>92</v>
      </c>
    </row>
    <row r="607" spans="1:34" x14ac:dyDescent="0.3">
      <c r="A607" s="118" t="s">
        <v>2200</v>
      </c>
      <c r="B607" s="119" t="s">
        <v>2207</v>
      </c>
      <c r="C607" s="119" t="s">
        <v>2208</v>
      </c>
      <c r="D607" s="120">
        <v>45621</v>
      </c>
      <c r="E607" s="121">
        <v>215000</v>
      </c>
      <c r="F607" s="119" t="s">
        <v>32</v>
      </c>
      <c r="G607" s="119" t="s">
        <v>33</v>
      </c>
      <c r="H607" s="121">
        <v>215000</v>
      </c>
      <c r="I607" s="121">
        <v>72100</v>
      </c>
      <c r="J607" s="122">
        <f t="shared" si="64"/>
        <v>33.534883720930232</v>
      </c>
      <c r="K607" s="121">
        <v>158167</v>
      </c>
      <c r="L607" s="121">
        <f>H607-146903</f>
        <v>68097</v>
      </c>
      <c r="M607" s="121">
        <v>11264</v>
      </c>
      <c r="N607" s="123">
        <f t="shared" si="65"/>
        <v>5.2390697674418604E-2</v>
      </c>
      <c r="O607" s="124">
        <v>65.87</v>
      </c>
      <c r="P607" s="125">
        <v>298.83999999999997</v>
      </c>
      <c r="Q607" s="126">
        <v>0.45300000000000001</v>
      </c>
      <c r="R607" s="126">
        <v>0.45300000000000001</v>
      </c>
      <c r="S607" s="121">
        <f t="shared" si="66"/>
        <v>1033.8090177622589</v>
      </c>
      <c r="T607" s="121">
        <f t="shared" si="67"/>
        <v>150324.50331125828</v>
      </c>
      <c r="U607" s="127">
        <f t="shared" si="68"/>
        <v>3.4509757417644233</v>
      </c>
      <c r="V607" s="126">
        <v>66</v>
      </c>
      <c r="W607" s="126">
        <f t="shared" si="69"/>
        <v>43000</v>
      </c>
      <c r="X607" s="126">
        <f t="shared" si="70"/>
        <v>651.5151515151515</v>
      </c>
      <c r="Y607" s="128" t="s">
        <v>2199</v>
      </c>
      <c r="Z607" s="119" t="s">
        <v>35</v>
      </c>
      <c r="AA607" s="119" t="s">
        <v>35</v>
      </c>
      <c r="AB607" s="119" t="s">
        <v>2200</v>
      </c>
      <c r="AC607" s="119">
        <v>0</v>
      </c>
      <c r="AD607" s="119">
        <v>1</v>
      </c>
      <c r="AE607" s="119" t="s">
        <v>42</v>
      </c>
      <c r="AF607" s="119" t="s">
        <v>35</v>
      </c>
      <c r="AG607" s="119" t="s">
        <v>38</v>
      </c>
      <c r="AH607" s="119" t="s">
        <v>92</v>
      </c>
    </row>
    <row r="608" spans="1:34" x14ac:dyDescent="0.3">
      <c r="A608" s="118" t="s">
        <v>2212</v>
      </c>
      <c r="B608" s="119" t="s">
        <v>2217</v>
      </c>
      <c r="C608" s="119" t="s">
        <v>2218</v>
      </c>
      <c r="D608" s="120">
        <v>45646</v>
      </c>
      <c r="E608" s="121">
        <v>263000</v>
      </c>
      <c r="F608" s="119" t="s">
        <v>32</v>
      </c>
      <c r="G608" s="119" t="s">
        <v>33</v>
      </c>
      <c r="H608" s="121">
        <v>263000</v>
      </c>
      <c r="I608" s="121">
        <v>121400</v>
      </c>
      <c r="J608" s="122">
        <f t="shared" si="64"/>
        <v>46.159695817490494</v>
      </c>
      <c r="K608" s="121">
        <v>283253</v>
      </c>
      <c r="L608" s="121">
        <f>H608-250123</f>
        <v>12877</v>
      </c>
      <c r="M608" s="121">
        <v>33130</v>
      </c>
      <c r="N608" s="123">
        <f t="shared" si="65"/>
        <v>0.12596958174904943</v>
      </c>
      <c r="O608" s="124">
        <v>101.93</v>
      </c>
      <c r="P608" s="125">
        <v>95.29</v>
      </c>
      <c r="Q608" s="126">
        <v>0.23599999999999999</v>
      </c>
      <c r="R608" s="126">
        <v>0.23599999999999999</v>
      </c>
      <c r="S608" s="121">
        <f t="shared" si="66"/>
        <v>126.33179633081525</v>
      </c>
      <c r="T608" s="121">
        <f t="shared" si="67"/>
        <v>54563.5593220339</v>
      </c>
      <c r="U608" s="127">
        <f t="shared" si="68"/>
        <v>1.2526069633157462</v>
      </c>
      <c r="V608" s="126">
        <v>127.12</v>
      </c>
      <c r="W608" s="126">
        <f t="shared" si="69"/>
        <v>52600</v>
      </c>
      <c r="X608" s="126">
        <f t="shared" si="70"/>
        <v>413.78225298930141</v>
      </c>
      <c r="Y608" s="128" t="s">
        <v>2211</v>
      </c>
      <c r="Z608" s="119" t="s">
        <v>35</v>
      </c>
      <c r="AA608" s="119" t="s">
        <v>35</v>
      </c>
      <c r="AB608" s="119" t="s">
        <v>2212</v>
      </c>
      <c r="AC608" s="119">
        <v>0</v>
      </c>
      <c r="AD608" s="119">
        <v>1</v>
      </c>
      <c r="AE608" s="119" t="s">
        <v>42</v>
      </c>
      <c r="AF608" s="119" t="s">
        <v>35</v>
      </c>
      <c r="AG608" s="119" t="s">
        <v>38</v>
      </c>
      <c r="AH608" s="119" t="s">
        <v>92</v>
      </c>
    </row>
    <row r="609" spans="1:34" x14ac:dyDescent="0.3">
      <c r="A609" s="118" t="s">
        <v>2212</v>
      </c>
      <c r="B609" s="119" t="s">
        <v>2215</v>
      </c>
      <c r="C609" s="119" t="s">
        <v>2216</v>
      </c>
      <c r="D609" s="120">
        <v>45628</v>
      </c>
      <c r="E609" s="121">
        <v>236000</v>
      </c>
      <c r="F609" s="119" t="s">
        <v>32</v>
      </c>
      <c r="G609" s="119" t="s">
        <v>33</v>
      </c>
      <c r="H609" s="121">
        <v>236000</v>
      </c>
      <c r="I609" s="121">
        <v>101300</v>
      </c>
      <c r="J609" s="122">
        <f t="shared" si="64"/>
        <v>42.923728813559322</v>
      </c>
      <c r="K609" s="121">
        <v>215599</v>
      </c>
      <c r="L609" s="121">
        <f>H609-186218</f>
        <v>49782</v>
      </c>
      <c r="M609" s="121">
        <v>29381</v>
      </c>
      <c r="N609" s="123">
        <f t="shared" si="65"/>
        <v>0.12449576271186441</v>
      </c>
      <c r="O609" s="124">
        <v>90.4</v>
      </c>
      <c r="P609" s="125">
        <v>149.62</v>
      </c>
      <c r="Q609" s="126">
        <v>0.22600000000000001</v>
      </c>
      <c r="R609" s="126">
        <v>0.22600000000000001</v>
      </c>
      <c r="S609" s="121">
        <f t="shared" si="66"/>
        <v>550.68584070796453</v>
      </c>
      <c r="T609" s="121">
        <f t="shared" si="67"/>
        <v>220274.33628318584</v>
      </c>
      <c r="U609" s="127">
        <f t="shared" si="68"/>
        <v>5.0568029449767185</v>
      </c>
      <c r="V609" s="126">
        <v>111.44</v>
      </c>
      <c r="W609" s="126">
        <f t="shared" si="69"/>
        <v>47200</v>
      </c>
      <c r="X609" s="126">
        <f t="shared" si="70"/>
        <v>423.54630294328786</v>
      </c>
      <c r="Y609" s="128" t="s">
        <v>2211</v>
      </c>
      <c r="Z609" s="119" t="s">
        <v>35</v>
      </c>
      <c r="AA609" s="119" t="s">
        <v>35</v>
      </c>
      <c r="AB609" s="119" t="s">
        <v>2212</v>
      </c>
      <c r="AC609" s="119">
        <v>0</v>
      </c>
      <c r="AD609" s="119">
        <v>1</v>
      </c>
      <c r="AE609" s="119" t="s">
        <v>42</v>
      </c>
      <c r="AF609" s="119" t="s">
        <v>35</v>
      </c>
      <c r="AG609" s="119" t="s">
        <v>38</v>
      </c>
      <c r="AH609" s="119" t="s">
        <v>92</v>
      </c>
    </row>
    <row r="610" spans="1:34" x14ac:dyDescent="0.3">
      <c r="A610" s="107" t="s">
        <v>2212</v>
      </c>
      <c r="B610" s="108" t="s">
        <v>2209</v>
      </c>
      <c r="C610" s="108" t="s">
        <v>2210</v>
      </c>
      <c r="D610" s="109">
        <v>45117</v>
      </c>
      <c r="E610" s="110">
        <v>220000</v>
      </c>
      <c r="F610" s="108" t="s">
        <v>32</v>
      </c>
      <c r="G610" s="108" t="s">
        <v>33</v>
      </c>
      <c r="H610" s="110">
        <v>220000</v>
      </c>
      <c r="I610" s="110">
        <v>88300</v>
      </c>
      <c r="J610" s="111">
        <f t="shared" si="64"/>
        <v>40.13636363636364</v>
      </c>
      <c r="K610" s="110">
        <v>214478</v>
      </c>
      <c r="L610" s="110">
        <f>H610-188966</f>
        <v>31034</v>
      </c>
      <c r="M610" s="110">
        <v>25512</v>
      </c>
      <c r="N610" s="112">
        <f t="shared" si="65"/>
        <v>0.11596363636363637</v>
      </c>
      <c r="O610" s="113">
        <v>78.489999999999995</v>
      </c>
      <c r="P610" s="114">
        <v>120</v>
      </c>
      <c r="Q610" s="115">
        <v>0.216</v>
      </c>
      <c r="R610" s="115">
        <v>0.216</v>
      </c>
      <c r="S610" s="110">
        <f t="shared" si="66"/>
        <v>395.38794750923688</v>
      </c>
      <c r="T610" s="110">
        <f t="shared" si="67"/>
        <v>143675.92592592593</v>
      </c>
      <c r="U610" s="116">
        <f t="shared" si="68"/>
        <v>3.2983454069312654</v>
      </c>
      <c r="V610" s="115">
        <v>78.97</v>
      </c>
      <c r="W610" s="115">
        <f t="shared" si="69"/>
        <v>44000</v>
      </c>
      <c r="X610" s="115">
        <f t="shared" si="70"/>
        <v>557.17361023173362</v>
      </c>
      <c r="Y610" s="117" t="s">
        <v>2211</v>
      </c>
      <c r="Z610" s="108" t="s">
        <v>35</v>
      </c>
      <c r="AA610" s="108" t="s">
        <v>35</v>
      </c>
      <c r="AB610" s="108" t="s">
        <v>2212</v>
      </c>
      <c r="AC610" s="108">
        <v>0</v>
      </c>
      <c r="AD610" s="108">
        <v>1</v>
      </c>
      <c r="AE610" s="108" t="s">
        <v>42</v>
      </c>
      <c r="AF610" s="108" t="s">
        <v>43</v>
      </c>
      <c r="AG610" s="108" t="s">
        <v>38</v>
      </c>
      <c r="AH610" s="108" t="s">
        <v>92</v>
      </c>
    </row>
    <row r="611" spans="1:34" x14ac:dyDescent="0.3">
      <c r="A611" s="107" t="s">
        <v>2212</v>
      </c>
      <c r="B611" s="108" t="s">
        <v>2219</v>
      </c>
      <c r="C611" s="108" t="s">
        <v>2220</v>
      </c>
      <c r="D611" s="109">
        <v>45219</v>
      </c>
      <c r="E611" s="110">
        <v>170000</v>
      </c>
      <c r="F611" s="108" t="s">
        <v>32</v>
      </c>
      <c r="G611" s="108" t="s">
        <v>33</v>
      </c>
      <c r="H611" s="110">
        <v>170000</v>
      </c>
      <c r="I611" s="110">
        <v>90500</v>
      </c>
      <c r="J611" s="111">
        <f t="shared" si="64"/>
        <v>53.235294117647058</v>
      </c>
      <c r="K611" s="110">
        <v>224801</v>
      </c>
      <c r="L611" s="110">
        <f>H611-205947</f>
        <v>-35947</v>
      </c>
      <c r="M611" s="110">
        <v>18854</v>
      </c>
      <c r="N611" s="112">
        <f t="shared" si="65"/>
        <v>0.11090588235294117</v>
      </c>
      <c r="O611" s="113">
        <v>58.01</v>
      </c>
      <c r="P611" s="114">
        <v>116.01</v>
      </c>
      <c r="Q611" s="115">
        <v>0.157</v>
      </c>
      <c r="R611" s="115">
        <v>0.157</v>
      </c>
      <c r="S611" s="110">
        <f t="shared" si="66"/>
        <v>-619.66902258231346</v>
      </c>
      <c r="T611" s="110">
        <f t="shared" si="67"/>
        <v>-228961.78343949045</v>
      </c>
      <c r="U611" s="116">
        <f t="shared" si="68"/>
        <v>-5.2562392892445002</v>
      </c>
      <c r="V611" s="115">
        <v>59</v>
      </c>
      <c r="W611" s="115">
        <f t="shared" si="69"/>
        <v>34000</v>
      </c>
      <c r="X611" s="115">
        <f t="shared" si="70"/>
        <v>576.27118644067798</v>
      </c>
      <c r="Y611" s="117" t="s">
        <v>2211</v>
      </c>
      <c r="Z611" s="108" t="s">
        <v>35</v>
      </c>
      <c r="AA611" s="108" t="s">
        <v>35</v>
      </c>
      <c r="AB611" s="108" t="s">
        <v>2212</v>
      </c>
      <c r="AC611" s="108">
        <v>0</v>
      </c>
      <c r="AD611" s="108">
        <v>1</v>
      </c>
      <c r="AE611" s="108" t="s">
        <v>42</v>
      </c>
      <c r="AF611" s="108" t="s">
        <v>43</v>
      </c>
      <c r="AG611" s="108" t="s">
        <v>38</v>
      </c>
      <c r="AH611" s="108" t="s">
        <v>92</v>
      </c>
    </row>
    <row r="612" spans="1:34" x14ac:dyDescent="0.3">
      <c r="A612" s="118" t="s">
        <v>2212</v>
      </c>
      <c r="B612" s="119" t="s">
        <v>2223</v>
      </c>
      <c r="C612" s="119" t="s">
        <v>2224</v>
      </c>
      <c r="D612" s="120">
        <v>45079</v>
      </c>
      <c r="E612" s="121">
        <v>216000</v>
      </c>
      <c r="F612" s="119" t="s">
        <v>32</v>
      </c>
      <c r="G612" s="119" t="s">
        <v>33</v>
      </c>
      <c r="H612" s="121">
        <v>216000</v>
      </c>
      <c r="I612" s="121">
        <v>92900</v>
      </c>
      <c r="J612" s="122">
        <f t="shared" si="64"/>
        <v>43.00925925925926</v>
      </c>
      <c r="K612" s="121">
        <v>225278</v>
      </c>
      <c r="L612" s="121">
        <f>H612-203493</f>
        <v>12507</v>
      </c>
      <c r="M612" s="121">
        <v>21785</v>
      </c>
      <c r="N612" s="123">
        <f t="shared" si="65"/>
        <v>0.10085648148148148</v>
      </c>
      <c r="O612" s="124">
        <v>67.03</v>
      </c>
      <c r="P612" s="125">
        <v>113.25</v>
      </c>
      <c r="Q612" s="126">
        <v>0.17899999999999999</v>
      </c>
      <c r="R612" s="126">
        <v>0.17899999999999999</v>
      </c>
      <c r="S612" s="121">
        <f t="shared" si="66"/>
        <v>186.58809488288824</v>
      </c>
      <c r="T612" s="121">
        <f t="shared" si="67"/>
        <v>69871.50837988827</v>
      </c>
      <c r="U612" s="127">
        <f t="shared" si="68"/>
        <v>1.6040291179955986</v>
      </c>
      <c r="V612" s="126">
        <v>69</v>
      </c>
      <c r="W612" s="126">
        <f t="shared" si="69"/>
        <v>43200</v>
      </c>
      <c r="X612" s="126">
        <f t="shared" si="70"/>
        <v>626.08695652173913</v>
      </c>
      <c r="Y612" s="128" t="s">
        <v>2211</v>
      </c>
      <c r="Z612" s="119" t="s">
        <v>35</v>
      </c>
      <c r="AA612" s="119" t="s">
        <v>35</v>
      </c>
      <c r="AB612" s="119" t="s">
        <v>2212</v>
      </c>
      <c r="AC612" s="119">
        <v>0</v>
      </c>
      <c r="AD612" s="119">
        <v>1</v>
      </c>
      <c r="AE612" s="119" t="s">
        <v>42</v>
      </c>
      <c r="AF612" s="119" t="s">
        <v>43</v>
      </c>
      <c r="AG612" s="119" t="s">
        <v>38</v>
      </c>
      <c r="AH612" s="119" t="s">
        <v>92</v>
      </c>
    </row>
    <row r="613" spans="1:34" x14ac:dyDescent="0.3">
      <c r="A613" s="107" t="s">
        <v>2212</v>
      </c>
      <c r="B613" s="108" t="s">
        <v>2213</v>
      </c>
      <c r="C613" s="108" t="s">
        <v>2214</v>
      </c>
      <c r="D613" s="109">
        <v>45114</v>
      </c>
      <c r="E613" s="110">
        <v>191500</v>
      </c>
      <c r="F613" s="108" t="s">
        <v>32</v>
      </c>
      <c r="G613" s="108" t="s">
        <v>33</v>
      </c>
      <c r="H613" s="110">
        <v>191500</v>
      </c>
      <c r="I613" s="110">
        <v>84000</v>
      </c>
      <c r="J613" s="111">
        <f t="shared" si="64"/>
        <v>43.864229765013057</v>
      </c>
      <c r="K613" s="110">
        <v>205967</v>
      </c>
      <c r="L613" s="110">
        <f>H613-186467</f>
        <v>5033</v>
      </c>
      <c r="M613" s="110">
        <v>19500</v>
      </c>
      <c r="N613" s="112">
        <f t="shared" si="65"/>
        <v>0.10182767624020887</v>
      </c>
      <c r="O613" s="113">
        <v>60</v>
      </c>
      <c r="P613" s="114">
        <v>120</v>
      </c>
      <c r="Q613" s="115">
        <v>0.16500000000000001</v>
      </c>
      <c r="R613" s="115">
        <v>0.16500000000000001</v>
      </c>
      <c r="S613" s="110">
        <f t="shared" si="66"/>
        <v>83.88333333333334</v>
      </c>
      <c r="T613" s="110">
        <f t="shared" si="67"/>
        <v>30503.0303030303</v>
      </c>
      <c r="U613" s="116">
        <f t="shared" si="68"/>
        <v>0.70025322091437792</v>
      </c>
      <c r="V613" s="115">
        <v>60</v>
      </c>
      <c r="W613" s="115">
        <f t="shared" si="69"/>
        <v>38300</v>
      </c>
      <c r="X613" s="115">
        <f t="shared" si="70"/>
        <v>638.33333333333337</v>
      </c>
      <c r="Y613" s="117" t="s">
        <v>2211</v>
      </c>
      <c r="Z613" s="108" t="s">
        <v>35</v>
      </c>
      <c r="AA613" s="108" t="s">
        <v>35</v>
      </c>
      <c r="AB613" s="108" t="s">
        <v>2212</v>
      </c>
      <c r="AC613" s="108">
        <v>0</v>
      </c>
      <c r="AD613" s="108">
        <v>1</v>
      </c>
      <c r="AE613" s="108" t="s">
        <v>42</v>
      </c>
      <c r="AF613" s="108" t="s">
        <v>43</v>
      </c>
      <c r="AG613" s="108" t="s">
        <v>38</v>
      </c>
      <c r="AH613" s="108" t="s">
        <v>92</v>
      </c>
    </row>
    <row r="614" spans="1:34" x14ac:dyDescent="0.3">
      <c r="A614" s="107" t="s">
        <v>2212</v>
      </c>
      <c r="B614" s="108" t="s">
        <v>2221</v>
      </c>
      <c r="C614" s="108" t="s">
        <v>2222</v>
      </c>
      <c r="D614" s="109">
        <v>45041</v>
      </c>
      <c r="E614" s="110">
        <v>212000</v>
      </c>
      <c r="F614" s="108" t="s">
        <v>32</v>
      </c>
      <c r="G614" s="108" t="s">
        <v>33</v>
      </c>
      <c r="H614" s="110">
        <v>212000</v>
      </c>
      <c r="I614" s="110">
        <v>90600</v>
      </c>
      <c r="J614" s="111">
        <f t="shared" si="64"/>
        <v>42.735849056603776</v>
      </c>
      <c r="K614" s="110">
        <v>218075</v>
      </c>
      <c r="L614" s="110">
        <f>H614-199241</f>
        <v>12759</v>
      </c>
      <c r="M614" s="110">
        <v>18834</v>
      </c>
      <c r="N614" s="112">
        <f t="shared" si="65"/>
        <v>8.8839622641509436E-2</v>
      </c>
      <c r="O614" s="113">
        <v>57.95</v>
      </c>
      <c r="P614" s="114">
        <v>115.77</v>
      </c>
      <c r="Q614" s="115">
        <v>0.157</v>
      </c>
      <c r="R614" s="115">
        <v>0.157</v>
      </c>
      <c r="S614" s="110">
        <f t="shared" si="66"/>
        <v>220.17256255392579</v>
      </c>
      <c r="T614" s="110">
        <f t="shared" si="67"/>
        <v>81267.515923566883</v>
      </c>
      <c r="U614" s="116">
        <f t="shared" si="68"/>
        <v>1.8656454527907915</v>
      </c>
      <c r="V614" s="115">
        <v>59</v>
      </c>
      <c r="W614" s="115">
        <f t="shared" si="69"/>
        <v>42400</v>
      </c>
      <c r="X614" s="115">
        <f t="shared" si="70"/>
        <v>718.64406779661022</v>
      </c>
      <c r="Y614" s="117" t="s">
        <v>2211</v>
      </c>
      <c r="Z614" s="108" t="s">
        <v>35</v>
      </c>
      <c r="AA614" s="108" t="s">
        <v>35</v>
      </c>
      <c r="AB614" s="108" t="s">
        <v>2212</v>
      </c>
      <c r="AC614" s="108">
        <v>0</v>
      </c>
      <c r="AD614" s="108">
        <v>1</v>
      </c>
      <c r="AE614" s="108" t="s">
        <v>42</v>
      </c>
      <c r="AF614" s="108" t="s">
        <v>43</v>
      </c>
      <c r="AG614" s="108" t="s">
        <v>38</v>
      </c>
      <c r="AH614" s="108" t="s">
        <v>92</v>
      </c>
    </row>
    <row r="615" spans="1:34" x14ac:dyDescent="0.3">
      <c r="A615" s="107" t="s">
        <v>2025</v>
      </c>
      <c r="B615" s="108" t="s">
        <v>2028</v>
      </c>
      <c r="C615" s="108" t="s">
        <v>2029</v>
      </c>
      <c r="D615" s="109">
        <v>45216</v>
      </c>
      <c r="E615" s="110">
        <v>10000</v>
      </c>
      <c r="F615" s="108" t="s">
        <v>32</v>
      </c>
      <c r="G615" s="108" t="s">
        <v>33</v>
      </c>
      <c r="H615" s="110">
        <v>10000</v>
      </c>
      <c r="I615" s="110">
        <v>5500</v>
      </c>
      <c r="J615" s="111">
        <f t="shared" si="64"/>
        <v>55.000000000000007</v>
      </c>
      <c r="K615" s="110">
        <v>12187</v>
      </c>
      <c r="L615" s="110">
        <f>H615-0</f>
        <v>10000</v>
      </c>
      <c r="M615" s="110">
        <v>12187</v>
      </c>
      <c r="N615" s="112">
        <f t="shared" si="65"/>
        <v>1.2186999999999999</v>
      </c>
      <c r="O615" s="113">
        <v>78.62</v>
      </c>
      <c r="P615" s="114">
        <v>136</v>
      </c>
      <c r="Q615" s="115">
        <v>0.312</v>
      </c>
      <c r="R615" s="115">
        <v>0.312</v>
      </c>
      <c r="S615" s="110">
        <f t="shared" si="66"/>
        <v>127.1940981938438</v>
      </c>
      <c r="T615" s="110">
        <f t="shared" si="67"/>
        <v>32051.282051282051</v>
      </c>
      <c r="U615" s="116">
        <f t="shared" si="68"/>
        <v>0.7357961903416449</v>
      </c>
      <c r="V615" s="115">
        <v>100</v>
      </c>
      <c r="W615" s="115">
        <f t="shared" si="69"/>
        <v>2000</v>
      </c>
      <c r="X615" s="115">
        <f t="shared" si="70"/>
        <v>20</v>
      </c>
      <c r="Y615" s="117" t="s">
        <v>2024</v>
      </c>
      <c r="Z615" s="108" t="s">
        <v>35</v>
      </c>
      <c r="AA615" s="108" t="s">
        <v>35</v>
      </c>
      <c r="AB615" s="108" t="s">
        <v>2025</v>
      </c>
      <c r="AC615" s="108">
        <v>0</v>
      </c>
      <c r="AD615" s="108">
        <v>1</v>
      </c>
      <c r="AE615" s="108" t="s">
        <v>37</v>
      </c>
      <c r="AF615" s="108" t="s">
        <v>43</v>
      </c>
      <c r="AG615" s="108" t="s">
        <v>61</v>
      </c>
      <c r="AH615" s="108" t="s">
        <v>92</v>
      </c>
    </row>
    <row r="616" spans="1:34" x14ac:dyDescent="0.3">
      <c r="A616" s="107" t="s">
        <v>2025</v>
      </c>
      <c r="B616" s="108" t="s">
        <v>2077</v>
      </c>
      <c r="C616" s="108" t="s">
        <v>2078</v>
      </c>
      <c r="D616" s="109">
        <v>45152</v>
      </c>
      <c r="E616" s="110">
        <v>133900</v>
      </c>
      <c r="F616" s="108" t="s">
        <v>32</v>
      </c>
      <c r="G616" s="108" t="s">
        <v>33</v>
      </c>
      <c r="H616" s="110">
        <v>133900</v>
      </c>
      <c r="I616" s="110">
        <v>62300</v>
      </c>
      <c r="J616" s="111">
        <f t="shared" si="64"/>
        <v>46.52725914861837</v>
      </c>
      <c r="K616" s="110">
        <v>181616</v>
      </c>
      <c r="L616" s="110">
        <f>H616-167596</f>
        <v>-33696</v>
      </c>
      <c r="M616" s="110">
        <v>14020</v>
      </c>
      <c r="N616" s="112">
        <f t="shared" si="65"/>
        <v>0.10470500373412994</v>
      </c>
      <c r="O616" s="113">
        <v>90.45</v>
      </c>
      <c r="P616" s="114">
        <v>180</v>
      </c>
      <c r="Q616" s="115">
        <v>0.5</v>
      </c>
      <c r="R616" s="115">
        <v>0.41299999999999998</v>
      </c>
      <c r="S616" s="110">
        <f t="shared" si="66"/>
        <v>-372.53731343283579</v>
      </c>
      <c r="T616" s="110">
        <f t="shared" si="67"/>
        <v>-67392</v>
      </c>
      <c r="U616" s="116">
        <f t="shared" si="68"/>
        <v>-1.5471074380165288</v>
      </c>
      <c r="V616" s="115">
        <v>100</v>
      </c>
      <c r="W616" s="115">
        <f t="shared" si="69"/>
        <v>26780</v>
      </c>
      <c r="X616" s="115">
        <f t="shared" si="70"/>
        <v>267.8</v>
      </c>
      <c r="Y616" s="117" t="s">
        <v>2024</v>
      </c>
      <c r="Z616" s="108" t="s">
        <v>35</v>
      </c>
      <c r="AA616" s="108" t="s">
        <v>35</v>
      </c>
      <c r="AB616" s="108" t="s">
        <v>2025</v>
      </c>
      <c r="AC616" s="108">
        <v>0</v>
      </c>
      <c r="AD616" s="108">
        <v>0</v>
      </c>
      <c r="AE616" s="108" t="s">
        <v>42</v>
      </c>
      <c r="AF616" s="108" t="s">
        <v>43</v>
      </c>
      <c r="AG616" s="108" t="s">
        <v>38</v>
      </c>
      <c r="AH616" s="108" t="s">
        <v>92</v>
      </c>
    </row>
    <row r="617" spans="1:34" x14ac:dyDescent="0.3">
      <c r="A617" s="118" t="s">
        <v>2025</v>
      </c>
      <c r="B617" s="119" t="s">
        <v>2108</v>
      </c>
      <c r="C617" s="119" t="s">
        <v>2109</v>
      </c>
      <c r="D617" s="120">
        <v>45526</v>
      </c>
      <c r="E617" s="121">
        <v>95000</v>
      </c>
      <c r="F617" s="119" t="s">
        <v>32</v>
      </c>
      <c r="G617" s="119" t="s">
        <v>33</v>
      </c>
      <c r="H617" s="121">
        <v>95000</v>
      </c>
      <c r="I617" s="121">
        <v>60800</v>
      </c>
      <c r="J617" s="122">
        <f t="shared" si="64"/>
        <v>64</v>
      </c>
      <c r="K617" s="121">
        <v>144870</v>
      </c>
      <c r="L617" s="121">
        <f>H617-132200</f>
        <v>-37200</v>
      </c>
      <c r="M617" s="121">
        <v>12670</v>
      </c>
      <c r="N617" s="123">
        <f t="shared" si="65"/>
        <v>0.13336842105263158</v>
      </c>
      <c r="O617" s="124">
        <v>81.739999999999995</v>
      </c>
      <c r="P617" s="125">
        <v>300</v>
      </c>
      <c r="Q617" s="126">
        <v>0.48199999999999998</v>
      </c>
      <c r="R617" s="126">
        <v>0.48199999999999998</v>
      </c>
      <c r="S617" s="121">
        <f t="shared" si="66"/>
        <v>-455.10154147296311</v>
      </c>
      <c r="T617" s="121">
        <f t="shared" si="67"/>
        <v>-77178.423236514529</v>
      </c>
      <c r="U617" s="127">
        <f t="shared" si="68"/>
        <v>-1.7717728015728771</v>
      </c>
      <c r="V617" s="126">
        <v>70</v>
      </c>
      <c r="W617" s="126">
        <f t="shared" si="69"/>
        <v>19000</v>
      </c>
      <c r="X617" s="126">
        <f t="shared" si="70"/>
        <v>271.42857142857144</v>
      </c>
      <c r="Y617" s="128" t="s">
        <v>2024</v>
      </c>
      <c r="Z617" s="119" t="s">
        <v>35</v>
      </c>
      <c r="AA617" s="119" t="s">
        <v>35</v>
      </c>
      <c r="AB617" s="119" t="s">
        <v>2025</v>
      </c>
      <c r="AC617" s="119">
        <v>0</v>
      </c>
      <c r="AD617" s="119">
        <v>1</v>
      </c>
      <c r="AE617" s="119" t="s">
        <v>37</v>
      </c>
      <c r="AF617" s="119" t="s">
        <v>43</v>
      </c>
      <c r="AG617" s="119" t="s">
        <v>38</v>
      </c>
      <c r="AH617" s="119" t="s">
        <v>92</v>
      </c>
    </row>
    <row r="618" spans="1:34" x14ac:dyDescent="0.3">
      <c r="A618" s="107" t="s">
        <v>2025</v>
      </c>
      <c r="B618" s="108" t="s">
        <v>2026</v>
      </c>
      <c r="C618" s="108" t="s">
        <v>2027</v>
      </c>
      <c r="D618" s="109">
        <v>45153</v>
      </c>
      <c r="E618" s="110">
        <v>165000</v>
      </c>
      <c r="F618" s="108" t="s">
        <v>32</v>
      </c>
      <c r="G618" s="108" t="s">
        <v>33</v>
      </c>
      <c r="H618" s="110">
        <v>165000</v>
      </c>
      <c r="I618" s="110">
        <v>62400</v>
      </c>
      <c r="J618" s="111">
        <f t="shared" si="64"/>
        <v>37.81818181818182</v>
      </c>
      <c r="K618" s="110">
        <v>186807</v>
      </c>
      <c r="L618" s="110">
        <f>H618-174620</f>
        <v>-9620</v>
      </c>
      <c r="M618" s="110">
        <v>12187</v>
      </c>
      <c r="N618" s="112">
        <f t="shared" si="65"/>
        <v>7.3860606060606057E-2</v>
      </c>
      <c r="O618" s="113">
        <v>78.62</v>
      </c>
      <c r="P618" s="114">
        <v>136</v>
      </c>
      <c r="Q618" s="115">
        <v>0.312</v>
      </c>
      <c r="R618" s="115">
        <v>0.312</v>
      </c>
      <c r="S618" s="110">
        <f t="shared" si="66"/>
        <v>-122.36072246247774</v>
      </c>
      <c r="T618" s="110">
        <f t="shared" si="67"/>
        <v>-30833.333333333332</v>
      </c>
      <c r="U618" s="116">
        <f t="shared" si="68"/>
        <v>-0.70783593510866238</v>
      </c>
      <c r="V618" s="115">
        <v>100</v>
      </c>
      <c r="W618" s="115">
        <f t="shared" si="69"/>
        <v>33000</v>
      </c>
      <c r="X618" s="115">
        <f t="shared" si="70"/>
        <v>330</v>
      </c>
      <c r="Y618" s="117" t="s">
        <v>2024</v>
      </c>
      <c r="Z618" s="108" t="s">
        <v>35</v>
      </c>
      <c r="AA618" s="108" t="s">
        <v>35</v>
      </c>
      <c r="AB618" s="108" t="s">
        <v>2025</v>
      </c>
      <c r="AC618" s="108">
        <v>0</v>
      </c>
      <c r="AD618" s="108">
        <v>1</v>
      </c>
      <c r="AE618" s="108" t="s">
        <v>37</v>
      </c>
      <c r="AF618" s="108" t="s">
        <v>43</v>
      </c>
      <c r="AG618" s="108" t="s">
        <v>38</v>
      </c>
      <c r="AH618" s="108" t="s">
        <v>92</v>
      </c>
    </row>
    <row r="619" spans="1:34" x14ac:dyDescent="0.3">
      <c r="A619" s="118" t="s">
        <v>2025</v>
      </c>
      <c r="B619" s="119" t="s">
        <v>2022</v>
      </c>
      <c r="C619" s="119" t="s">
        <v>2023</v>
      </c>
      <c r="D619" s="120">
        <v>45427</v>
      </c>
      <c r="E619" s="121">
        <v>430000</v>
      </c>
      <c r="F619" s="119" t="s">
        <v>32</v>
      </c>
      <c r="G619" s="119" t="s">
        <v>33</v>
      </c>
      <c r="H619" s="121">
        <v>430000</v>
      </c>
      <c r="I619" s="121">
        <v>142400</v>
      </c>
      <c r="J619" s="122">
        <f t="shared" si="64"/>
        <v>33.116279069767444</v>
      </c>
      <c r="K619" s="121">
        <v>327476</v>
      </c>
      <c r="L619" s="121">
        <f>H619-312554</f>
        <v>117446</v>
      </c>
      <c r="M619" s="121">
        <v>14922</v>
      </c>
      <c r="N619" s="123">
        <f t="shared" si="65"/>
        <v>3.4702325581395348E-2</v>
      </c>
      <c r="O619" s="124">
        <v>96.27</v>
      </c>
      <c r="P619" s="125">
        <v>310.7</v>
      </c>
      <c r="Q619" s="126">
        <v>0.57799999999999996</v>
      </c>
      <c r="R619" s="126">
        <v>0.57799999999999996</v>
      </c>
      <c r="S619" s="121">
        <f t="shared" si="66"/>
        <v>1219.9646826633427</v>
      </c>
      <c r="T619" s="121">
        <f t="shared" si="67"/>
        <v>203193.77162629759</v>
      </c>
      <c r="U619" s="127">
        <f t="shared" si="68"/>
        <v>4.6646871355899355</v>
      </c>
      <c r="V619" s="126">
        <v>81.010000000000005</v>
      </c>
      <c r="W619" s="126">
        <f t="shared" si="69"/>
        <v>86000</v>
      </c>
      <c r="X619" s="126">
        <f t="shared" si="70"/>
        <v>1061.5973336625107</v>
      </c>
      <c r="Y619" s="128" t="s">
        <v>2024</v>
      </c>
      <c r="Z619" s="119" t="s">
        <v>35</v>
      </c>
      <c r="AA619" s="119" t="s">
        <v>35</v>
      </c>
      <c r="AB619" s="119" t="s">
        <v>2025</v>
      </c>
      <c r="AC619" s="119">
        <v>0</v>
      </c>
      <c r="AD619" s="119">
        <v>1</v>
      </c>
      <c r="AE619" s="119" t="s">
        <v>205</v>
      </c>
      <c r="AF619" s="119" t="s">
        <v>43</v>
      </c>
      <c r="AG619" s="119" t="s">
        <v>38</v>
      </c>
      <c r="AH619" s="119" t="s">
        <v>92</v>
      </c>
    </row>
    <row r="620" spans="1:34" x14ac:dyDescent="0.3">
      <c r="A620" s="118" t="s">
        <v>2033</v>
      </c>
      <c r="B620" s="119" t="s">
        <v>2065</v>
      </c>
      <c r="C620" s="119" t="s">
        <v>2066</v>
      </c>
      <c r="D620" s="120">
        <v>45296</v>
      </c>
      <c r="E620" s="121">
        <v>169100</v>
      </c>
      <c r="F620" s="119" t="s">
        <v>32</v>
      </c>
      <c r="G620" s="119" t="s">
        <v>33</v>
      </c>
      <c r="H620" s="121">
        <v>169100</v>
      </c>
      <c r="I620" s="121">
        <v>89000</v>
      </c>
      <c r="J620" s="122">
        <f t="shared" si="64"/>
        <v>52.631578947368418</v>
      </c>
      <c r="K620" s="121">
        <v>207732</v>
      </c>
      <c r="L620" s="121">
        <f>H620-191790</f>
        <v>-22690</v>
      </c>
      <c r="M620" s="121">
        <v>15942</v>
      </c>
      <c r="N620" s="123">
        <f t="shared" si="65"/>
        <v>9.4275576581904205E-2</v>
      </c>
      <c r="O620" s="124">
        <v>78.53</v>
      </c>
      <c r="P620" s="125">
        <v>106</v>
      </c>
      <c r="Q620" s="126">
        <v>0.19500000000000001</v>
      </c>
      <c r="R620" s="126">
        <v>0.19500000000000001</v>
      </c>
      <c r="S620" s="121">
        <f t="shared" si="66"/>
        <v>-288.93416528715142</v>
      </c>
      <c r="T620" s="121">
        <f t="shared" si="67"/>
        <v>-116358.97435897436</v>
      </c>
      <c r="U620" s="127">
        <f t="shared" si="68"/>
        <v>-2.6712344894163076</v>
      </c>
      <c r="V620" s="126">
        <v>80</v>
      </c>
      <c r="W620" s="126">
        <f t="shared" si="69"/>
        <v>33820</v>
      </c>
      <c r="X620" s="126">
        <f t="shared" si="70"/>
        <v>422.75</v>
      </c>
      <c r="Y620" s="128" t="s">
        <v>2038</v>
      </c>
      <c r="Z620" s="119" t="s">
        <v>35</v>
      </c>
      <c r="AA620" s="119" t="s">
        <v>35</v>
      </c>
      <c r="AB620" s="119" t="s">
        <v>2033</v>
      </c>
      <c r="AC620" s="119">
        <v>0</v>
      </c>
      <c r="AD620" s="119">
        <v>1</v>
      </c>
      <c r="AE620" s="119" t="s">
        <v>42</v>
      </c>
      <c r="AF620" s="119" t="s">
        <v>43</v>
      </c>
      <c r="AG620" s="119" t="s">
        <v>38</v>
      </c>
      <c r="AH620" s="119" t="s">
        <v>92</v>
      </c>
    </row>
    <row r="621" spans="1:34" x14ac:dyDescent="0.3">
      <c r="A621" s="118" t="s">
        <v>2033</v>
      </c>
      <c r="B621" s="119" t="s">
        <v>2049</v>
      </c>
      <c r="C621" s="119" t="s">
        <v>2050</v>
      </c>
      <c r="D621" s="120">
        <v>45652</v>
      </c>
      <c r="E621" s="121">
        <v>180000</v>
      </c>
      <c r="F621" s="119" t="s">
        <v>32</v>
      </c>
      <c r="G621" s="119" t="s">
        <v>33</v>
      </c>
      <c r="H621" s="121">
        <v>180000</v>
      </c>
      <c r="I621" s="121">
        <v>103100</v>
      </c>
      <c r="J621" s="122">
        <f t="shared" si="64"/>
        <v>57.277777777777786</v>
      </c>
      <c r="K621" s="121">
        <v>216962</v>
      </c>
      <c r="L621" s="121">
        <f>H621-198040</f>
        <v>-18040</v>
      </c>
      <c r="M621" s="121">
        <v>18922</v>
      </c>
      <c r="N621" s="123">
        <f t="shared" si="65"/>
        <v>0.10512222222222223</v>
      </c>
      <c r="O621" s="124">
        <v>93.21</v>
      </c>
      <c r="P621" s="125">
        <v>149.33000000000001</v>
      </c>
      <c r="Q621" s="126">
        <v>0.27400000000000002</v>
      </c>
      <c r="R621" s="126">
        <v>0.27400000000000002</v>
      </c>
      <c r="S621" s="121">
        <f t="shared" si="66"/>
        <v>-193.54146550799271</v>
      </c>
      <c r="T621" s="121">
        <f t="shared" si="67"/>
        <v>-65839.416058394156</v>
      </c>
      <c r="U621" s="127">
        <f t="shared" si="68"/>
        <v>-1.51146501511465</v>
      </c>
      <c r="V621" s="126">
        <v>80</v>
      </c>
      <c r="W621" s="126">
        <f t="shared" si="69"/>
        <v>36000</v>
      </c>
      <c r="X621" s="126">
        <f t="shared" si="70"/>
        <v>450</v>
      </c>
      <c r="Y621" s="128" t="s">
        <v>2038</v>
      </c>
      <c r="Z621" s="119" t="s">
        <v>35</v>
      </c>
      <c r="AA621" s="119" t="s">
        <v>35</v>
      </c>
      <c r="AB621" s="119" t="s">
        <v>2033</v>
      </c>
      <c r="AC621" s="119">
        <v>0</v>
      </c>
      <c r="AD621" s="119">
        <v>1</v>
      </c>
      <c r="AE621" s="119" t="s">
        <v>42</v>
      </c>
      <c r="AF621" s="119" t="s">
        <v>35</v>
      </c>
      <c r="AG621" s="119" t="s">
        <v>38</v>
      </c>
      <c r="AH621" s="119" t="s">
        <v>92</v>
      </c>
    </row>
    <row r="622" spans="1:34" x14ac:dyDescent="0.3">
      <c r="A622" s="118" t="s">
        <v>2033</v>
      </c>
      <c r="B622" s="119" t="s">
        <v>2034</v>
      </c>
      <c r="C622" s="119" t="s">
        <v>2035</v>
      </c>
      <c r="D622" s="120">
        <v>45072</v>
      </c>
      <c r="E622" s="121">
        <v>170000</v>
      </c>
      <c r="F622" s="119" t="s">
        <v>32</v>
      </c>
      <c r="G622" s="119" t="s">
        <v>33</v>
      </c>
      <c r="H622" s="121">
        <v>170000</v>
      </c>
      <c r="I622" s="121">
        <v>70500</v>
      </c>
      <c r="J622" s="122">
        <f t="shared" si="64"/>
        <v>41.470588235294123</v>
      </c>
      <c r="K622" s="121">
        <v>210978</v>
      </c>
      <c r="L622" s="121">
        <f>H622-193199</f>
        <v>-23199</v>
      </c>
      <c r="M622" s="121">
        <v>17779</v>
      </c>
      <c r="N622" s="123">
        <f t="shared" si="65"/>
        <v>0.10458235294117647</v>
      </c>
      <c r="O622" s="124">
        <v>87.58</v>
      </c>
      <c r="P622" s="125">
        <v>150</v>
      </c>
      <c r="Q622" s="126">
        <v>0.25800000000000001</v>
      </c>
      <c r="R622" s="126">
        <v>0.25800000000000001</v>
      </c>
      <c r="S622" s="121">
        <f t="shared" si="66"/>
        <v>-264.88924411966201</v>
      </c>
      <c r="T622" s="121">
        <f t="shared" si="67"/>
        <v>-89918.604651162794</v>
      </c>
      <c r="U622" s="127">
        <f t="shared" si="68"/>
        <v>-2.0642471223866572</v>
      </c>
      <c r="V622" s="126">
        <v>75</v>
      </c>
      <c r="W622" s="126">
        <f t="shared" si="69"/>
        <v>34000</v>
      </c>
      <c r="X622" s="126">
        <f t="shared" si="70"/>
        <v>453.33333333333331</v>
      </c>
      <c r="Y622" s="128" t="s">
        <v>2032</v>
      </c>
      <c r="Z622" s="119" t="s">
        <v>35</v>
      </c>
      <c r="AA622" s="119" t="s">
        <v>35</v>
      </c>
      <c r="AB622" s="119" t="s">
        <v>2033</v>
      </c>
      <c r="AC622" s="119">
        <v>0</v>
      </c>
      <c r="AD622" s="119">
        <v>1</v>
      </c>
      <c r="AE622" s="119" t="s">
        <v>37</v>
      </c>
      <c r="AF622" s="119" t="s">
        <v>43</v>
      </c>
      <c r="AG622" s="119" t="s">
        <v>38</v>
      </c>
      <c r="AH622" s="119" t="s">
        <v>92</v>
      </c>
    </row>
    <row r="623" spans="1:34" x14ac:dyDescent="0.3">
      <c r="A623" s="118" t="s">
        <v>2033</v>
      </c>
      <c r="B623" s="119" t="s">
        <v>2030</v>
      </c>
      <c r="C623" s="119" t="s">
        <v>2031</v>
      </c>
      <c r="D623" s="120">
        <v>45667</v>
      </c>
      <c r="E623" s="121">
        <v>115000</v>
      </c>
      <c r="F623" s="119" t="s">
        <v>32</v>
      </c>
      <c r="G623" s="119" t="s">
        <v>33</v>
      </c>
      <c r="H623" s="121">
        <v>115000</v>
      </c>
      <c r="I623" s="121">
        <v>57400</v>
      </c>
      <c r="J623" s="122">
        <f t="shared" si="64"/>
        <v>49.913043478260875</v>
      </c>
      <c r="K623" s="121">
        <v>135410</v>
      </c>
      <c r="L623" s="121">
        <f>H623-123557</f>
        <v>-8557</v>
      </c>
      <c r="M623" s="121">
        <v>11853</v>
      </c>
      <c r="N623" s="123">
        <f t="shared" si="65"/>
        <v>0.1030695652173913</v>
      </c>
      <c r="O623" s="124">
        <v>58.38</v>
      </c>
      <c r="P623" s="125">
        <v>150</v>
      </c>
      <c r="Q623" s="126">
        <v>0.17199999999999999</v>
      </c>
      <c r="R623" s="126">
        <v>0.17199999999999999</v>
      </c>
      <c r="S623" s="121">
        <f t="shared" si="66"/>
        <v>-146.57416923603972</v>
      </c>
      <c r="T623" s="121">
        <f t="shared" si="67"/>
        <v>-49750.000000000007</v>
      </c>
      <c r="U623" s="127">
        <f t="shared" si="68"/>
        <v>-1.1421028466483014</v>
      </c>
      <c r="V623" s="126">
        <v>50</v>
      </c>
      <c r="W623" s="126">
        <f t="shared" si="69"/>
        <v>23000</v>
      </c>
      <c r="X623" s="126">
        <f t="shared" si="70"/>
        <v>460</v>
      </c>
      <c r="Y623" s="128" t="s">
        <v>2032</v>
      </c>
      <c r="Z623" s="119" t="s">
        <v>35</v>
      </c>
      <c r="AA623" s="119" t="s">
        <v>35</v>
      </c>
      <c r="AB623" s="119" t="s">
        <v>2033</v>
      </c>
      <c r="AC623" s="119">
        <v>0</v>
      </c>
      <c r="AD623" s="119">
        <v>1</v>
      </c>
      <c r="AE623" s="119" t="s">
        <v>42</v>
      </c>
      <c r="AF623" s="119" t="s">
        <v>35</v>
      </c>
      <c r="AG623" s="119" t="s">
        <v>38</v>
      </c>
      <c r="AH623" s="119" t="s">
        <v>92</v>
      </c>
    </row>
    <row r="624" spans="1:34" x14ac:dyDescent="0.3">
      <c r="A624" s="118" t="s">
        <v>2033</v>
      </c>
      <c r="B624" s="119" t="s">
        <v>2043</v>
      </c>
      <c r="C624" s="119" t="s">
        <v>2044</v>
      </c>
      <c r="D624" s="120">
        <v>45548</v>
      </c>
      <c r="E624" s="121">
        <v>150000</v>
      </c>
      <c r="F624" s="119" t="s">
        <v>32</v>
      </c>
      <c r="G624" s="119" t="s">
        <v>33</v>
      </c>
      <c r="H624" s="121">
        <v>150000</v>
      </c>
      <c r="I624" s="121">
        <v>94900</v>
      </c>
      <c r="J624" s="122">
        <f t="shared" si="64"/>
        <v>63.266666666666673</v>
      </c>
      <c r="K624" s="121">
        <v>200352</v>
      </c>
      <c r="L624" s="121">
        <f>H624-184767</f>
        <v>-34767</v>
      </c>
      <c r="M624" s="121">
        <v>15585</v>
      </c>
      <c r="N624" s="123">
        <f t="shared" si="65"/>
        <v>0.10390000000000001</v>
      </c>
      <c r="O624" s="124">
        <v>76.77</v>
      </c>
      <c r="P624" s="125">
        <v>179.04</v>
      </c>
      <c r="Q624" s="126">
        <v>0.247</v>
      </c>
      <c r="R624" s="126">
        <v>0.247</v>
      </c>
      <c r="S624" s="121">
        <f t="shared" si="66"/>
        <v>-452.87221570926147</v>
      </c>
      <c r="T624" s="121">
        <f t="shared" si="67"/>
        <v>-140757.08502024293</v>
      </c>
      <c r="U624" s="127">
        <f t="shared" si="68"/>
        <v>-3.2313380399504803</v>
      </c>
      <c r="V624" s="126">
        <v>60.24</v>
      </c>
      <c r="W624" s="126">
        <f t="shared" si="69"/>
        <v>30000</v>
      </c>
      <c r="X624" s="126">
        <f t="shared" si="70"/>
        <v>498.00796812749002</v>
      </c>
      <c r="Y624" s="128" t="s">
        <v>2038</v>
      </c>
      <c r="Z624" s="119" t="s">
        <v>35</v>
      </c>
      <c r="AA624" s="119" t="s">
        <v>35</v>
      </c>
      <c r="AB624" s="119" t="s">
        <v>2033</v>
      </c>
      <c r="AC624" s="119">
        <v>0</v>
      </c>
      <c r="AD624" s="119">
        <v>1</v>
      </c>
      <c r="AE624" s="119" t="s">
        <v>412</v>
      </c>
      <c r="AF624" s="119" t="s">
        <v>43</v>
      </c>
      <c r="AG624" s="119" t="s">
        <v>38</v>
      </c>
      <c r="AH624" s="119" t="s">
        <v>92</v>
      </c>
    </row>
    <row r="625" spans="1:34" x14ac:dyDescent="0.3">
      <c r="A625" s="118" t="s">
        <v>2033</v>
      </c>
      <c r="B625" s="119" t="s">
        <v>2051</v>
      </c>
      <c r="C625" s="119" t="s">
        <v>2052</v>
      </c>
      <c r="D625" s="120">
        <v>45357</v>
      </c>
      <c r="E625" s="121">
        <v>200000</v>
      </c>
      <c r="F625" s="119" t="s">
        <v>32</v>
      </c>
      <c r="G625" s="119" t="s">
        <v>33</v>
      </c>
      <c r="H625" s="121">
        <v>200000</v>
      </c>
      <c r="I625" s="121">
        <v>89800</v>
      </c>
      <c r="J625" s="122">
        <f t="shared" si="64"/>
        <v>44.9</v>
      </c>
      <c r="K625" s="121">
        <v>209385</v>
      </c>
      <c r="L625" s="121">
        <f>H625-193518</f>
        <v>6482</v>
      </c>
      <c r="M625" s="121">
        <v>15867</v>
      </c>
      <c r="N625" s="123">
        <f t="shared" si="65"/>
        <v>7.9335000000000003E-2</v>
      </c>
      <c r="O625" s="124">
        <v>78.16</v>
      </c>
      <c r="P625" s="125">
        <v>105</v>
      </c>
      <c r="Q625" s="126">
        <v>0.193</v>
      </c>
      <c r="R625" s="126">
        <v>0.193</v>
      </c>
      <c r="S625" s="121">
        <f t="shared" si="66"/>
        <v>82.932446264073704</v>
      </c>
      <c r="T625" s="121">
        <f t="shared" si="67"/>
        <v>33585.492227979274</v>
      </c>
      <c r="U625" s="127">
        <f t="shared" si="68"/>
        <v>0.77101680964139752</v>
      </c>
      <c r="V625" s="126">
        <v>80</v>
      </c>
      <c r="W625" s="126">
        <f t="shared" si="69"/>
        <v>40000</v>
      </c>
      <c r="X625" s="126">
        <f t="shared" si="70"/>
        <v>500</v>
      </c>
      <c r="Y625" s="128" t="s">
        <v>2038</v>
      </c>
      <c r="Z625" s="119" t="s">
        <v>35</v>
      </c>
      <c r="AA625" s="119" t="s">
        <v>35</v>
      </c>
      <c r="AB625" s="119" t="s">
        <v>2033</v>
      </c>
      <c r="AC625" s="119">
        <v>0</v>
      </c>
      <c r="AD625" s="119">
        <v>1</v>
      </c>
      <c r="AE625" s="119" t="s">
        <v>42</v>
      </c>
      <c r="AF625" s="119" t="s">
        <v>43</v>
      </c>
      <c r="AG625" s="119" t="s">
        <v>38</v>
      </c>
      <c r="AH625" s="119" t="s">
        <v>92</v>
      </c>
    </row>
    <row r="626" spans="1:34" x14ac:dyDescent="0.3">
      <c r="A626" s="107" t="s">
        <v>2033</v>
      </c>
      <c r="B626" s="108" t="s">
        <v>2069</v>
      </c>
      <c r="C626" s="108" t="s">
        <v>2070</v>
      </c>
      <c r="D626" s="109">
        <v>45735</v>
      </c>
      <c r="E626" s="110">
        <v>205000</v>
      </c>
      <c r="F626" s="108" t="s">
        <v>32</v>
      </c>
      <c r="G626" s="108" t="s">
        <v>33</v>
      </c>
      <c r="H626" s="110">
        <v>205000</v>
      </c>
      <c r="I626" s="110">
        <v>98200</v>
      </c>
      <c r="J626" s="111">
        <f t="shared" si="64"/>
        <v>47.90243902439024</v>
      </c>
      <c r="K626" s="110">
        <v>205123</v>
      </c>
      <c r="L626" s="110">
        <f>H626-189058</f>
        <v>15942</v>
      </c>
      <c r="M626" s="110">
        <v>16065</v>
      </c>
      <c r="N626" s="112">
        <f t="shared" si="65"/>
        <v>7.8365853658536586E-2</v>
      </c>
      <c r="O626" s="113">
        <v>79.13</v>
      </c>
      <c r="P626" s="114">
        <v>105</v>
      </c>
      <c r="Q626" s="115">
        <v>0.19500000000000001</v>
      </c>
      <c r="R626" s="115">
        <v>0.19500000000000001</v>
      </c>
      <c r="S626" s="110">
        <f t="shared" si="66"/>
        <v>201.46594212056112</v>
      </c>
      <c r="T626" s="110">
        <f t="shared" si="67"/>
        <v>81753.846153846156</v>
      </c>
      <c r="U626" s="116">
        <f t="shared" si="68"/>
        <v>1.8768100586282406</v>
      </c>
      <c r="V626" s="115">
        <v>81</v>
      </c>
      <c r="W626" s="115">
        <f t="shared" si="69"/>
        <v>41000</v>
      </c>
      <c r="X626" s="115">
        <f t="shared" si="70"/>
        <v>506.17283950617286</v>
      </c>
      <c r="Y626" s="117" t="s">
        <v>2038</v>
      </c>
      <c r="Z626" s="108" t="s">
        <v>35</v>
      </c>
      <c r="AA626" s="108" t="s">
        <v>35</v>
      </c>
      <c r="AB626" s="108" t="s">
        <v>2033</v>
      </c>
      <c r="AC626" s="108">
        <v>0</v>
      </c>
      <c r="AD626" s="108">
        <v>1</v>
      </c>
      <c r="AE626" s="108" t="s">
        <v>42</v>
      </c>
      <c r="AF626" s="108" t="s">
        <v>35</v>
      </c>
      <c r="AG626" s="108" t="s">
        <v>38</v>
      </c>
      <c r="AH626" s="108" t="s">
        <v>92</v>
      </c>
    </row>
    <row r="627" spans="1:34" x14ac:dyDescent="0.3">
      <c r="A627" s="107" t="s">
        <v>2033</v>
      </c>
      <c r="B627" s="108" t="s">
        <v>2067</v>
      </c>
      <c r="C627" s="108" t="s">
        <v>2068</v>
      </c>
      <c r="D627" s="109">
        <v>45434</v>
      </c>
      <c r="E627" s="110">
        <v>220000</v>
      </c>
      <c r="F627" s="108" t="s">
        <v>32</v>
      </c>
      <c r="G627" s="108" t="s">
        <v>33</v>
      </c>
      <c r="H627" s="110">
        <v>220000</v>
      </c>
      <c r="I627" s="110">
        <v>98100</v>
      </c>
      <c r="J627" s="111">
        <f t="shared" si="64"/>
        <v>44.590909090909093</v>
      </c>
      <c r="K627" s="110">
        <v>204904</v>
      </c>
      <c r="L627" s="110">
        <f>H627-188839</f>
        <v>31161</v>
      </c>
      <c r="M627" s="110">
        <v>16065</v>
      </c>
      <c r="N627" s="112">
        <f t="shared" si="65"/>
        <v>7.3022727272727267E-2</v>
      </c>
      <c r="O627" s="113">
        <v>79.13</v>
      </c>
      <c r="P627" s="114">
        <v>105</v>
      </c>
      <c r="Q627" s="115">
        <v>0.19500000000000001</v>
      </c>
      <c r="R627" s="115">
        <v>0.19500000000000001</v>
      </c>
      <c r="S627" s="110">
        <f t="shared" si="66"/>
        <v>393.79502085176296</v>
      </c>
      <c r="T627" s="110">
        <f t="shared" si="67"/>
        <v>159800</v>
      </c>
      <c r="U627" s="116">
        <f t="shared" si="68"/>
        <v>3.6685032139577594</v>
      </c>
      <c r="V627" s="115">
        <v>81</v>
      </c>
      <c r="W627" s="115">
        <f t="shared" si="69"/>
        <v>44000</v>
      </c>
      <c r="X627" s="115">
        <f t="shared" si="70"/>
        <v>543.20987654320993</v>
      </c>
      <c r="Y627" s="117" t="s">
        <v>2038</v>
      </c>
      <c r="Z627" s="108" t="s">
        <v>35</v>
      </c>
      <c r="AA627" s="108" t="s">
        <v>35</v>
      </c>
      <c r="AB627" s="108" t="s">
        <v>2033</v>
      </c>
      <c r="AC627" s="108">
        <v>0</v>
      </c>
      <c r="AD627" s="108">
        <v>1</v>
      </c>
      <c r="AE627" s="108" t="s">
        <v>42</v>
      </c>
      <c r="AF627" s="108" t="s">
        <v>43</v>
      </c>
      <c r="AG627" s="108" t="s">
        <v>38</v>
      </c>
      <c r="AH627" s="108" t="s">
        <v>92</v>
      </c>
    </row>
    <row r="628" spans="1:34" x14ac:dyDescent="0.3">
      <c r="A628" s="107" t="s">
        <v>2033</v>
      </c>
      <c r="B628" s="108" t="s">
        <v>2061</v>
      </c>
      <c r="C628" s="108" t="s">
        <v>2062</v>
      </c>
      <c r="D628" s="109">
        <v>45607</v>
      </c>
      <c r="E628" s="110">
        <v>220000</v>
      </c>
      <c r="F628" s="108" t="s">
        <v>32</v>
      </c>
      <c r="G628" s="108" t="s">
        <v>33</v>
      </c>
      <c r="H628" s="110">
        <v>220000</v>
      </c>
      <c r="I628" s="110">
        <v>106300</v>
      </c>
      <c r="J628" s="111">
        <f t="shared" si="64"/>
        <v>48.318181818181813</v>
      </c>
      <c r="K628" s="110">
        <v>224011</v>
      </c>
      <c r="L628" s="110">
        <f>H628-208069</f>
        <v>11931</v>
      </c>
      <c r="M628" s="110">
        <v>15942</v>
      </c>
      <c r="N628" s="112">
        <f t="shared" si="65"/>
        <v>7.2463636363636369E-2</v>
      </c>
      <c r="O628" s="113">
        <v>78.53</v>
      </c>
      <c r="P628" s="114">
        <v>106</v>
      </c>
      <c r="Q628" s="115">
        <v>0.19500000000000001</v>
      </c>
      <c r="R628" s="115">
        <v>0.19500000000000001</v>
      </c>
      <c r="S628" s="110">
        <f t="shared" si="66"/>
        <v>151.92919903221699</v>
      </c>
      <c r="T628" s="110">
        <f t="shared" si="67"/>
        <v>61184.615384615383</v>
      </c>
      <c r="U628" s="116">
        <f t="shared" si="68"/>
        <v>1.4046054955145864</v>
      </c>
      <c r="V628" s="115">
        <v>80</v>
      </c>
      <c r="W628" s="115">
        <f t="shared" si="69"/>
        <v>44000</v>
      </c>
      <c r="X628" s="115">
        <f t="shared" si="70"/>
        <v>550</v>
      </c>
      <c r="Y628" s="117" t="s">
        <v>2038</v>
      </c>
      <c r="Z628" s="108" t="s">
        <v>35</v>
      </c>
      <c r="AA628" s="108" t="s">
        <v>35</v>
      </c>
      <c r="AB628" s="108" t="s">
        <v>2033</v>
      </c>
      <c r="AC628" s="108">
        <v>0</v>
      </c>
      <c r="AD628" s="108">
        <v>1</v>
      </c>
      <c r="AE628" s="108" t="s">
        <v>42</v>
      </c>
      <c r="AF628" s="108" t="s">
        <v>35</v>
      </c>
      <c r="AG628" s="108" t="s">
        <v>38</v>
      </c>
      <c r="AH628" s="108" t="s">
        <v>92</v>
      </c>
    </row>
    <row r="629" spans="1:34" x14ac:dyDescent="0.3">
      <c r="A629" s="118" t="s">
        <v>2033</v>
      </c>
      <c r="B629" s="119" t="s">
        <v>2065</v>
      </c>
      <c r="C629" s="119" t="s">
        <v>2066</v>
      </c>
      <c r="D629" s="120">
        <v>45385</v>
      </c>
      <c r="E629" s="121">
        <v>226000</v>
      </c>
      <c r="F629" s="119" t="s">
        <v>32</v>
      </c>
      <c r="G629" s="119" t="s">
        <v>33</v>
      </c>
      <c r="H629" s="121">
        <v>226000</v>
      </c>
      <c r="I629" s="121">
        <v>100300</v>
      </c>
      <c r="J629" s="122">
        <f t="shared" si="64"/>
        <v>44.380530973451329</v>
      </c>
      <c r="K629" s="121">
        <v>207732</v>
      </c>
      <c r="L629" s="121">
        <f>H629-191790</f>
        <v>34210</v>
      </c>
      <c r="M629" s="121">
        <v>15942</v>
      </c>
      <c r="N629" s="123">
        <f t="shared" si="65"/>
        <v>7.0539823008849561E-2</v>
      </c>
      <c r="O629" s="124">
        <v>78.53</v>
      </c>
      <c r="P629" s="125">
        <v>106</v>
      </c>
      <c r="Q629" s="126">
        <v>0.19500000000000001</v>
      </c>
      <c r="R629" s="126">
        <v>0.19500000000000001</v>
      </c>
      <c r="S629" s="121">
        <f t="shared" si="66"/>
        <v>435.62969565771044</v>
      </c>
      <c r="T629" s="121">
        <f t="shared" si="67"/>
        <v>175435.89743589744</v>
      </c>
      <c r="U629" s="127">
        <f t="shared" si="68"/>
        <v>4.0274540274540271</v>
      </c>
      <c r="V629" s="126">
        <v>80</v>
      </c>
      <c r="W629" s="126">
        <f t="shared" si="69"/>
        <v>45200</v>
      </c>
      <c r="X629" s="126">
        <f t="shared" si="70"/>
        <v>565</v>
      </c>
      <c r="Y629" s="128" t="s">
        <v>2038</v>
      </c>
      <c r="Z629" s="119" t="s">
        <v>35</v>
      </c>
      <c r="AA629" s="119" t="s">
        <v>35</v>
      </c>
      <c r="AB629" s="119" t="s">
        <v>2033</v>
      </c>
      <c r="AC629" s="119">
        <v>0</v>
      </c>
      <c r="AD629" s="119">
        <v>1</v>
      </c>
      <c r="AE629" s="119" t="s">
        <v>42</v>
      </c>
      <c r="AF629" s="119" t="s">
        <v>43</v>
      </c>
      <c r="AG629" s="119" t="s">
        <v>38</v>
      </c>
      <c r="AH629" s="119" t="s">
        <v>92</v>
      </c>
    </row>
    <row r="630" spans="1:34" x14ac:dyDescent="0.3">
      <c r="A630" s="118" t="s">
        <v>2033</v>
      </c>
      <c r="B630" s="119" t="s">
        <v>2057</v>
      </c>
      <c r="C630" s="119" t="s">
        <v>2058</v>
      </c>
      <c r="D630" s="120">
        <v>45527</v>
      </c>
      <c r="E630" s="121">
        <v>230000</v>
      </c>
      <c r="F630" s="119" t="s">
        <v>32</v>
      </c>
      <c r="G630" s="119" t="s">
        <v>33</v>
      </c>
      <c r="H630" s="121">
        <v>230000</v>
      </c>
      <c r="I630" s="121">
        <v>100300</v>
      </c>
      <c r="J630" s="122">
        <f t="shared" si="64"/>
        <v>43.608695652173914</v>
      </c>
      <c r="K630" s="121">
        <v>207503</v>
      </c>
      <c r="L630" s="121">
        <f>H630-191561</f>
        <v>38439</v>
      </c>
      <c r="M630" s="121">
        <v>15942</v>
      </c>
      <c r="N630" s="123">
        <f t="shared" si="65"/>
        <v>6.9313043478260866E-2</v>
      </c>
      <c r="O630" s="124">
        <v>78.53</v>
      </c>
      <c r="P630" s="125">
        <v>106</v>
      </c>
      <c r="Q630" s="126">
        <v>0.19500000000000001</v>
      </c>
      <c r="R630" s="126">
        <v>0.19500000000000001</v>
      </c>
      <c r="S630" s="121">
        <f t="shared" si="66"/>
        <v>489.48172672863871</v>
      </c>
      <c r="T630" s="121">
        <f t="shared" si="67"/>
        <v>197123.07692307691</v>
      </c>
      <c r="U630" s="127">
        <f t="shared" si="68"/>
        <v>4.5253231616867975</v>
      </c>
      <c r="V630" s="126">
        <v>80</v>
      </c>
      <c r="W630" s="126">
        <f t="shared" si="69"/>
        <v>46000</v>
      </c>
      <c r="X630" s="126">
        <f t="shared" si="70"/>
        <v>575</v>
      </c>
      <c r="Y630" s="128" t="s">
        <v>2038</v>
      </c>
      <c r="Z630" s="119" t="s">
        <v>35</v>
      </c>
      <c r="AA630" s="119" t="s">
        <v>35</v>
      </c>
      <c r="AB630" s="119" t="s">
        <v>2033</v>
      </c>
      <c r="AC630" s="119">
        <v>0</v>
      </c>
      <c r="AD630" s="119">
        <v>1</v>
      </c>
      <c r="AE630" s="119" t="s">
        <v>42</v>
      </c>
      <c r="AF630" s="119" t="s">
        <v>43</v>
      </c>
      <c r="AG630" s="119" t="s">
        <v>38</v>
      </c>
      <c r="AH630" s="119" t="s">
        <v>92</v>
      </c>
    </row>
    <row r="631" spans="1:34" x14ac:dyDescent="0.3">
      <c r="A631" s="107" t="s">
        <v>2033</v>
      </c>
      <c r="B631" s="108" t="s">
        <v>2063</v>
      </c>
      <c r="C631" s="108" t="s">
        <v>2064</v>
      </c>
      <c r="D631" s="109">
        <v>45559</v>
      </c>
      <c r="E631" s="110">
        <v>240000</v>
      </c>
      <c r="F631" s="108" t="s">
        <v>32</v>
      </c>
      <c r="G631" s="108" t="s">
        <v>33</v>
      </c>
      <c r="H631" s="110">
        <v>240000</v>
      </c>
      <c r="I631" s="110">
        <v>119200</v>
      </c>
      <c r="J631" s="111">
        <f t="shared" si="64"/>
        <v>49.666666666666664</v>
      </c>
      <c r="K631" s="110">
        <v>250214</v>
      </c>
      <c r="L631" s="110">
        <f>H631-234272</f>
        <v>5728</v>
      </c>
      <c r="M631" s="110">
        <v>15942</v>
      </c>
      <c r="N631" s="112">
        <f t="shared" si="65"/>
        <v>6.6424999999999998E-2</v>
      </c>
      <c r="O631" s="113">
        <v>78.53</v>
      </c>
      <c r="P631" s="114">
        <v>106</v>
      </c>
      <c r="Q631" s="115">
        <v>0.19500000000000001</v>
      </c>
      <c r="R631" s="115">
        <v>0.19500000000000001</v>
      </c>
      <c r="S631" s="110">
        <f t="shared" si="66"/>
        <v>72.940277600916843</v>
      </c>
      <c r="T631" s="110">
        <f t="shared" si="67"/>
        <v>29374.358974358973</v>
      </c>
      <c r="U631" s="116">
        <f t="shared" si="68"/>
        <v>0.67434249252431067</v>
      </c>
      <c r="V631" s="115">
        <v>80</v>
      </c>
      <c r="W631" s="115">
        <f t="shared" si="69"/>
        <v>48000</v>
      </c>
      <c r="X631" s="115">
        <f t="shared" si="70"/>
        <v>600</v>
      </c>
      <c r="Y631" s="117" t="s">
        <v>2038</v>
      </c>
      <c r="Z631" s="108" t="s">
        <v>35</v>
      </c>
      <c r="AA631" s="108" t="s">
        <v>35</v>
      </c>
      <c r="AB631" s="108" t="s">
        <v>2033</v>
      </c>
      <c r="AC631" s="108">
        <v>0</v>
      </c>
      <c r="AD631" s="108">
        <v>1</v>
      </c>
      <c r="AE631" s="108" t="s">
        <v>42</v>
      </c>
      <c r="AF631" s="108" t="s">
        <v>43</v>
      </c>
      <c r="AG631" s="108" t="s">
        <v>38</v>
      </c>
      <c r="AH631" s="108" t="s">
        <v>92</v>
      </c>
    </row>
    <row r="632" spans="1:34" x14ac:dyDescent="0.3">
      <c r="A632" s="118" t="s">
        <v>2033</v>
      </c>
      <c r="B632" s="119" t="s">
        <v>2059</v>
      </c>
      <c r="C632" s="119" t="s">
        <v>2060</v>
      </c>
      <c r="D632" s="120">
        <v>45531</v>
      </c>
      <c r="E632" s="121">
        <v>245000</v>
      </c>
      <c r="F632" s="119" t="s">
        <v>32</v>
      </c>
      <c r="G632" s="119" t="s">
        <v>33</v>
      </c>
      <c r="H632" s="121">
        <v>245000</v>
      </c>
      <c r="I632" s="121">
        <v>102500</v>
      </c>
      <c r="J632" s="122">
        <f t="shared" si="64"/>
        <v>41.836734693877553</v>
      </c>
      <c r="K632" s="121">
        <v>211908</v>
      </c>
      <c r="L632" s="121">
        <f>H632-195748</f>
        <v>49252</v>
      </c>
      <c r="M632" s="121">
        <v>16160</v>
      </c>
      <c r="N632" s="123">
        <f t="shared" si="65"/>
        <v>6.5959183673469382E-2</v>
      </c>
      <c r="O632" s="124">
        <v>79.599999999999994</v>
      </c>
      <c r="P632" s="125">
        <v>106.03</v>
      </c>
      <c r="Q632" s="126">
        <v>0.19900000000000001</v>
      </c>
      <c r="R632" s="126">
        <v>0.19900000000000001</v>
      </c>
      <c r="S632" s="121">
        <f t="shared" si="66"/>
        <v>618.74371859296491</v>
      </c>
      <c r="T632" s="121">
        <f t="shared" si="67"/>
        <v>247497.48743718592</v>
      </c>
      <c r="U632" s="127">
        <f t="shared" si="68"/>
        <v>5.6817605013128079</v>
      </c>
      <c r="V632" s="126">
        <v>80</v>
      </c>
      <c r="W632" s="126">
        <f t="shared" si="69"/>
        <v>49000</v>
      </c>
      <c r="X632" s="126">
        <f t="shared" si="70"/>
        <v>612.5</v>
      </c>
      <c r="Y632" s="128" t="s">
        <v>2038</v>
      </c>
      <c r="Z632" s="119" t="s">
        <v>35</v>
      </c>
      <c r="AA632" s="119" t="s">
        <v>35</v>
      </c>
      <c r="AB632" s="119" t="s">
        <v>2033</v>
      </c>
      <c r="AC632" s="119">
        <v>0</v>
      </c>
      <c r="AD632" s="119">
        <v>1</v>
      </c>
      <c r="AE632" s="119" t="s">
        <v>42</v>
      </c>
      <c r="AF632" s="119" t="s">
        <v>43</v>
      </c>
      <c r="AG632" s="119" t="s">
        <v>38</v>
      </c>
      <c r="AH632" s="119" t="s">
        <v>92</v>
      </c>
    </row>
    <row r="633" spans="1:34" x14ac:dyDescent="0.3">
      <c r="A633" s="107" t="s">
        <v>2033</v>
      </c>
      <c r="B633" s="108" t="s">
        <v>2055</v>
      </c>
      <c r="C633" s="108" t="s">
        <v>2056</v>
      </c>
      <c r="D633" s="109">
        <v>45653</v>
      </c>
      <c r="E633" s="110">
        <v>265000</v>
      </c>
      <c r="F633" s="108" t="s">
        <v>32</v>
      </c>
      <c r="G633" s="108" t="s">
        <v>33</v>
      </c>
      <c r="H633" s="110">
        <v>265000</v>
      </c>
      <c r="I633" s="110">
        <v>108700</v>
      </c>
      <c r="J633" s="111">
        <f t="shared" si="64"/>
        <v>41.018867924528301</v>
      </c>
      <c r="K633" s="110">
        <v>227571</v>
      </c>
      <c r="L633" s="110">
        <f>H633-210802</f>
        <v>54198</v>
      </c>
      <c r="M633" s="110">
        <v>16769</v>
      </c>
      <c r="N633" s="112">
        <f t="shared" si="65"/>
        <v>6.327924528301887E-2</v>
      </c>
      <c r="O633" s="113">
        <v>82.6</v>
      </c>
      <c r="P633" s="114">
        <v>101</v>
      </c>
      <c r="Q633" s="115">
        <v>0.20100000000000001</v>
      </c>
      <c r="R633" s="115">
        <v>0.20100000000000001</v>
      </c>
      <c r="S633" s="110">
        <f t="shared" si="66"/>
        <v>656.1501210653754</v>
      </c>
      <c r="T633" s="110">
        <f t="shared" si="67"/>
        <v>269641.7910447761</v>
      </c>
      <c r="U633" s="116">
        <f t="shared" si="68"/>
        <v>6.1901237613584961</v>
      </c>
      <c r="V633" s="115">
        <v>85.14</v>
      </c>
      <c r="W633" s="115">
        <f t="shared" si="69"/>
        <v>53000</v>
      </c>
      <c r="X633" s="115">
        <f t="shared" si="70"/>
        <v>622.50411087620387</v>
      </c>
      <c r="Y633" s="117" t="s">
        <v>2038</v>
      </c>
      <c r="Z633" s="108" t="s">
        <v>35</v>
      </c>
      <c r="AA633" s="108" t="s">
        <v>35</v>
      </c>
      <c r="AB633" s="108" t="s">
        <v>2033</v>
      </c>
      <c r="AC633" s="108">
        <v>0</v>
      </c>
      <c r="AD633" s="108">
        <v>1</v>
      </c>
      <c r="AE633" s="108" t="s">
        <v>205</v>
      </c>
      <c r="AF633" s="108" t="s">
        <v>35</v>
      </c>
      <c r="AG633" s="108" t="s">
        <v>38</v>
      </c>
      <c r="AH633" s="108" t="s">
        <v>92</v>
      </c>
    </row>
    <row r="634" spans="1:34" x14ac:dyDescent="0.3">
      <c r="A634" s="107" t="s">
        <v>2033</v>
      </c>
      <c r="B634" s="108" t="s">
        <v>2047</v>
      </c>
      <c r="C634" s="108" t="s">
        <v>2048</v>
      </c>
      <c r="D634" s="109">
        <v>45335</v>
      </c>
      <c r="E634" s="110">
        <v>270000</v>
      </c>
      <c r="F634" s="108" t="s">
        <v>32</v>
      </c>
      <c r="G634" s="108" t="s">
        <v>33</v>
      </c>
      <c r="H634" s="110">
        <v>270000</v>
      </c>
      <c r="I634" s="110">
        <v>132500</v>
      </c>
      <c r="J634" s="111">
        <f t="shared" si="64"/>
        <v>49.074074074074076</v>
      </c>
      <c r="K634" s="110">
        <v>331600</v>
      </c>
      <c r="L634" s="110">
        <f>H634-314321</f>
        <v>-44321</v>
      </c>
      <c r="M634" s="110">
        <v>17279</v>
      </c>
      <c r="N634" s="112">
        <f t="shared" si="65"/>
        <v>6.3996296296296301E-2</v>
      </c>
      <c r="O634" s="113">
        <v>85.11</v>
      </c>
      <c r="P634" s="114">
        <v>124.52</v>
      </c>
      <c r="Q634" s="115">
        <v>0.22900000000000001</v>
      </c>
      <c r="R634" s="115">
        <v>0.22900000000000001</v>
      </c>
      <c r="S634" s="110">
        <f t="shared" si="66"/>
        <v>-520.74961814122901</v>
      </c>
      <c r="T634" s="110">
        <f t="shared" si="67"/>
        <v>-193541.4847161572</v>
      </c>
      <c r="U634" s="116">
        <f t="shared" si="68"/>
        <v>-4.4431011183690821</v>
      </c>
      <c r="V634" s="115">
        <v>80</v>
      </c>
      <c r="W634" s="115">
        <f t="shared" si="69"/>
        <v>54000</v>
      </c>
      <c r="X634" s="115">
        <f t="shared" si="70"/>
        <v>675</v>
      </c>
      <c r="Y634" s="117" t="s">
        <v>2038</v>
      </c>
      <c r="Z634" s="108" t="s">
        <v>35</v>
      </c>
      <c r="AA634" s="108" t="s">
        <v>35</v>
      </c>
      <c r="AB634" s="108" t="s">
        <v>2033</v>
      </c>
      <c r="AC634" s="108">
        <v>0</v>
      </c>
      <c r="AD634" s="108">
        <v>1</v>
      </c>
      <c r="AE634" s="108" t="s">
        <v>37</v>
      </c>
      <c r="AF634" s="108" t="s">
        <v>43</v>
      </c>
      <c r="AG634" s="108" t="s">
        <v>38</v>
      </c>
      <c r="AH634" s="108" t="s">
        <v>92</v>
      </c>
    </row>
    <row r="635" spans="1:34" x14ac:dyDescent="0.3">
      <c r="A635" s="107" t="s">
        <v>2033</v>
      </c>
      <c r="B635" s="108" t="s">
        <v>2053</v>
      </c>
      <c r="C635" s="108" t="s">
        <v>2054</v>
      </c>
      <c r="D635" s="109">
        <v>45601</v>
      </c>
      <c r="E635" s="110">
        <v>275000</v>
      </c>
      <c r="F635" s="108" t="s">
        <v>32</v>
      </c>
      <c r="G635" s="108" t="s">
        <v>33</v>
      </c>
      <c r="H635" s="110">
        <v>275000</v>
      </c>
      <c r="I635" s="110">
        <v>103500</v>
      </c>
      <c r="J635" s="111">
        <f t="shared" si="64"/>
        <v>37.636363636363633</v>
      </c>
      <c r="K635" s="110">
        <v>212402</v>
      </c>
      <c r="L635" s="110">
        <f>H635-196535</f>
        <v>78465</v>
      </c>
      <c r="M635" s="110">
        <v>15867</v>
      </c>
      <c r="N635" s="112">
        <f t="shared" si="65"/>
        <v>5.7698181818181815E-2</v>
      </c>
      <c r="O635" s="113">
        <v>78.16</v>
      </c>
      <c r="P635" s="114">
        <v>105</v>
      </c>
      <c r="Q635" s="115">
        <v>0.193</v>
      </c>
      <c r="R635" s="115">
        <v>0.193</v>
      </c>
      <c r="S635" s="110">
        <f t="shared" si="66"/>
        <v>1003.9022517911976</v>
      </c>
      <c r="T635" s="110">
        <f t="shared" si="67"/>
        <v>406554.40414507769</v>
      </c>
      <c r="U635" s="116">
        <f t="shared" si="68"/>
        <v>9.3332048701808468</v>
      </c>
      <c r="V635" s="115">
        <v>80</v>
      </c>
      <c r="W635" s="115">
        <f t="shared" si="69"/>
        <v>55000</v>
      </c>
      <c r="X635" s="115">
        <f t="shared" si="70"/>
        <v>687.5</v>
      </c>
      <c r="Y635" s="117" t="s">
        <v>2038</v>
      </c>
      <c r="Z635" s="108" t="s">
        <v>35</v>
      </c>
      <c r="AA635" s="108" t="s">
        <v>35</v>
      </c>
      <c r="AB635" s="108" t="s">
        <v>2033</v>
      </c>
      <c r="AC635" s="108">
        <v>0</v>
      </c>
      <c r="AD635" s="108">
        <v>1</v>
      </c>
      <c r="AE635" s="108" t="s">
        <v>1968</v>
      </c>
      <c r="AF635" s="108" t="s">
        <v>35</v>
      </c>
      <c r="AG635" s="108" t="s">
        <v>38</v>
      </c>
      <c r="AH635" s="108" t="s">
        <v>92</v>
      </c>
    </row>
    <row r="636" spans="1:34" x14ac:dyDescent="0.3">
      <c r="A636" s="107" t="s">
        <v>2033</v>
      </c>
      <c r="B636" s="108" t="s">
        <v>2045</v>
      </c>
      <c r="C636" s="108" t="s">
        <v>2046</v>
      </c>
      <c r="D636" s="109">
        <v>45579</v>
      </c>
      <c r="E636" s="110">
        <v>231000</v>
      </c>
      <c r="F636" s="108" t="s">
        <v>32</v>
      </c>
      <c r="G636" s="108" t="s">
        <v>33</v>
      </c>
      <c r="H636" s="110">
        <v>231000</v>
      </c>
      <c r="I636" s="110">
        <v>94700</v>
      </c>
      <c r="J636" s="111">
        <f t="shared" si="64"/>
        <v>40.995670995670999</v>
      </c>
      <c r="K636" s="110">
        <v>195270</v>
      </c>
      <c r="L636" s="110">
        <f>H636-181008</f>
        <v>49992</v>
      </c>
      <c r="M636" s="110">
        <v>14262</v>
      </c>
      <c r="N636" s="112">
        <f t="shared" si="65"/>
        <v>6.1740259740259741E-2</v>
      </c>
      <c r="O636" s="113">
        <v>70.25</v>
      </c>
      <c r="P636" s="114">
        <v>105.48</v>
      </c>
      <c r="Q636" s="115">
        <v>0.17899999999999999</v>
      </c>
      <c r="R636" s="115">
        <v>0.17899999999999999</v>
      </c>
      <c r="S636" s="110">
        <f t="shared" si="66"/>
        <v>711.62989323843419</v>
      </c>
      <c r="T636" s="110">
        <f t="shared" si="67"/>
        <v>279284.91620111733</v>
      </c>
      <c r="U636" s="116">
        <f t="shared" si="68"/>
        <v>6.4114994536528309</v>
      </c>
      <c r="V636" s="115">
        <v>67.06</v>
      </c>
      <c r="W636" s="115">
        <f t="shared" si="69"/>
        <v>46200</v>
      </c>
      <c r="X636" s="115">
        <f t="shared" si="70"/>
        <v>688.93528183716069</v>
      </c>
      <c r="Y636" s="117" t="s">
        <v>2038</v>
      </c>
      <c r="Z636" s="108" t="s">
        <v>35</v>
      </c>
      <c r="AA636" s="108" t="s">
        <v>35</v>
      </c>
      <c r="AB636" s="108" t="s">
        <v>2033</v>
      </c>
      <c r="AC636" s="108">
        <v>0</v>
      </c>
      <c r="AD636" s="108">
        <v>1</v>
      </c>
      <c r="AE636" s="108" t="s">
        <v>42</v>
      </c>
      <c r="AF636" s="108" t="s">
        <v>35</v>
      </c>
      <c r="AG636" s="108" t="s">
        <v>38</v>
      </c>
      <c r="AH636" s="108" t="s">
        <v>92</v>
      </c>
    </row>
    <row r="637" spans="1:34" x14ac:dyDescent="0.3">
      <c r="A637" s="107" t="s">
        <v>2033</v>
      </c>
      <c r="B637" s="108" t="s">
        <v>2036</v>
      </c>
      <c r="C637" s="108" t="s">
        <v>2037</v>
      </c>
      <c r="D637" s="109">
        <v>45520</v>
      </c>
      <c r="E637" s="110">
        <v>215000</v>
      </c>
      <c r="F637" s="108" t="s">
        <v>32</v>
      </c>
      <c r="G637" s="108" t="s">
        <v>33</v>
      </c>
      <c r="H637" s="110">
        <v>215000</v>
      </c>
      <c r="I637" s="110">
        <v>99100</v>
      </c>
      <c r="J637" s="111">
        <f t="shared" si="64"/>
        <v>46.093023255813954</v>
      </c>
      <c r="K637" s="110">
        <v>204572</v>
      </c>
      <c r="L637" s="110">
        <f>H637-191821</f>
        <v>23179</v>
      </c>
      <c r="M637" s="110">
        <v>12751</v>
      </c>
      <c r="N637" s="112">
        <f t="shared" si="65"/>
        <v>5.9306976744186043E-2</v>
      </c>
      <c r="O637" s="113">
        <v>62.81</v>
      </c>
      <c r="P637" s="114">
        <v>120.55</v>
      </c>
      <c r="Q637" s="115">
        <v>0.16600000000000001</v>
      </c>
      <c r="R637" s="115">
        <v>0.16600000000000001</v>
      </c>
      <c r="S637" s="110">
        <f t="shared" si="66"/>
        <v>369.03359337685083</v>
      </c>
      <c r="T637" s="110">
        <f t="shared" si="67"/>
        <v>139632.53012048191</v>
      </c>
      <c r="U637" s="116">
        <f t="shared" si="68"/>
        <v>3.205521811764966</v>
      </c>
      <c r="V637" s="115">
        <v>60</v>
      </c>
      <c r="W637" s="115">
        <f t="shared" si="69"/>
        <v>43000</v>
      </c>
      <c r="X637" s="115">
        <f t="shared" si="70"/>
        <v>716.66666666666663</v>
      </c>
      <c r="Y637" s="117" t="s">
        <v>2038</v>
      </c>
      <c r="Z637" s="108" t="s">
        <v>35</v>
      </c>
      <c r="AA637" s="108" t="s">
        <v>35</v>
      </c>
      <c r="AB637" s="108" t="s">
        <v>2033</v>
      </c>
      <c r="AC637" s="108">
        <v>0</v>
      </c>
      <c r="AD637" s="108">
        <v>1</v>
      </c>
      <c r="AE637" s="108" t="s">
        <v>42</v>
      </c>
      <c r="AF637" s="108" t="s">
        <v>43</v>
      </c>
      <c r="AG637" s="108" t="s">
        <v>38</v>
      </c>
      <c r="AH637" s="108" t="s">
        <v>92</v>
      </c>
    </row>
    <row r="638" spans="1:34" x14ac:dyDescent="0.3">
      <c r="A638" s="107" t="s">
        <v>2033</v>
      </c>
      <c r="B638" s="108" t="s">
        <v>2039</v>
      </c>
      <c r="C638" s="108" t="s">
        <v>2040</v>
      </c>
      <c r="D638" s="109">
        <v>45527</v>
      </c>
      <c r="E638" s="110">
        <v>255000</v>
      </c>
      <c r="F638" s="108" t="s">
        <v>32</v>
      </c>
      <c r="G638" s="108" t="s">
        <v>33</v>
      </c>
      <c r="H638" s="110">
        <v>255000</v>
      </c>
      <c r="I638" s="110">
        <v>93900</v>
      </c>
      <c r="J638" s="111">
        <f t="shared" si="64"/>
        <v>36.823529411764703</v>
      </c>
      <c r="K638" s="110">
        <v>196131</v>
      </c>
      <c r="L638" s="110">
        <f>H638-182349</f>
        <v>72651</v>
      </c>
      <c r="M638" s="110">
        <v>13782</v>
      </c>
      <c r="N638" s="112">
        <f t="shared" si="65"/>
        <v>5.4047058823529413E-2</v>
      </c>
      <c r="O638" s="113">
        <v>67.89</v>
      </c>
      <c r="P638" s="114">
        <v>120</v>
      </c>
      <c r="Q638" s="115">
        <v>0.17899999999999999</v>
      </c>
      <c r="R638" s="115">
        <v>0.17899999999999999</v>
      </c>
      <c r="S638" s="110">
        <f t="shared" si="66"/>
        <v>1070.128148475475</v>
      </c>
      <c r="T638" s="110">
        <f t="shared" si="67"/>
        <v>405871.50837988831</v>
      </c>
      <c r="U638" s="116">
        <f t="shared" si="68"/>
        <v>9.3175277405851311</v>
      </c>
      <c r="V638" s="115">
        <v>65</v>
      </c>
      <c r="W638" s="115">
        <f t="shared" si="69"/>
        <v>51000</v>
      </c>
      <c r="X638" s="115">
        <f t="shared" si="70"/>
        <v>784.61538461538464</v>
      </c>
      <c r="Y638" s="117" t="s">
        <v>2038</v>
      </c>
      <c r="Z638" s="108" t="s">
        <v>35</v>
      </c>
      <c r="AA638" s="108" t="s">
        <v>35</v>
      </c>
      <c r="AB638" s="108" t="s">
        <v>2033</v>
      </c>
      <c r="AC638" s="108">
        <v>0</v>
      </c>
      <c r="AD638" s="108">
        <v>1</v>
      </c>
      <c r="AE638" s="108" t="s">
        <v>42</v>
      </c>
      <c r="AF638" s="108" t="s">
        <v>43</v>
      </c>
      <c r="AG638" s="108" t="s">
        <v>38</v>
      </c>
      <c r="AH638" s="108" t="s">
        <v>92</v>
      </c>
    </row>
    <row r="639" spans="1:34" x14ac:dyDescent="0.3">
      <c r="A639" s="118" t="s">
        <v>2033</v>
      </c>
      <c r="B639" s="119" t="s">
        <v>2041</v>
      </c>
      <c r="C639" s="119" t="s">
        <v>2042</v>
      </c>
      <c r="D639" s="120">
        <v>45446</v>
      </c>
      <c r="E639" s="121">
        <v>270000</v>
      </c>
      <c r="F639" s="119" t="s">
        <v>32</v>
      </c>
      <c r="G639" s="119" t="s">
        <v>33</v>
      </c>
      <c r="H639" s="121">
        <v>270000</v>
      </c>
      <c r="I639" s="121">
        <v>94000</v>
      </c>
      <c r="J639" s="122">
        <f t="shared" si="64"/>
        <v>34.814814814814817</v>
      </c>
      <c r="K639" s="121">
        <v>197853</v>
      </c>
      <c r="L639" s="121">
        <f>H639-184219</f>
        <v>85781</v>
      </c>
      <c r="M639" s="121">
        <v>13634</v>
      </c>
      <c r="N639" s="123">
        <f t="shared" si="65"/>
        <v>5.0496296296296296E-2</v>
      </c>
      <c r="O639" s="124">
        <v>67.16</v>
      </c>
      <c r="P639" s="125">
        <v>112</v>
      </c>
      <c r="Q639" s="126">
        <v>0.17100000000000001</v>
      </c>
      <c r="R639" s="126">
        <v>0.17100000000000001</v>
      </c>
      <c r="S639" s="121">
        <f t="shared" si="66"/>
        <v>1277.263251935676</v>
      </c>
      <c r="T639" s="121">
        <f t="shared" si="67"/>
        <v>501643.27485380112</v>
      </c>
      <c r="U639" s="127">
        <f t="shared" si="68"/>
        <v>11.516144969095526</v>
      </c>
      <c r="V639" s="126">
        <v>66.56</v>
      </c>
      <c r="W639" s="126">
        <f t="shared" si="69"/>
        <v>54000</v>
      </c>
      <c r="X639" s="126">
        <f t="shared" si="70"/>
        <v>811.29807692307691</v>
      </c>
      <c r="Y639" s="128" t="s">
        <v>2038</v>
      </c>
      <c r="Z639" s="119" t="s">
        <v>35</v>
      </c>
      <c r="AA639" s="119" t="s">
        <v>35</v>
      </c>
      <c r="AB639" s="119" t="s">
        <v>2033</v>
      </c>
      <c r="AC639" s="119">
        <v>0</v>
      </c>
      <c r="AD639" s="119">
        <v>1</v>
      </c>
      <c r="AE639" s="119" t="s">
        <v>42</v>
      </c>
      <c r="AF639" s="119" t="s">
        <v>43</v>
      </c>
      <c r="AG639" s="119" t="s">
        <v>38</v>
      </c>
      <c r="AH639" s="119" t="s">
        <v>92</v>
      </c>
    </row>
    <row r="640" spans="1:34" x14ac:dyDescent="0.3">
      <c r="A640" s="107" t="s">
        <v>2241</v>
      </c>
      <c r="B640" s="108" t="s">
        <v>2238</v>
      </c>
      <c r="C640" s="108" t="s">
        <v>2239</v>
      </c>
      <c r="D640" s="109">
        <v>45552</v>
      </c>
      <c r="E640" s="110">
        <v>85000</v>
      </c>
      <c r="F640" s="108" t="s">
        <v>81</v>
      </c>
      <c r="G640" s="108" t="s">
        <v>33</v>
      </c>
      <c r="H640" s="110">
        <v>85000</v>
      </c>
      <c r="I640" s="110">
        <v>66800</v>
      </c>
      <c r="J640" s="111">
        <f t="shared" si="64"/>
        <v>78.588235294117652</v>
      </c>
      <c r="K640" s="110">
        <v>149022</v>
      </c>
      <c r="L640" s="110">
        <f>H640-134013</f>
        <v>-49013</v>
      </c>
      <c r="M640" s="110">
        <v>15009</v>
      </c>
      <c r="N640" s="112">
        <f t="shared" si="65"/>
        <v>0.17657647058823531</v>
      </c>
      <c r="O640" s="113">
        <v>75.040000000000006</v>
      </c>
      <c r="P640" s="114">
        <v>110</v>
      </c>
      <c r="Q640" s="115">
        <v>0.20200000000000001</v>
      </c>
      <c r="R640" s="115">
        <v>0.20200000000000001</v>
      </c>
      <c r="S640" s="110">
        <f t="shared" si="66"/>
        <v>-653.1583155650319</v>
      </c>
      <c r="T640" s="110">
        <f t="shared" si="67"/>
        <v>-242638.61386138611</v>
      </c>
      <c r="U640" s="116">
        <f t="shared" si="68"/>
        <v>-5.5702161125203427</v>
      </c>
      <c r="V640" s="115">
        <v>80</v>
      </c>
      <c r="W640" s="115">
        <f t="shared" si="69"/>
        <v>17000</v>
      </c>
      <c r="X640" s="115">
        <f t="shared" si="70"/>
        <v>212.5</v>
      </c>
      <c r="Y640" s="117" t="s">
        <v>2240</v>
      </c>
      <c r="Z640" s="108" t="s">
        <v>35</v>
      </c>
      <c r="AA640" s="108" t="s">
        <v>35</v>
      </c>
      <c r="AB640" s="108" t="s">
        <v>2241</v>
      </c>
      <c r="AC640" s="108">
        <v>0</v>
      </c>
      <c r="AD640" s="108">
        <v>1</v>
      </c>
      <c r="AE640" s="108" t="s">
        <v>42</v>
      </c>
      <c r="AF640" s="108" t="s">
        <v>35</v>
      </c>
      <c r="AG640" s="108" t="s">
        <v>38</v>
      </c>
      <c r="AH640" s="108" t="s">
        <v>92</v>
      </c>
    </row>
    <row r="641" spans="1:34" x14ac:dyDescent="0.3">
      <c r="A641" s="118" t="s">
        <v>2241</v>
      </c>
      <c r="B641" s="119" t="s">
        <v>2244</v>
      </c>
      <c r="C641" s="119" t="s">
        <v>2245</v>
      </c>
      <c r="D641" s="120">
        <v>45212</v>
      </c>
      <c r="E641" s="121">
        <v>200000</v>
      </c>
      <c r="F641" s="119" t="s">
        <v>32</v>
      </c>
      <c r="G641" s="119" t="s">
        <v>33</v>
      </c>
      <c r="H641" s="121">
        <v>200000</v>
      </c>
      <c r="I641" s="121">
        <v>38000</v>
      </c>
      <c r="J641" s="122">
        <f t="shared" si="64"/>
        <v>19</v>
      </c>
      <c r="K641" s="121">
        <v>187739</v>
      </c>
      <c r="L641" s="121">
        <f>H641-164258</f>
        <v>35742</v>
      </c>
      <c r="M641" s="121">
        <v>23481</v>
      </c>
      <c r="N641" s="123">
        <f t="shared" si="65"/>
        <v>0.117405</v>
      </c>
      <c r="O641" s="124">
        <v>117.4</v>
      </c>
      <c r="P641" s="125">
        <v>163.83000000000001</v>
      </c>
      <c r="Q641" s="126">
        <v>0.29499999999999998</v>
      </c>
      <c r="R641" s="126">
        <v>0.29499999999999998</v>
      </c>
      <c r="S641" s="121">
        <f t="shared" si="66"/>
        <v>304.44633730834749</v>
      </c>
      <c r="T641" s="121">
        <f t="shared" si="67"/>
        <v>121159.32203389831</v>
      </c>
      <c r="U641" s="127">
        <f t="shared" si="68"/>
        <v>2.7814353083998693</v>
      </c>
      <c r="V641" s="126">
        <v>150.69999999999999</v>
      </c>
      <c r="W641" s="126">
        <f t="shared" si="69"/>
        <v>40000</v>
      </c>
      <c r="X641" s="126">
        <f t="shared" si="70"/>
        <v>265.42800265428002</v>
      </c>
      <c r="Y641" s="128" t="s">
        <v>2240</v>
      </c>
      <c r="Z641" s="119" t="s">
        <v>35</v>
      </c>
      <c r="AA641" s="119" t="s">
        <v>35</v>
      </c>
      <c r="AB641" s="119" t="s">
        <v>2241</v>
      </c>
      <c r="AC641" s="119">
        <v>0</v>
      </c>
      <c r="AD641" s="119">
        <v>1</v>
      </c>
      <c r="AE641" s="119" t="s">
        <v>1099</v>
      </c>
      <c r="AF641" s="119" t="s">
        <v>43</v>
      </c>
      <c r="AG641" s="119" t="s">
        <v>38</v>
      </c>
      <c r="AH641" s="119" t="s">
        <v>92</v>
      </c>
    </row>
    <row r="642" spans="1:34" x14ac:dyDescent="0.3">
      <c r="A642" s="107" t="s">
        <v>2241</v>
      </c>
      <c r="B642" s="108" t="s">
        <v>2242</v>
      </c>
      <c r="C642" s="108" t="s">
        <v>2243</v>
      </c>
      <c r="D642" s="109">
        <v>45666</v>
      </c>
      <c r="E642" s="110">
        <v>220000</v>
      </c>
      <c r="F642" s="108" t="s">
        <v>32</v>
      </c>
      <c r="G642" s="108" t="s">
        <v>33</v>
      </c>
      <c r="H642" s="110">
        <v>220000</v>
      </c>
      <c r="I642" s="110">
        <v>113900</v>
      </c>
      <c r="J642" s="111">
        <f t="shared" ref="J642:J705" si="71">I642/H642*100</f>
        <v>51.772727272727273</v>
      </c>
      <c r="K642" s="110">
        <v>246173</v>
      </c>
      <c r="L642" s="110">
        <f>H642-237113</f>
        <v>-17113</v>
      </c>
      <c r="M642" s="110">
        <v>9060</v>
      </c>
      <c r="N642" s="112">
        <f t="shared" ref="N642:N705" si="72">M642/E642</f>
        <v>4.1181818181818181E-2</v>
      </c>
      <c r="O642" s="113">
        <v>45.3</v>
      </c>
      <c r="P642" s="114">
        <v>110</v>
      </c>
      <c r="Q642" s="115">
        <v>0.12</v>
      </c>
      <c r="R642" s="115">
        <v>0.12</v>
      </c>
      <c r="S642" s="110">
        <f t="shared" ref="S642:S705" si="73">L642/O642</f>
        <v>-377.77041942604859</v>
      </c>
      <c r="T642" s="110">
        <f t="shared" ref="T642:T705" si="74">L642/Q642</f>
        <v>-142608.33333333334</v>
      </c>
      <c r="U642" s="116">
        <f t="shared" ref="U642:U705" si="75">L642/Q642/43560</f>
        <v>-3.2738368533823081</v>
      </c>
      <c r="V642" s="115">
        <v>50</v>
      </c>
      <c r="W642" s="115">
        <f t="shared" ref="W642:W705" si="76">0.2*E642</f>
        <v>44000</v>
      </c>
      <c r="X642" s="115">
        <f t="shared" si="70"/>
        <v>880</v>
      </c>
      <c r="Y642" s="117" t="s">
        <v>2240</v>
      </c>
      <c r="Z642" s="108" t="s">
        <v>35</v>
      </c>
      <c r="AA642" s="108" t="s">
        <v>35</v>
      </c>
      <c r="AB642" s="108" t="s">
        <v>2241</v>
      </c>
      <c r="AC642" s="108">
        <v>0</v>
      </c>
      <c r="AD642" s="108">
        <v>1</v>
      </c>
      <c r="AE642" s="108" t="s">
        <v>42</v>
      </c>
      <c r="AF642" s="108" t="s">
        <v>35</v>
      </c>
      <c r="AG642" s="108" t="s">
        <v>38</v>
      </c>
      <c r="AH642" s="108" t="s">
        <v>92</v>
      </c>
    </row>
    <row r="643" spans="1:34" x14ac:dyDescent="0.3">
      <c r="A643" s="118" t="s">
        <v>2229</v>
      </c>
      <c r="B643" s="119" t="s">
        <v>2225</v>
      </c>
      <c r="C643" s="119" t="s">
        <v>2226</v>
      </c>
      <c r="D643" s="120">
        <v>45464</v>
      </c>
      <c r="E643" s="121">
        <v>193000</v>
      </c>
      <c r="F643" s="119" t="s">
        <v>32</v>
      </c>
      <c r="G643" s="119" t="s">
        <v>66</v>
      </c>
      <c r="H643" s="121">
        <v>193000</v>
      </c>
      <c r="I643" s="121">
        <v>66500</v>
      </c>
      <c r="J643" s="122">
        <f t="shared" si="71"/>
        <v>34.4559585492228</v>
      </c>
      <c r="K643" s="121">
        <v>146414</v>
      </c>
      <c r="L643" s="121">
        <f>H643-126752</f>
        <v>66248</v>
      </c>
      <c r="M643" s="121">
        <v>19662</v>
      </c>
      <c r="N643" s="123">
        <f t="shared" si="72"/>
        <v>0.10187564766839378</v>
      </c>
      <c r="O643" s="124">
        <v>91.45</v>
      </c>
      <c r="P643" s="125">
        <v>405</v>
      </c>
      <c r="Q643" s="126">
        <v>0.27200000000000002</v>
      </c>
      <c r="R643" s="126">
        <v>0.13600000000000001</v>
      </c>
      <c r="S643" s="121">
        <f t="shared" si="73"/>
        <v>724.41771459814106</v>
      </c>
      <c r="T643" s="121">
        <f t="shared" si="74"/>
        <v>243558.82352941175</v>
      </c>
      <c r="U643" s="127">
        <f t="shared" si="75"/>
        <v>5.5913412196834651</v>
      </c>
      <c r="V643" s="126">
        <v>88</v>
      </c>
      <c r="W643" s="126">
        <f t="shared" si="76"/>
        <v>38600</v>
      </c>
      <c r="X643" s="126">
        <f t="shared" si="70"/>
        <v>438.63636363636363</v>
      </c>
      <c r="Y643" s="128" t="s">
        <v>2227</v>
      </c>
      <c r="Z643" s="119" t="s">
        <v>35</v>
      </c>
      <c r="AA643" s="119" t="s">
        <v>2228</v>
      </c>
      <c r="AB643" s="119" t="s">
        <v>2229</v>
      </c>
      <c r="AC643" s="119">
        <v>0</v>
      </c>
      <c r="AD643" s="119">
        <v>1</v>
      </c>
      <c r="AE643" s="119" t="s">
        <v>42</v>
      </c>
      <c r="AF643" s="119" t="s">
        <v>43</v>
      </c>
      <c r="AG643" s="119" t="s">
        <v>38</v>
      </c>
      <c r="AH643" s="119" t="s">
        <v>92</v>
      </c>
    </row>
    <row r="644" spans="1:34" x14ac:dyDescent="0.3">
      <c r="A644" s="107" t="s">
        <v>2229</v>
      </c>
      <c r="B644" s="108" t="s">
        <v>2232</v>
      </c>
      <c r="C644" s="108" t="s">
        <v>2233</v>
      </c>
      <c r="D644" s="109">
        <v>45133</v>
      </c>
      <c r="E644" s="110">
        <v>182000</v>
      </c>
      <c r="F644" s="108" t="s">
        <v>32</v>
      </c>
      <c r="G644" s="108" t="s">
        <v>33</v>
      </c>
      <c r="H644" s="110">
        <v>182000</v>
      </c>
      <c r="I644" s="110">
        <v>55500</v>
      </c>
      <c r="J644" s="111">
        <f t="shared" si="71"/>
        <v>30.494505494505496</v>
      </c>
      <c r="K644" s="110">
        <v>143702</v>
      </c>
      <c r="L644" s="110">
        <f>H644-134094</f>
        <v>47906</v>
      </c>
      <c r="M644" s="110">
        <v>9608</v>
      </c>
      <c r="N644" s="112">
        <f t="shared" si="72"/>
        <v>5.2791208791208792E-2</v>
      </c>
      <c r="O644" s="113">
        <v>44.68</v>
      </c>
      <c r="P644" s="114">
        <v>135</v>
      </c>
      <c r="Q644" s="115">
        <v>0.13300000000000001</v>
      </c>
      <c r="R644" s="115">
        <v>0.13300000000000001</v>
      </c>
      <c r="S644" s="110">
        <f t="shared" si="73"/>
        <v>1072.202327663384</v>
      </c>
      <c r="T644" s="110">
        <f t="shared" si="74"/>
        <v>360195.48872180452</v>
      </c>
      <c r="U644" s="116">
        <f t="shared" si="75"/>
        <v>8.2689506134482205</v>
      </c>
      <c r="V644" s="115">
        <v>43</v>
      </c>
      <c r="W644" s="115">
        <f t="shared" si="76"/>
        <v>36400</v>
      </c>
      <c r="X644" s="115">
        <f t="shared" si="70"/>
        <v>846.51162790697674</v>
      </c>
      <c r="Y644" s="117" t="s">
        <v>2227</v>
      </c>
      <c r="Z644" s="108" t="s">
        <v>35</v>
      </c>
      <c r="AA644" s="108" t="s">
        <v>35</v>
      </c>
      <c r="AB644" s="108" t="s">
        <v>2229</v>
      </c>
      <c r="AC644" s="108">
        <v>0</v>
      </c>
      <c r="AD644" s="108">
        <v>1</v>
      </c>
      <c r="AE644" s="108" t="s">
        <v>42</v>
      </c>
      <c r="AF644" s="108" t="s">
        <v>43</v>
      </c>
      <c r="AG644" s="108" t="s">
        <v>38</v>
      </c>
      <c r="AH644" s="108" t="s">
        <v>92</v>
      </c>
    </row>
    <row r="645" spans="1:34" x14ac:dyDescent="0.3">
      <c r="A645" s="107" t="s">
        <v>2229</v>
      </c>
      <c r="B645" s="108" t="s">
        <v>2230</v>
      </c>
      <c r="C645" s="108" t="s">
        <v>2231</v>
      </c>
      <c r="D645" s="109">
        <v>45447</v>
      </c>
      <c r="E645" s="110">
        <v>172000</v>
      </c>
      <c r="F645" s="108" t="s">
        <v>32</v>
      </c>
      <c r="G645" s="108" t="s">
        <v>33</v>
      </c>
      <c r="H645" s="110">
        <v>172000</v>
      </c>
      <c r="I645" s="110">
        <v>74000</v>
      </c>
      <c r="J645" s="111">
        <f t="shared" si="71"/>
        <v>43.02325581395349</v>
      </c>
      <c r="K645" s="110">
        <v>162406</v>
      </c>
      <c r="L645" s="110">
        <f>H645-153469</f>
        <v>18531</v>
      </c>
      <c r="M645" s="110">
        <v>8937</v>
      </c>
      <c r="N645" s="112">
        <f t="shared" si="72"/>
        <v>5.1959302325581394E-2</v>
      </c>
      <c r="O645" s="113">
        <v>41.56</v>
      </c>
      <c r="P645" s="114">
        <v>135</v>
      </c>
      <c r="Q645" s="115">
        <v>0.124</v>
      </c>
      <c r="R645" s="115">
        <v>0.124</v>
      </c>
      <c r="S645" s="110">
        <f t="shared" si="73"/>
        <v>445.88546679499518</v>
      </c>
      <c r="T645" s="110">
        <f t="shared" si="74"/>
        <v>149443.54838709679</v>
      </c>
      <c r="U645" s="116">
        <f t="shared" si="75"/>
        <v>3.4307517995201282</v>
      </c>
      <c r="V645" s="115">
        <v>40</v>
      </c>
      <c r="W645" s="115">
        <f t="shared" si="76"/>
        <v>34400</v>
      </c>
      <c r="X645" s="115">
        <f t="shared" si="70"/>
        <v>860</v>
      </c>
      <c r="Y645" s="117" t="s">
        <v>2227</v>
      </c>
      <c r="Z645" s="108" t="s">
        <v>35</v>
      </c>
      <c r="AA645" s="108" t="s">
        <v>35</v>
      </c>
      <c r="AB645" s="108" t="s">
        <v>2229</v>
      </c>
      <c r="AC645" s="108">
        <v>0</v>
      </c>
      <c r="AD645" s="108">
        <v>1</v>
      </c>
      <c r="AE645" s="108" t="s">
        <v>42</v>
      </c>
      <c r="AF645" s="108" t="s">
        <v>43</v>
      </c>
      <c r="AG645" s="108" t="s">
        <v>38</v>
      </c>
      <c r="AH645" s="108" t="s">
        <v>92</v>
      </c>
    </row>
    <row r="646" spans="1:34" x14ac:dyDescent="0.3">
      <c r="A646" s="118" t="s">
        <v>2229</v>
      </c>
      <c r="B646" s="119" t="s">
        <v>2234</v>
      </c>
      <c r="C646" s="119" t="s">
        <v>2235</v>
      </c>
      <c r="D646" s="120">
        <v>45159</v>
      </c>
      <c r="E646" s="121">
        <v>175000</v>
      </c>
      <c r="F646" s="119" t="s">
        <v>32</v>
      </c>
      <c r="G646" s="119" t="s">
        <v>33</v>
      </c>
      <c r="H646" s="121">
        <v>175000</v>
      </c>
      <c r="I646" s="121">
        <v>45600</v>
      </c>
      <c r="J646" s="122">
        <f t="shared" si="71"/>
        <v>26.057142857142857</v>
      </c>
      <c r="K646" s="121">
        <v>116740</v>
      </c>
      <c r="L646" s="121">
        <f>H646-107970</f>
        <v>67030</v>
      </c>
      <c r="M646" s="121">
        <v>8770</v>
      </c>
      <c r="N646" s="123">
        <f t="shared" si="72"/>
        <v>5.0114285714285715E-2</v>
      </c>
      <c r="O646" s="124">
        <v>40.79</v>
      </c>
      <c r="P646" s="125">
        <v>130</v>
      </c>
      <c r="Q646" s="126">
        <v>0.11899999999999999</v>
      </c>
      <c r="R646" s="126">
        <v>0.11899999999999999</v>
      </c>
      <c r="S646" s="121">
        <f t="shared" si="73"/>
        <v>1643.2949252267713</v>
      </c>
      <c r="T646" s="121">
        <f t="shared" si="74"/>
        <v>563277.31092436973</v>
      </c>
      <c r="U646" s="127">
        <f t="shared" si="75"/>
        <v>12.931067743901968</v>
      </c>
      <c r="V646" s="126">
        <v>40</v>
      </c>
      <c r="W646" s="126">
        <f t="shared" si="76"/>
        <v>35000</v>
      </c>
      <c r="X646" s="126">
        <f t="shared" si="70"/>
        <v>875</v>
      </c>
      <c r="Y646" s="128" t="s">
        <v>2227</v>
      </c>
      <c r="Z646" s="119" t="s">
        <v>35</v>
      </c>
      <c r="AA646" s="119" t="s">
        <v>35</v>
      </c>
      <c r="AB646" s="119" t="s">
        <v>2229</v>
      </c>
      <c r="AC646" s="119">
        <v>0</v>
      </c>
      <c r="AD646" s="119">
        <v>1</v>
      </c>
      <c r="AE646" s="119" t="s">
        <v>37</v>
      </c>
      <c r="AF646" s="119" t="s">
        <v>43</v>
      </c>
      <c r="AG646" s="119" t="s">
        <v>38</v>
      </c>
      <c r="AH646" s="119" t="s">
        <v>92</v>
      </c>
    </row>
    <row r="647" spans="1:34" x14ac:dyDescent="0.3">
      <c r="A647" s="118" t="s">
        <v>2229</v>
      </c>
      <c r="B647" s="119" t="s">
        <v>2236</v>
      </c>
      <c r="C647" s="119" t="s">
        <v>2237</v>
      </c>
      <c r="D647" s="120">
        <v>45154</v>
      </c>
      <c r="E647" s="121">
        <v>185000</v>
      </c>
      <c r="F647" s="119" t="s">
        <v>32</v>
      </c>
      <c r="G647" s="119" t="s">
        <v>33</v>
      </c>
      <c r="H647" s="121">
        <v>185000</v>
      </c>
      <c r="I647" s="121">
        <v>54300</v>
      </c>
      <c r="J647" s="122">
        <f t="shared" si="71"/>
        <v>29.351351351351351</v>
      </c>
      <c r="K647" s="121">
        <v>138192</v>
      </c>
      <c r="L647" s="121">
        <f>H647-124690</f>
        <v>60310</v>
      </c>
      <c r="M647" s="121">
        <v>13502</v>
      </c>
      <c r="N647" s="123">
        <f t="shared" si="72"/>
        <v>7.2983783783783784E-2</v>
      </c>
      <c r="O647" s="124">
        <v>62.79</v>
      </c>
      <c r="P647" s="125">
        <v>279.45</v>
      </c>
      <c r="Q647" s="126">
        <v>0.26900000000000002</v>
      </c>
      <c r="R647" s="126">
        <v>0.26900000000000002</v>
      </c>
      <c r="S647" s="121">
        <f t="shared" si="73"/>
        <v>960.50326485109099</v>
      </c>
      <c r="T647" s="121">
        <f t="shared" si="74"/>
        <v>224200.74349442378</v>
      </c>
      <c r="U647" s="127">
        <f t="shared" si="75"/>
        <v>5.1469408515707942</v>
      </c>
      <c r="V647" s="126">
        <v>42</v>
      </c>
      <c r="W647" s="126">
        <f t="shared" si="76"/>
        <v>37000</v>
      </c>
      <c r="X647" s="126">
        <f t="shared" si="70"/>
        <v>880.95238095238096</v>
      </c>
      <c r="Y647" s="128" t="s">
        <v>2227</v>
      </c>
      <c r="Z647" s="119" t="s">
        <v>35</v>
      </c>
      <c r="AA647" s="119" t="s">
        <v>35</v>
      </c>
      <c r="AB647" s="119" t="s">
        <v>2229</v>
      </c>
      <c r="AC647" s="119">
        <v>0</v>
      </c>
      <c r="AD647" s="119">
        <v>1</v>
      </c>
      <c r="AE647" s="119" t="s">
        <v>37</v>
      </c>
      <c r="AF647" s="119" t="s">
        <v>43</v>
      </c>
      <c r="AG647" s="119" t="s">
        <v>38</v>
      </c>
      <c r="AH647" s="119" t="s">
        <v>92</v>
      </c>
    </row>
    <row r="648" spans="1:34" x14ac:dyDescent="0.3">
      <c r="A648" s="118" t="s">
        <v>2131</v>
      </c>
      <c r="B648" s="119" t="s">
        <v>2128</v>
      </c>
      <c r="C648" s="119" t="s">
        <v>2129</v>
      </c>
      <c r="D648" s="120">
        <v>45358</v>
      </c>
      <c r="E648" s="121">
        <v>280000</v>
      </c>
      <c r="F648" s="119" t="s">
        <v>32</v>
      </c>
      <c r="G648" s="119" t="s">
        <v>33</v>
      </c>
      <c r="H648" s="121">
        <v>280000</v>
      </c>
      <c r="I648" s="121">
        <v>138100</v>
      </c>
      <c r="J648" s="122">
        <f t="shared" si="71"/>
        <v>49.321428571428569</v>
      </c>
      <c r="K648" s="121">
        <v>378390</v>
      </c>
      <c r="L648" s="121">
        <f>H648-351361</f>
        <v>-71361</v>
      </c>
      <c r="M648" s="121">
        <v>27029</v>
      </c>
      <c r="N648" s="123">
        <f t="shared" si="72"/>
        <v>9.6532142857142858E-2</v>
      </c>
      <c r="O648" s="124">
        <v>142.25</v>
      </c>
      <c r="P648" s="125">
        <v>172.8</v>
      </c>
      <c r="Q648" s="126">
        <v>0.55600000000000005</v>
      </c>
      <c r="R648" s="126">
        <v>0.55600000000000005</v>
      </c>
      <c r="S648" s="121">
        <f t="shared" si="73"/>
        <v>-501.65905096660811</v>
      </c>
      <c r="T648" s="121">
        <f t="shared" si="74"/>
        <v>-128347.12230215826</v>
      </c>
      <c r="U648" s="127">
        <f t="shared" si="75"/>
        <v>-2.9464444972947259</v>
      </c>
      <c r="V648" s="126">
        <v>90</v>
      </c>
      <c r="W648" s="126">
        <f t="shared" si="76"/>
        <v>56000</v>
      </c>
      <c r="X648" s="126">
        <f t="shared" si="70"/>
        <v>622.22222222222217</v>
      </c>
      <c r="Y648" s="128" t="s">
        <v>2130</v>
      </c>
      <c r="Z648" s="119" t="s">
        <v>35</v>
      </c>
      <c r="AA648" s="119" t="s">
        <v>35</v>
      </c>
      <c r="AB648" s="119" t="s">
        <v>2131</v>
      </c>
      <c r="AC648" s="119">
        <v>0</v>
      </c>
      <c r="AD648" s="119">
        <v>1</v>
      </c>
      <c r="AE648" s="119" t="s">
        <v>42</v>
      </c>
      <c r="AF648" s="119" t="s">
        <v>43</v>
      </c>
      <c r="AG648" s="119" t="s">
        <v>38</v>
      </c>
      <c r="AH648" s="119" t="s">
        <v>92</v>
      </c>
    </row>
    <row r="649" spans="1:34" x14ac:dyDescent="0.3">
      <c r="A649" s="107" t="s">
        <v>2131</v>
      </c>
      <c r="B649" s="108" t="s">
        <v>2132</v>
      </c>
      <c r="C649" s="108" t="s">
        <v>2133</v>
      </c>
      <c r="D649" s="109">
        <v>45733</v>
      </c>
      <c r="E649" s="110">
        <v>309900</v>
      </c>
      <c r="F649" s="108" t="s">
        <v>32</v>
      </c>
      <c r="G649" s="108" t="s">
        <v>33</v>
      </c>
      <c r="H649" s="110">
        <v>309900</v>
      </c>
      <c r="I649" s="110">
        <v>166200</v>
      </c>
      <c r="J649" s="111">
        <f t="shared" si="71"/>
        <v>53.630203291384312</v>
      </c>
      <c r="K649" s="110">
        <v>372403</v>
      </c>
      <c r="L649" s="110">
        <f>H649-354733</f>
        <v>-44833</v>
      </c>
      <c r="M649" s="110">
        <v>17670</v>
      </c>
      <c r="N649" s="112">
        <f t="shared" si="72"/>
        <v>5.7018393030009683E-2</v>
      </c>
      <c r="O649" s="113">
        <v>93</v>
      </c>
      <c r="P649" s="114">
        <v>130</v>
      </c>
      <c r="Q649" s="115">
        <v>0.27800000000000002</v>
      </c>
      <c r="R649" s="115">
        <v>0.27800000000000002</v>
      </c>
      <c r="S649" s="110">
        <f t="shared" si="73"/>
        <v>-482.07526881720429</v>
      </c>
      <c r="T649" s="110">
        <f t="shared" si="74"/>
        <v>-161269.78417266186</v>
      </c>
      <c r="U649" s="116">
        <f t="shared" si="75"/>
        <v>-3.7022448157176737</v>
      </c>
      <c r="V649" s="115">
        <v>93</v>
      </c>
      <c r="W649" s="115">
        <f t="shared" si="76"/>
        <v>61980</v>
      </c>
      <c r="X649" s="115">
        <f t="shared" si="70"/>
        <v>666.45161290322585</v>
      </c>
      <c r="Y649" s="117" t="s">
        <v>2130</v>
      </c>
      <c r="Z649" s="108" t="s">
        <v>35</v>
      </c>
      <c r="AA649" s="108" t="s">
        <v>35</v>
      </c>
      <c r="AB649" s="108" t="s">
        <v>2131</v>
      </c>
      <c r="AC649" s="108">
        <v>0</v>
      </c>
      <c r="AD649" s="108">
        <v>1</v>
      </c>
      <c r="AE649" s="108" t="s">
        <v>2134</v>
      </c>
      <c r="AF649" s="108" t="s">
        <v>35</v>
      </c>
      <c r="AG649" s="108" t="s">
        <v>38</v>
      </c>
      <c r="AH649" s="108" t="s">
        <v>92</v>
      </c>
    </row>
    <row r="650" spans="1:34" x14ac:dyDescent="0.3">
      <c r="A650" s="107" t="s">
        <v>2017</v>
      </c>
      <c r="B650" s="108" t="s">
        <v>2018</v>
      </c>
      <c r="C650" s="108" t="s">
        <v>2019</v>
      </c>
      <c r="D650" s="109">
        <v>45336</v>
      </c>
      <c r="E650" s="110">
        <v>140000</v>
      </c>
      <c r="F650" s="108" t="s">
        <v>32</v>
      </c>
      <c r="G650" s="108" t="s">
        <v>33</v>
      </c>
      <c r="H650" s="110">
        <v>140000</v>
      </c>
      <c r="I650" s="110">
        <v>65100</v>
      </c>
      <c r="J650" s="111">
        <f t="shared" si="71"/>
        <v>46.5</v>
      </c>
      <c r="K650" s="110">
        <v>182602</v>
      </c>
      <c r="L650" s="110">
        <f>H650-171379</f>
        <v>-31379</v>
      </c>
      <c r="M650" s="110">
        <v>11223</v>
      </c>
      <c r="N650" s="112">
        <f t="shared" si="72"/>
        <v>8.0164285714285716E-2</v>
      </c>
      <c r="O650" s="113">
        <v>85.01</v>
      </c>
      <c r="P650" s="114">
        <v>116.34</v>
      </c>
      <c r="Q650" s="115">
        <v>0.21</v>
      </c>
      <c r="R650" s="115">
        <v>0.21</v>
      </c>
      <c r="S650" s="110">
        <f t="shared" si="73"/>
        <v>-369.12127984942947</v>
      </c>
      <c r="T650" s="110">
        <f t="shared" si="74"/>
        <v>-149423.80952380953</v>
      </c>
      <c r="U650" s="116">
        <f t="shared" si="75"/>
        <v>-3.430298657571385</v>
      </c>
      <c r="V650" s="115">
        <v>79.53</v>
      </c>
      <c r="W650" s="115">
        <f t="shared" si="76"/>
        <v>28000</v>
      </c>
      <c r="X650" s="115">
        <f t="shared" si="70"/>
        <v>352.06840186093297</v>
      </c>
      <c r="Y650" s="117" t="s">
        <v>2016</v>
      </c>
      <c r="Z650" s="108" t="s">
        <v>35</v>
      </c>
      <c r="AA650" s="108" t="s">
        <v>35</v>
      </c>
      <c r="AB650" s="108" t="s">
        <v>2017</v>
      </c>
      <c r="AC650" s="108">
        <v>0</v>
      </c>
      <c r="AD650" s="108">
        <v>1</v>
      </c>
      <c r="AE650" s="108" t="s">
        <v>205</v>
      </c>
      <c r="AF650" s="108" t="s">
        <v>43</v>
      </c>
      <c r="AG650" s="108" t="s">
        <v>38</v>
      </c>
      <c r="AH650" s="108" t="s">
        <v>1830</v>
      </c>
    </row>
    <row r="651" spans="1:34" x14ac:dyDescent="0.3">
      <c r="A651" s="107" t="s">
        <v>2017</v>
      </c>
      <c r="B651" s="108" t="s">
        <v>2014</v>
      </c>
      <c r="C651" s="108" t="s">
        <v>2015</v>
      </c>
      <c r="D651" s="109">
        <v>45715</v>
      </c>
      <c r="E651" s="110">
        <v>120000</v>
      </c>
      <c r="F651" s="108" t="s">
        <v>32</v>
      </c>
      <c r="G651" s="108" t="s">
        <v>33</v>
      </c>
      <c r="H651" s="110">
        <v>120000</v>
      </c>
      <c r="I651" s="110">
        <v>65700</v>
      </c>
      <c r="J651" s="111">
        <f t="shared" si="71"/>
        <v>54.75</v>
      </c>
      <c r="K651" s="110">
        <v>150136</v>
      </c>
      <c r="L651" s="110">
        <f>H651-139922</f>
        <v>-19922</v>
      </c>
      <c r="M651" s="110">
        <v>10214</v>
      </c>
      <c r="N651" s="112">
        <f t="shared" si="72"/>
        <v>8.511666666666666E-2</v>
      </c>
      <c r="O651" s="113">
        <v>77.38</v>
      </c>
      <c r="P651" s="114">
        <v>131.07</v>
      </c>
      <c r="Q651" s="115">
        <v>0.20300000000000001</v>
      </c>
      <c r="R651" s="115">
        <v>0.20300000000000001</v>
      </c>
      <c r="S651" s="110">
        <f t="shared" si="73"/>
        <v>-257.45670715947273</v>
      </c>
      <c r="T651" s="110">
        <f t="shared" si="74"/>
        <v>-98137.931034482754</v>
      </c>
      <c r="U651" s="116">
        <f t="shared" si="75"/>
        <v>-2.2529368924353248</v>
      </c>
      <c r="V651" s="115">
        <v>67.59</v>
      </c>
      <c r="W651" s="115">
        <f t="shared" si="76"/>
        <v>24000</v>
      </c>
      <c r="X651" s="115">
        <f t="shared" si="70"/>
        <v>355.0821127385708</v>
      </c>
      <c r="Y651" s="117" t="s">
        <v>2016</v>
      </c>
      <c r="Z651" s="108" t="s">
        <v>35</v>
      </c>
      <c r="AA651" s="108" t="s">
        <v>35</v>
      </c>
      <c r="AB651" s="108" t="s">
        <v>2017</v>
      </c>
      <c r="AC651" s="108">
        <v>0</v>
      </c>
      <c r="AD651" s="108">
        <v>1</v>
      </c>
      <c r="AE651" s="108" t="s">
        <v>42</v>
      </c>
      <c r="AF651" s="108" t="s">
        <v>35</v>
      </c>
      <c r="AG651" s="108" t="s">
        <v>38</v>
      </c>
      <c r="AH651" s="108" t="s">
        <v>1830</v>
      </c>
    </row>
    <row r="652" spans="1:34" x14ac:dyDescent="0.3">
      <c r="A652" s="118" t="s">
        <v>2017</v>
      </c>
      <c r="B652" s="119" t="s">
        <v>2020</v>
      </c>
      <c r="C652" s="119" t="s">
        <v>2021</v>
      </c>
      <c r="D652" s="120">
        <v>45048</v>
      </c>
      <c r="E652" s="121">
        <v>163000</v>
      </c>
      <c r="F652" s="119" t="s">
        <v>32</v>
      </c>
      <c r="G652" s="119" t="s">
        <v>33</v>
      </c>
      <c r="H652" s="121">
        <v>163000</v>
      </c>
      <c r="I652" s="121">
        <v>75200</v>
      </c>
      <c r="J652" s="122">
        <f t="shared" si="71"/>
        <v>46.134969325153378</v>
      </c>
      <c r="K652" s="121">
        <v>200244</v>
      </c>
      <c r="L652" s="121">
        <f>H652-190106</f>
        <v>-27106</v>
      </c>
      <c r="M652" s="121">
        <v>10138</v>
      </c>
      <c r="N652" s="123">
        <f t="shared" si="72"/>
        <v>6.2196319018404909E-2</v>
      </c>
      <c r="O652" s="124">
        <v>76.8</v>
      </c>
      <c r="P652" s="125">
        <v>112.79</v>
      </c>
      <c r="Q652" s="126">
        <v>0.25</v>
      </c>
      <c r="R652" s="126">
        <v>0.221</v>
      </c>
      <c r="S652" s="121">
        <f t="shared" si="73"/>
        <v>-352.94270833333337</v>
      </c>
      <c r="T652" s="121">
        <f t="shared" si="74"/>
        <v>-108424</v>
      </c>
      <c r="U652" s="127">
        <f t="shared" si="75"/>
        <v>-2.4890725436179983</v>
      </c>
      <c r="V652" s="126">
        <v>46.48</v>
      </c>
      <c r="W652" s="126">
        <f t="shared" si="76"/>
        <v>32600</v>
      </c>
      <c r="X652" s="126">
        <f t="shared" ref="X652:X715" si="77">W652/V652</f>
        <v>701.37693631669538</v>
      </c>
      <c r="Y652" s="128" t="s">
        <v>2016</v>
      </c>
      <c r="Z652" s="119" t="s">
        <v>35</v>
      </c>
      <c r="AA652" s="119" t="s">
        <v>35</v>
      </c>
      <c r="AB652" s="119" t="s">
        <v>2017</v>
      </c>
      <c r="AC652" s="119">
        <v>0</v>
      </c>
      <c r="AD652" s="119">
        <v>1</v>
      </c>
      <c r="AE652" s="119" t="s">
        <v>42</v>
      </c>
      <c r="AF652" s="119" t="s">
        <v>43</v>
      </c>
      <c r="AG652" s="119" t="s">
        <v>38</v>
      </c>
      <c r="AH652" s="119" t="s">
        <v>1830</v>
      </c>
    </row>
    <row r="653" spans="1:34" x14ac:dyDescent="0.3">
      <c r="A653" s="107" t="s">
        <v>2271</v>
      </c>
      <c r="B653" s="108" t="s">
        <v>2282</v>
      </c>
      <c r="C653" s="108" t="s">
        <v>2283</v>
      </c>
      <c r="D653" s="109">
        <v>45457</v>
      </c>
      <c r="E653" s="110">
        <v>155000</v>
      </c>
      <c r="F653" s="108" t="s">
        <v>32</v>
      </c>
      <c r="G653" s="108" t="s">
        <v>33</v>
      </c>
      <c r="H653" s="110">
        <v>155000</v>
      </c>
      <c r="I653" s="110">
        <v>59400</v>
      </c>
      <c r="J653" s="111">
        <f t="shared" si="71"/>
        <v>38.322580645161288</v>
      </c>
      <c r="K653" s="110">
        <v>144373</v>
      </c>
      <c r="L653" s="110">
        <f>H653-124679</f>
        <v>30321</v>
      </c>
      <c r="M653" s="110">
        <v>19694</v>
      </c>
      <c r="N653" s="112">
        <f t="shared" si="72"/>
        <v>0.12705806451612903</v>
      </c>
      <c r="O653" s="113">
        <v>92.89</v>
      </c>
      <c r="P653" s="114">
        <v>116.5</v>
      </c>
      <c r="Q653" s="115">
        <v>0.26700000000000002</v>
      </c>
      <c r="R653" s="115">
        <v>0.26700000000000002</v>
      </c>
      <c r="S653" s="110">
        <f t="shared" si="73"/>
        <v>326.41834427817849</v>
      </c>
      <c r="T653" s="110">
        <f t="shared" si="74"/>
        <v>113561.79775280898</v>
      </c>
      <c r="U653" s="116">
        <f t="shared" si="75"/>
        <v>2.6070201504317949</v>
      </c>
      <c r="V653" s="115">
        <v>100</v>
      </c>
      <c r="W653" s="115">
        <f t="shared" si="76"/>
        <v>31000</v>
      </c>
      <c r="X653" s="115">
        <f t="shared" si="77"/>
        <v>310</v>
      </c>
      <c r="Y653" s="117" t="s">
        <v>2270</v>
      </c>
      <c r="Z653" s="108" t="s">
        <v>35</v>
      </c>
      <c r="AA653" s="108" t="s">
        <v>35</v>
      </c>
      <c r="AB653" s="108" t="s">
        <v>2271</v>
      </c>
      <c r="AC653" s="108">
        <v>0</v>
      </c>
      <c r="AD653" s="108">
        <v>1</v>
      </c>
      <c r="AE653" s="108" t="s">
        <v>42</v>
      </c>
      <c r="AF653" s="108" t="s">
        <v>43</v>
      </c>
      <c r="AG653" s="108" t="s">
        <v>38</v>
      </c>
      <c r="AH653" s="108" t="s">
        <v>92</v>
      </c>
    </row>
    <row r="654" spans="1:34" x14ac:dyDescent="0.3">
      <c r="A654" s="118" t="s">
        <v>2271</v>
      </c>
      <c r="B654" s="119" t="s">
        <v>2276</v>
      </c>
      <c r="C654" s="119" t="s">
        <v>2277</v>
      </c>
      <c r="D654" s="120">
        <v>45071</v>
      </c>
      <c r="E654" s="121">
        <v>168000</v>
      </c>
      <c r="F654" s="119" t="s">
        <v>32</v>
      </c>
      <c r="G654" s="119" t="s">
        <v>33</v>
      </c>
      <c r="H654" s="121">
        <v>168000</v>
      </c>
      <c r="I654" s="121">
        <v>60000</v>
      </c>
      <c r="J654" s="122">
        <f t="shared" si="71"/>
        <v>35.714285714285715</v>
      </c>
      <c r="K654" s="121">
        <v>167197</v>
      </c>
      <c r="L654" s="121">
        <f>H654-154494</f>
        <v>13506</v>
      </c>
      <c r="M654" s="121">
        <v>12703</v>
      </c>
      <c r="N654" s="123">
        <f t="shared" si="72"/>
        <v>7.5613095238095243E-2</v>
      </c>
      <c r="O654" s="124">
        <v>59.91</v>
      </c>
      <c r="P654" s="125">
        <v>134.63999999999999</v>
      </c>
      <c r="Q654" s="126">
        <v>0.185</v>
      </c>
      <c r="R654" s="126">
        <v>0.185</v>
      </c>
      <c r="S654" s="121">
        <f t="shared" si="73"/>
        <v>225.43815723585379</v>
      </c>
      <c r="T654" s="121">
        <f t="shared" si="74"/>
        <v>73005.4054054054</v>
      </c>
      <c r="U654" s="127">
        <f t="shared" si="75"/>
        <v>1.6759734941553122</v>
      </c>
      <c r="V654" s="126">
        <v>60</v>
      </c>
      <c r="W654" s="126">
        <f t="shared" si="76"/>
        <v>33600</v>
      </c>
      <c r="X654" s="126">
        <f t="shared" si="77"/>
        <v>560</v>
      </c>
      <c r="Y654" s="128" t="s">
        <v>2270</v>
      </c>
      <c r="Z654" s="119" t="s">
        <v>35</v>
      </c>
      <c r="AA654" s="119" t="s">
        <v>35</v>
      </c>
      <c r="AB654" s="119" t="s">
        <v>2271</v>
      </c>
      <c r="AC654" s="119">
        <v>0</v>
      </c>
      <c r="AD654" s="119">
        <v>1</v>
      </c>
      <c r="AE654" s="119" t="s">
        <v>42</v>
      </c>
      <c r="AF654" s="119" t="s">
        <v>43</v>
      </c>
      <c r="AG654" s="119" t="s">
        <v>38</v>
      </c>
      <c r="AH654" s="119" t="s">
        <v>92</v>
      </c>
    </row>
    <row r="655" spans="1:34" x14ac:dyDescent="0.3">
      <c r="A655" s="118" t="s">
        <v>2271</v>
      </c>
      <c r="B655" s="119" t="s">
        <v>2278</v>
      </c>
      <c r="C655" s="119" t="s">
        <v>2279</v>
      </c>
      <c r="D655" s="120">
        <v>45358</v>
      </c>
      <c r="E655" s="121">
        <v>144000</v>
      </c>
      <c r="F655" s="119" t="s">
        <v>32</v>
      </c>
      <c r="G655" s="119" t="s">
        <v>33</v>
      </c>
      <c r="H655" s="121">
        <v>144000</v>
      </c>
      <c r="I655" s="121">
        <v>55900</v>
      </c>
      <c r="J655" s="122">
        <f t="shared" si="71"/>
        <v>38.819444444444443</v>
      </c>
      <c r="K655" s="121">
        <v>149613</v>
      </c>
      <c r="L655" s="121">
        <f>H655-139044</f>
        <v>4956</v>
      </c>
      <c r="M655" s="121">
        <v>10569</v>
      </c>
      <c r="N655" s="123">
        <f t="shared" si="72"/>
        <v>7.3395833333333327E-2</v>
      </c>
      <c r="O655" s="124">
        <v>49.85</v>
      </c>
      <c r="P655" s="125">
        <v>134.21</v>
      </c>
      <c r="Q655" s="126">
        <v>0.154</v>
      </c>
      <c r="R655" s="126">
        <v>0.154</v>
      </c>
      <c r="S655" s="121">
        <f t="shared" si="73"/>
        <v>99.418254764292882</v>
      </c>
      <c r="T655" s="121">
        <f t="shared" si="74"/>
        <v>32181.818181818184</v>
      </c>
      <c r="U655" s="127">
        <f t="shared" si="75"/>
        <v>0.73879288755321815</v>
      </c>
      <c r="V655" s="126">
        <v>50</v>
      </c>
      <c r="W655" s="126">
        <f t="shared" si="76"/>
        <v>28800</v>
      </c>
      <c r="X655" s="126">
        <f t="shared" si="77"/>
        <v>576</v>
      </c>
      <c r="Y655" s="128" t="s">
        <v>2270</v>
      </c>
      <c r="Z655" s="119" t="s">
        <v>35</v>
      </c>
      <c r="AA655" s="119" t="s">
        <v>35</v>
      </c>
      <c r="AB655" s="119" t="s">
        <v>2271</v>
      </c>
      <c r="AC655" s="119">
        <v>0</v>
      </c>
      <c r="AD655" s="119">
        <v>1</v>
      </c>
      <c r="AE655" s="119" t="s">
        <v>37</v>
      </c>
      <c r="AF655" s="119" t="s">
        <v>43</v>
      </c>
      <c r="AG655" s="119" t="s">
        <v>38</v>
      </c>
      <c r="AH655" s="119" t="s">
        <v>92</v>
      </c>
    </row>
    <row r="656" spans="1:34" x14ac:dyDescent="0.3">
      <c r="A656" s="107" t="s">
        <v>2271</v>
      </c>
      <c r="B656" s="108" t="s">
        <v>2274</v>
      </c>
      <c r="C656" s="108" t="s">
        <v>2275</v>
      </c>
      <c r="D656" s="109">
        <v>45429</v>
      </c>
      <c r="E656" s="110">
        <v>185000</v>
      </c>
      <c r="F656" s="108" t="s">
        <v>32</v>
      </c>
      <c r="G656" s="108" t="s">
        <v>33</v>
      </c>
      <c r="H656" s="110">
        <v>185000</v>
      </c>
      <c r="I656" s="110">
        <v>83000</v>
      </c>
      <c r="J656" s="111">
        <f t="shared" si="71"/>
        <v>44.86486486486487</v>
      </c>
      <c r="K656" s="110">
        <v>189062</v>
      </c>
      <c r="L656" s="110">
        <f>H656-177069</f>
        <v>7931</v>
      </c>
      <c r="M656" s="110">
        <v>11993</v>
      </c>
      <c r="N656" s="112">
        <f t="shared" si="72"/>
        <v>6.4827027027027029E-2</v>
      </c>
      <c r="O656" s="113">
        <v>56.56</v>
      </c>
      <c r="P656" s="114">
        <v>120</v>
      </c>
      <c r="Q656" s="115">
        <v>0.16500000000000001</v>
      </c>
      <c r="R656" s="115">
        <v>0.16500000000000001</v>
      </c>
      <c r="S656" s="110">
        <f t="shared" si="73"/>
        <v>140.2227722772277</v>
      </c>
      <c r="T656" s="110">
        <f t="shared" si="74"/>
        <v>48066.666666666664</v>
      </c>
      <c r="U656" s="116">
        <f t="shared" si="75"/>
        <v>1.103458830731558</v>
      </c>
      <c r="V656" s="115">
        <v>60</v>
      </c>
      <c r="W656" s="115">
        <f t="shared" si="76"/>
        <v>37000</v>
      </c>
      <c r="X656" s="115">
        <f t="shared" si="77"/>
        <v>616.66666666666663</v>
      </c>
      <c r="Y656" s="117" t="s">
        <v>2270</v>
      </c>
      <c r="Z656" s="108" t="s">
        <v>35</v>
      </c>
      <c r="AA656" s="108" t="s">
        <v>35</v>
      </c>
      <c r="AB656" s="108" t="s">
        <v>2271</v>
      </c>
      <c r="AC656" s="108">
        <v>0</v>
      </c>
      <c r="AD656" s="108">
        <v>1</v>
      </c>
      <c r="AE656" s="108" t="s">
        <v>42</v>
      </c>
      <c r="AF656" s="108" t="s">
        <v>43</v>
      </c>
      <c r="AG656" s="108" t="s">
        <v>38</v>
      </c>
      <c r="AH656" s="108" t="s">
        <v>92</v>
      </c>
    </row>
    <row r="657" spans="1:34" x14ac:dyDescent="0.3">
      <c r="A657" s="107" t="s">
        <v>2271</v>
      </c>
      <c r="B657" s="108" t="s">
        <v>2280</v>
      </c>
      <c r="C657" s="108" t="s">
        <v>2281</v>
      </c>
      <c r="D657" s="109">
        <v>45100</v>
      </c>
      <c r="E657" s="110">
        <v>230000</v>
      </c>
      <c r="F657" s="108" t="s">
        <v>32</v>
      </c>
      <c r="G657" s="108" t="s">
        <v>33</v>
      </c>
      <c r="H657" s="110">
        <v>230000</v>
      </c>
      <c r="I657" s="110">
        <v>85000</v>
      </c>
      <c r="J657" s="111">
        <f t="shared" si="71"/>
        <v>36.95652173913043</v>
      </c>
      <c r="K657" s="110">
        <v>219602</v>
      </c>
      <c r="L657" s="110">
        <f>H657-206422</f>
        <v>23578</v>
      </c>
      <c r="M657" s="110">
        <v>13180</v>
      </c>
      <c r="N657" s="112">
        <f t="shared" si="72"/>
        <v>5.7304347826086954E-2</v>
      </c>
      <c r="O657" s="113">
        <v>62.16</v>
      </c>
      <c r="P657" s="114">
        <v>123.5</v>
      </c>
      <c r="Q657" s="115">
        <v>0.184</v>
      </c>
      <c r="R657" s="115">
        <v>0.184</v>
      </c>
      <c r="S657" s="110">
        <f t="shared" si="73"/>
        <v>379.31145431145433</v>
      </c>
      <c r="T657" s="110">
        <f t="shared" si="74"/>
        <v>128141.3043478261</v>
      </c>
      <c r="U657" s="116">
        <f t="shared" si="75"/>
        <v>2.9417195672136387</v>
      </c>
      <c r="V657" s="115">
        <v>65</v>
      </c>
      <c r="W657" s="115">
        <f t="shared" si="76"/>
        <v>46000</v>
      </c>
      <c r="X657" s="115">
        <f t="shared" si="77"/>
        <v>707.69230769230774</v>
      </c>
      <c r="Y657" s="117" t="s">
        <v>2270</v>
      </c>
      <c r="Z657" s="108" t="s">
        <v>35</v>
      </c>
      <c r="AA657" s="108" t="s">
        <v>35</v>
      </c>
      <c r="AB657" s="108" t="s">
        <v>2271</v>
      </c>
      <c r="AC657" s="108">
        <v>0</v>
      </c>
      <c r="AD657" s="108">
        <v>1</v>
      </c>
      <c r="AE657" s="108" t="s">
        <v>42</v>
      </c>
      <c r="AF657" s="108" t="s">
        <v>43</v>
      </c>
      <c r="AG657" s="108" t="s">
        <v>38</v>
      </c>
      <c r="AH657" s="108" t="s">
        <v>92</v>
      </c>
    </row>
    <row r="658" spans="1:34" x14ac:dyDescent="0.3">
      <c r="A658" s="107" t="s">
        <v>2271</v>
      </c>
      <c r="B658" s="108" t="s">
        <v>2272</v>
      </c>
      <c r="C658" s="108" t="s">
        <v>2273</v>
      </c>
      <c r="D658" s="109">
        <v>45366</v>
      </c>
      <c r="E658" s="110">
        <v>239900</v>
      </c>
      <c r="F658" s="108" t="s">
        <v>32</v>
      </c>
      <c r="G658" s="108" t="s">
        <v>33</v>
      </c>
      <c r="H658" s="110">
        <v>239900</v>
      </c>
      <c r="I658" s="110">
        <v>79000</v>
      </c>
      <c r="J658" s="111">
        <f t="shared" si="71"/>
        <v>32.930387661525636</v>
      </c>
      <c r="K658" s="110">
        <v>205246</v>
      </c>
      <c r="L658" s="110">
        <f>H658-193253</f>
        <v>46647</v>
      </c>
      <c r="M658" s="110">
        <v>11993</v>
      </c>
      <c r="N658" s="112">
        <f t="shared" si="72"/>
        <v>4.9991663192997082E-2</v>
      </c>
      <c r="O658" s="113">
        <v>56.56</v>
      </c>
      <c r="P658" s="114">
        <v>120</v>
      </c>
      <c r="Q658" s="115">
        <v>0.16500000000000001</v>
      </c>
      <c r="R658" s="115">
        <v>0.16500000000000001</v>
      </c>
      <c r="S658" s="110">
        <f t="shared" si="73"/>
        <v>824.73479490806221</v>
      </c>
      <c r="T658" s="110">
        <f t="shared" si="74"/>
        <v>282709.09090909088</v>
      </c>
      <c r="U658" s="116">
        <f t="shared" si="75"/>
        <v>6.4901076884547955</v>
      </c>
      <c r="V658" s="115">
        <v>60</v>
      </c>
      <c r="W658" s="115">
        <f t="shared" si="76"/>
        <v>47980</v>
      </c>
      <c r="X658" s="115">
        <f t="shared" si="77"/>
        <v>799.66666666666663</v>
      </c>
      <c r="Y658" s="117" t="s">
        <v>2270</v>
      </c>
      <c r="Z658" s="108" t="s">
        <v>35</v>
      </c>
      <c r="AA658" s="108" t="s">
        <v>35</v>
      </c>
      <c r="AB658" s="108" t="s">
        <v>2271</v>
      </c>
      <c r="AC658" s="108">
        <v>0</v>
      </c>
      <c r="AD658" s="108">
        <v>1</v>
      </c>
      <c r="AE658" s="108" t="s">
        <v>42</v>
      </c>
      <c r="AF658" s="108" t="s">
        <v>43</v>
      </c>
      <c r="AG658" s="108" t="s">
        <v>38</v>
      </c>
      <c r="AH658" s="108" t="s">
        <v>92</v>
      </c>
    </row>
    <row r="659" spans="1:34" x14ac:dyDescent="0.3">
      <c r="A659" s="118" t="s">
        <v>2271</v>
      </c>
      <c r="B659" s="119" t="s">
        <v>2268</v>
      </c>
      <c r="C659" s="119" t="s">
        <v>2269</v>
      </c>
      <c r="D659" s="120">
        <v>45496</v>
      </c>
      <c r="E659" s="121">
        <v>260000</v>
      </c>
      <c r="F659" s="119" t="s">
        <v>32</v>
      </c>
      <c r="G659" s="119" t="s">
        <v>33</v>
      </c>
      <c r="H659" s="121">
        <v>260000</v>
      </c>
      <c r="I659" s="121">
        <v>95300</v>
      </c>
      <c r="J659" s="122">
        <f t="shared" si="71"/>
        <v>36.653846153846153</v>
      </c>
      <c r="K659" s="121">
        <v>216814</v>
      </c>
      <c r="L659" s="121">
        <f>H659-203075</f>
        <v>56925</v>
      </c>
      <c r="M659" s="121">
        <v>13739</v>
      </c>
      <c r="N659" s="123">
        <f t="shared" si="72"/>
        <v>5.2842307692307695E-2</v>
      </c>
      <c r="O659" s="124">
        <v>64.8</v>
      </c>
      <c r="P659" s="125">
        <v>134.19</v>
      </c>
      <c r="Q659" s="126">
        <v>0.2</v>
      </c>
      <c r="R659" s="126">
        <v>0.2</v>
      </c>
      <c r="S659" s="121">
        <f t="shared" si="73"/>
        <v>878.47222222222229</v>
      </c>
      <c r="T659" s="121">
        <f t="shared" si="74"/>
        <v>284625</v>
      </c>
      <c r="U659" s="127">
        <f t="shared" si="75"/>
        <v>6.5340909090909092</v>
      </c>
      <c r="V659" s="126">
        <v>65</v>
      </c>
      <c r="W659" s="126">
        <f t="shared" si="76"/>
        <v>52000</v>
      </c>
      <c r="X659" s="126">
        <f t="shared" si="77"/>
        <v>800</v>
      </c>
      <c r="Y659" s="128" t="s">
        <v>2270</v>
      </c>
      <c r="Z659" s="119" t="s">
        <v>35</v>
      </c>
      <c r="AA659" s="119" t="s">
        <v>35</v>
      </c>
      <c r="AB659" s="119" t="s">
        <v>2271</v>
      </c>
      <c r="AC659" s="119">
        <v>0</v>
      </c>
      <c r="AD659" s="119">
        <v>1</v>
      </c>
      <c r="AE659" s="119" t="s">
        <v>42</v>
      </c>
      <c r="AF659" s="119" t="s">
        <v>43</v>
      </c>
      <c r="AG659" s="119" t="s">
        <v>38</v>
      </c>
      <c r="AH659" s="119" t="s">
        <v>92</v>
      </c>
    </row>
    <row r="660" spans="1:34" x14ac:dyDescent="0.3">
      <c r="A660" s="107" t="s">
        <v>2263</v>
      </c>
      <c r="B660" s="108" t="s">
        <v>2264</v>
      </c>
      <c r="C660" s="108" t="s">
        <v>2265</v>
      </c>
      <c r="D660" s="109">
        <v>45653</v>
      </c>
      <c r="E660" s="110">
        <v>130000</v>
      </c>
      <c r="F660" s="108" t="s">
        <v>32</v>
      </c>
      <c r="G660" s="108" t="s">
        <v>33</v>
      </c>
      <c r="H660" s="110">
        <v>130000</v>
      </c>
      <c r="I660" s="110">
        <v>61100</v>
      </c>
      <c r="J660" s="111">
        <f t="shared" si="71"/>
        <v>47</v>
      </c>
      <c r="K660" s="110">
        <v>134611</v>
      </c>
      <c r="L660" s="110">
        <f>H660-123554</f>
        <v>6446</v>
      </c>
      <c r="M660" s="110">
        <v>11057</v>
      </c>
      <c r="N660" s="112">
        <f t="shared" si="72"/>
        <v>8.505384615384616E-2</v>
      </c>
      <c r="O660" s="113">
        <v>61.42</v>
      </c>
      <c r="P660" s="114">
        <v>100</v>
      </c>
      <c r="Q660" s="115">
        <v>0.23</v>
      </c>
      <c r="R660" s="115">
        <v>0.23</v>
      </c>
      <c r="S660" s="110">
        <f t="shared" si="73"/>
        <v>104.94952784109411</v>
      </c>
      <c r="T660" s="110">
        <f t="shared" si="74"/>
        <v>28026.086956521736</v>
      </c>
      <c r="U660" s="116">
        <f t="shared" si="75"/>
        <v>0.64339042599912155</v>
      </c>
      <c r="V660" s="115">
        <v>100</v>
      </c>
      <c r="W660" s="115">
        <f t="shared" si="76"/>
        <v>26000</v>
      </c>
      <c r="X660" s="115">
        <f t="shared" si="77"/>
        <v>260</v>
      </c>
      <c r="Y660" s="117" t="s">
        <v>2262</v>
      </c>
      <c r="Z660" s="108" t="s">
        <v>35</v>
      </c>
      <c r="AA660" s="108" t="s">
        <v>35</v>
      </c>
      <c r="AB660" s="108" t="s">
        <v>2263</v>
      </c>
      <c r="AC660" s="108">
        <v>0</v>
      </c>
      <c r="AD660" s="108">
        <v>1</v>
      </c>
      <c r="AE660" s="108" t="s">
        <v>42</v>
      </c>
      <c r="AF660" s="108" t="s">
        <v>35</v>
      </c>
      <c r="AG660" s="108" t="s">
        <v>38</v>
      </c>
      <c r="AH660" s="108" t="s">
        <v>92</v>
      </c>
    </row>
    <row r="661" spans="1:34" x14ac:dyDescent="0.3">
      <c r="A661" s="107" t="s">
        <v>2263</v>
      </c>
      <c r="B661" s="108" t="s">
        <v>2260</v>
      </c>
      <c r="C661" s="108" t="s">
        <v>2261</v>
      </c>
      <c r="D661" s="109">
        <v>45721</v>
      </c>
      <c r="E661" s="110">
        <v>139000</v>
      </c>
      <c r="F661" s="108" t="s">
        <v>32</v>
      </c>
      <c r="G661" s="108" t="s">
        <v>33</v>
      </c>
      <c r="H661" s="110">
        <v>139000</v>
      </c>
      <c r="I661" s="110">
        <v>88400</v>
      </c>
      <c r="J661" s="111">
        <f t="shared" si="71"/>
        <v>63.597122302158269</v>
      </c>
      <c r="K661" s="110">
        <v>191899</v>
      </c>
      <c r="L661" s="110">
        <f>H661-173730</f>
        <v>-34730</v>
      </c>
      <c r="M661" s="110">
        <v>18169</v>
      </c>
      <c r="N661" s="112">
        <f t="shared" si="72"/>
        <v>0.13071223021582734</v>
      </c>
      <c r="O661" s="113">
        <v>100.93</v>
      </c>
      <c r="P661" s="114">
        <v>270</v>
      </c>
      <c r="Q661" s="115">
        <v>0.62</v>
      </c>
      <c r="R661" s="115">
        <v>0.62</v>
      </c>
      <c r="S661" s="110">
        <f t="shared" si="73"/>
        <v>-344.0998711978599</v>
      </c>
      <c r="T661" s="110">
        <f t="shared" si="74"/>
        <v>-56016.129032258068</v>
      </c>
      <c r="U661" s="116">
        <f t="shared" si="75"/>
        <v>-1.2859533753961907</v>
      </c>
      <c r="V661" s="115">
        <v>100</v>
      </c>
      <c r="W661" s="115">
        <f t="shared" si="76"/>
        <v>27800</v>
      </c>
      <c r="X661" s="115">
        <f t="shared" si="77"/>
        <v>278</v>
      </c>
      <c r="Y661" s="117" t="s">
        <v>2262</v>
      </c>
      <c r="Z661" s="108" t="s">
        <v>35</v>
      </c>
      <c r="AA661" s="108" t="s">
        <v>35</v>
      </c>
      <c r="AB661" s="108" t="s">
        <v>2263</v>
      </c>
      <c r="AC661" s="108">
        <v>0</v>
      </c>
      <c r="AD661" s="108">
        <v>1</v>
      </c>
      <c r="AE661" s="108" t="s">
        <v>42</v>
      </c>
      <c r="AF661" s="108" t="s">
        <v>35</v>
      </c>
      <c r="AG661" s="108" t="s">
        <v>38</v>
      </c>
      <c r="AH661" s="108" t="s">
        <v>92</v>
      </c>
    </row>
    <row r="662" spans="1:34" x14ac:dyDescent="0.3">
      <c r="A662" s="118" t="s">
        <v>2263</v>
      </c>
      <c r="B662" s="119" t="s">
        <v>2266</v>
      </c>
      <c r="C662" s="119" t="s">
        <v>2267</v>
      </c>
      <c r="D662" s="120">
        <v>45667</v>
      </c>
      <c r="E662" s="121">
        <v>116000</v>
      </c>
      <c r="F662" s="119" t="s">
        <v>32</v>
      </c>
      <c r="G662" s="119" t="s">
        <v>33</v>
      </c>
      <c r="H662" s="121">
        <v>116000</v>
      </c>
      <c r="I662" s="121">
        <v>67100</v>
      </c>
      <c r="J662" s="122">
        <f t="shared" si="71"/>
        <v>57.84482758620689</v>
      </c>
      <c r="K662" s="121">
        <v>151786</v>
      </c>
      <c r="L662" s="121">
        <f>H662-140479</f>
        <v>-24479</v>
      </c>
      <c r="M662" s="121">
        <v>11307</v>
      </c>
      <c r="N662" s="123">
        <f t="shared" si="72"/>
        <v>9.7474137931034488E-2</v>
      </c>
      <c r="O662" s="124">
        <v>62.81</v>
      </c>
      <c r="P662" s="125">
        <v>150.58000000000001</v>
      </c>
      <c r="Q662" s="126">
        <v>0.30199999999999999</v>
      </c>
      <c r="R662" s="126">
        <v>0.30199999999999999</v>
      </c>
      <c r="S662" s="121">
        <f t="shared" si="73"/>
        <v>-389.73093456455979</v>
      </c>
      <c r="T662" s="121">
        <f t="shared" si="74"/>
        <v>-81056.291390728482</v>
      </c>
      <c r="U662" s="127">
        <f t="shared" si="75"/>
        <v>-1.860796404745833</v>
      </c>
      <c r="V662" s="126">
        <v>75</v>
      </c>
      <c r="W662" s="126">
        <f t="shared" si="76"/>
        <v>23200</v>
      </c>
      <c r="X662" s="126">
        <f t="shared" si="77"/>
        <v>309.33333333333331</v>
      </c>
      <c r="Y662" s="128" t="s">
        <v>2262</v>
      </c>
      <c r="Z662" s="119" t="s">
        <v>35</v>
      </c>
      <c r="AA662" s="119" t="s">
        <v>35</v>
      </c>
      <c r="AB662" s="119" t="s">
        <v>2263</v>
      </c>
      <c r="AC662" s="119">
        <v>0</v>
      </c>
      <c r="AD662" s="119">
        <v>1</v>
      </c>
      <c r="AE662" s="119" t="s">
        <v>42</v>
      </c>
      <c r="AF662" s="119" t="s">
        <v>35</v>
      </c>
      <c r="AG662" s="119" t="s">
        <v>38</v>
      </c>
      <c r="AH662" s="119" t="s">
        <v>92</v>
      </c>
    </row>
    <row r="663" spans="1:34" x14ac:dyDescent="0.3">
      <c r="A663" s="118" t="s">
        <v>2365</v>
      </c>
      <c r="B663" s="119" t="s">
        <v>2390</v>
      </c>
      <c r="C663" s="119" t="s">
        <v>2391</v>
      </c>
      <c r="D663" s="120">
        <v>45449</v>
      </c>
      <c r="E663" s="121">
        <v>50000</v>
      </c>
      <c r="F663" s="119" t="s">
        <v>32</v>
      </c>
      <c r="G663" s="119" t="s">
        <v>33</v>
      </c>
      <c r="H663" s="121">
        <v>50000</v>
      </c>
      <c r="I663" s="121">
        <v>52200</v>
      </c>
      <c r="J663" s="122">
        <f t="shared" si="71"/>
        <v>104.4</v>
      </c>
      <c r="K663" s="121">
        <v>123010</v>
      </c>
      <c r="L663" s="121">
        <f>H663-114214</f>
        <v>-64214</v>
      </c>
      <c r="M663" s="121">
        <v>8796</v>
      </c>
      <c r="N663" s="123">
        <f t="shared" si="72"/>
        <v>0.17591999999999999</v>
      </c>
      <c r="O663" s="124">
        <v>58.64</v>
      </c>
      <c r="P663" s="125">
        <v>161.59</v>
      </c>
      <c r="Q663" s="126">
        <v>0.19700000000000001</v>
      </c>
      <c r="R663" s="126">
        <v>0.19700000000000001</v>
      </c>
      <c r="S663" s="121">
        <f t="shared" si="73"/>
        <v>-1095.0545702592087</v>
      </c>
      <c r="T663" s="121">
        <f t="shared" si="74"/>
        <v>-325959.39086294413</v>
      </c>
      <c r="U663" s="127">
        <f t="shared" si="75"/>
        <v>-7.4829979536947686</v>
      </c>
      <c r="V663" s="126">
        <v>53</v>
      </c>
      <c r="W663" s="126">
        <f t="shared" si="76"/>
        <v>10000</v>
      </c>
      <c r="X663" s="126">
        <f t="shared" si="77"/>
        <v>188.67924528301887</v>
      </c>
      <c r="Y663" s="128" t="s">
        <v>2364</v>
      </c>
      <c r="Z663" s="119" t="s">
        <v>35</v>
      </c>
      <c r="AA663" s="119" t="s">
        <v>35</v>
      </c>
      <c r="AB663" s="119" t="s">
        <v>2365</v>
      </c>
      <c r="AC663" s="119">
        <v>0</v>
      </c>
      <c r="AD663" s="119">
        <v>1</v>
      </c>
      <c r="AE663" s="119" t="s">
        <v>37</v>
      </c>
      <c r="AF663" s="119" t="s">
        <v>43</v>
      </c>
      <c r="AG663" s="119" t="s">
        <v>38</v>
      </c>
      <c r="AH663" s="119" t="s">
        <v>92</v>
      </c>
    </row>
    <row r="664" spans="1:34" x14ac:dyDescent="0.3">
      <c r="A664" s="118" t="s">
        <v>2365</v>
      </c>
      <c r="B664" s="119" t="s">
        <v>2392</v>
      </c>
      <c r="C664" s="119" t="s">
        <v>2393</v>
      </c>
      <c r="D664" s="120">
        <v>45582</v>
      </c>
      <c r="E664" s="121">
        <v>135000</v>
      </c>
      <c r="F664" s="119" t="s">
        <v>81</v>
      </c>
      <c r="G664" s="119" t="s">
        <v>33</v>
      </c>
      <c r="H664" s="121">
        <v>135000</v>
      </c>
      <c r="I664" s="121">
        <v>76000</v>
      </c>
      <c r="J664" s="122">
        <f t="shared" si="71"/>
        <v>56.296296296296298</v>
      </c>
      <c r="K664" s="121">
        <v>176387</v>
      </c>
      <c r="L664" s="121">
        <f>H664-157010</f>
        <v>-22010</v>
      </c>
      <c r="M664" s="121">
        <v>19377</v>
      </c>
      <c r="N664" s="123">
        <f t="shared" si="72"/>
        <v>0.14353333333333335</v>
      </c>
      <c r="O664" s="124">
        <v>129.18</v>
      </c>
      <c r="P664" s="125">
        <v>163.69999999999999</v>
      </c>
      <c r="Q664" s="126">
        <v>0.436</v>
      </c>
      <c r="R664" s="126">
        <v>0.436</v>
      </c>
      <c r="S664" s="121">
        <f t="shared" si="73"/>
        <v>-170.38241213810187</v>
      </c>
      <c r="T664" s="121">
        <f t="shared" si="74"/>
        <v>-50481.651376146787</v>
      </c>
      <c r="U664" s="127">
        <f t="shared" si="75"/>
        <v>-1.1588992510593845</v>
      </c>
      <c r="V664" s="126">
        <v>116</v>
      </c>
      <c r="W664" s="126">
        <f t="shared" si="76"/>
        <v>27000</v>
      </c>
      <c r="X664" s="126">
        <f t="shared" si="77"/>
        <v>232.75862068965517</v>
      </c>
      <c r="Y664" s="128" t="s">
        <v>2364</v>
      </c>
      <c r="Z664" s="119" t="s">
        <v>35</v>
      </c>
      <c r="AA664" s="119" t="s">
        <v>35</v>
      </c>
      <c r="AB664" s="119" t="s">
        <v>2365</v>
      </c>
      <c r="AC664" s="119">
        <v>0</v>
      </c>
      <c r="AD664" s="119">
        <v>1</v>
      </c>
      <c r="AE664" s="119" t="s">
        <v>42</v>
      </c>
      <c r="AF664" s="119" t="s">
        <v>35</v>
      </c>
      <c r="AG664" s="119" t="s">
        <v>38</v>
      </c>
      <c r="AH664" s="119" t="s">
        <v>92</v>
      </c>
    </row>
    <row r="665" spans="1:34" x14ac:dyDescent="0.3">
      <c r="A665" s="107" t="s">
        <v>2365</v>
      </c>
      <c r="B665" s="108" t="s">
        <v>2378</v>
      </c>
      <c r="C665" s="108" t="s">
        <v>2379</v>
      </c>
      <c r="D665" s="109">
        <v>45138</v>
      </c>
      <c r="E665" s="110">
        <v>130000</v>
      </c>
      <c r="F665" s="108" t="s">
        <v>32</v>
      </c>
      <c r="G665" s="108" t="s">
        <v>33</v>
      </c>
      <c r="H665" s="110">
        <v>130000</v>
      </c>
      <c r="I665" s="110">
        <v>27500</v>
      </c>
      <c r="J665" s="111">
        <f t="shared" si="71"/>
        <v>21.153846153846153</v>
      </c>
      <c r="K665" s="110">
        <v>127128</v>
      </c>
      <c r="L665" s="110">
        <f>H665-110560</f>
        <v>19440</v>
      </c>
      <c r="M665" s="110">
        <v>16568</v>
      </c>
      <c r="N665" s="112">
        <f t="shared" si="72"/>
        <v>0.12744615384615385</v>
      </c>
      <c r="O665" s="113">
        <v>110.45</v>
      </c>
      <c r="P665" s="114">
        <v>138.07</v>
      </c>
      <c r="Q665" s="115">
        <v>0.34200000000000003</v>
      </c>
      <c r="R665" s="115">
        <v>0.34200000000000003</v>
      </c>
      <c r="S665" s="110">
        <f t="shared" si="73"/>
        <v>176.00724309642371</v>
      </c>
      <c r="T665" s="110">
        <f t="shared" si="74"/>
        <v>56842.105263157893</v>
      </c>
      <c r="U665" s="116">
        <f t="shared" si="75"/>
        <v>1.3049151805132666</v>
      </c>
      <c r="V665" s="115">
        <v>108</v>
      </c>
      <c r="W665" s="115">
        <f t="shared" si="76"/>
        <v>26000</v>
      </c>
      <c r="X665" s="115">
        <f t="shared" si="77"/>
        <v>240.74074074074073</v>
      </c>
      <c r="Y665" s="117" t="s">
        <v>2364</v>
      </c>
      <c r="Z665" s="108" t="s">
        <v>35</v>
      </c>
      <c r="AA665" s="108" t="s">
        <v>35</v>
      </c>
      <c r="AB665" s="108" t="s">
        <v>2365</v>
      </c>
      <c r="AC665" s="108">
        <v>0</v>
      </c>
      <c r="AD665" s="108">
        <v>1</v>
      </c>
      <c r="AE665" s="108" t="s">
        <v>2380</v>
      </c>
      <c r="AF665" s="108" t="s">
        <v>43</v>
      </c>
      <c r="AG665" s="108" t="s">
        <v>38</v>
      </c>
      <c r="AH665" s="108" t="s">
        <v>92</v>
      </c>
    </row>
    <row r="666" spans="1:34" x14ac:dyDescent="0.3">
      <c r="A666" s="118" t="s">
        <v>2365</v>
      </c>
      <c r="B666" s="119" t="s">
        <v>2381</v>
      </c>
      <c r="C666" s="119" t="s">
        <v>2382</v>
      </c>
      <c r="D666" s="120">
        <v>45264</v>
      </c>
      <c r="E666" s="121">
        <v>185000</v>
      </c>
      <c r="F666" s="119" t="s">
        <v>32</v>
      </c>
      <c r="G666" s="119" t="s">
        <v>33</v>
      </c>
      <c r="H666" s="121">
        <v>185000</v>
      </c>
      <c r="I666" s="121">
        <v>85000</v>
      </c>
      <c r="J666" s="122">
        <f t="shared" si="71"/>
        <v>45.945945945945951</v>
      </c>
      <c r="K666" s="121">
        <v>205553</v>
      </c>
      <c r="L666" s="121">
        <f>H666-182489</f>
        <v>2511</v>
      </c>
      <c r="M666" s="121">
        <v>23064</v>
      </c>
      <c r="N666" s="123">
        <f t="shared" si="72"/>
        <v>0.12467027027027026</v>
      </c>
      <c r="O666" s="124">
        <v>153.76</v>
      </c>
      <c r="P666" s="125">
        <v>138.69999999999999</v>
      </c>
      <c r="Q666" s="126">
        <v>0.47799999999999998</v>
      </c>
      <c r="R666" s="126">
        <v>0.47799999999999998</v>
      </c>
      <c r="S666" s="121">
        <f t="shared" si="73"/>
        <v>16.330645161290324</v>
      </c>
      <c r="T666" s="121">
        <f t="shared" si="74"/>
        <v>5253.1380753138073</v>
      </c>
      <c r="U666" s="127">
        <f t="shared" si="75"/>
        <v>0.12059545627442166</v>
      </c>
      <c r="V666" s="126">
        <v>150</v>
      </c>
      <c r="W666" s="126">
        <f t="shared" si="76"/>
        <v>37000</v>
      </c>
      <c r="X666" s="126">
        <f t="shared" si="77"/>
        <v>246.66666666666666</v>
      </c>
      <c r="Y666" s="128" t="s">
        <v>2364</v>
      </c>
      <c r="Z666" s="119" t="s">
        <v>35</v>
      </c>
      <c r="AA666" s="119" t="s">
        <v>35</v>
      </c>
      <c r="AB666" s="119" t="s">
        <v>2365</v>
      </c>
      <c r="AC666" s="119">
        <v>0</v>
      </c>
      <c r="AD666" s="119">
        <v>1</v>
      </c>
      <c r="AE666" s="119" t="s">
        <v>412</v>
      </c>
      <c r="AF666" s="119" t="s">
        <v>43</v>
      </c>
      <c r="AG666" s="119" t="s">
        <v>38</v>
      </c>
      <c r="AH666" s="119" t="s">
        <v>92</v>
      </c>
    </row>
    <row r="667" spans="1:34" x14ac:dyDescent="0.3">
      <c r="A667" s="118" t="s">
        <v>2365</v>
      </c>
      <c r="B667" s="119" t="s">
        <v>2383</v>
      </c>
      <c r="C667" s="119" t="s">
        <v>2384</v>
      </c>
      <c r="D667" s="120">
        <v>45085</v>
      </c>
      <c r="E667" s="121">
        <v>192500</v>
      </c>
      <c r="F667" s="119" t="s">
        <v>32</v>
      </c>
      <c r="G667" s="119" t="s">
        <v>66</v>
      </c>
      <c r="H667" s="121">
        <v>192500</v>
      </c>
      <c r="I667" s="121">
        <v>87300</v>
      </c>
      <c r="J667" s="122">
        <f t="shared" si="71"/>
        <v>45.350649350649356</v>
      </c>
      <c r="K667" s="121">
        <v>212325</v>
      </c>
      <c r="L667" s="121">
        <f>H667-193798</f>
        <v>-1298</v>
      </c>
      <c r="M667" s="121">
        <v>18527</v>
      </c>
      <c r="N667" s="123">
        <f t="shared" si="72"/>
        <v>9.624415584415584E-2</v>
      </c>
      <c r="O667" s="124">
        <v>123.51</v>
      </c>
      <c r="P667" s="125">
        <v>279.64</v>
      </c>
      <c r="Q667" s="126">
        <v>0.38500000000000001</v>
      </c>
      <c r="R667" s="126">
        <v>0.20899999999999999</v>
      </c>
      <c r="S667" s="121">
        <f t="shared" si="73"/>
        <v>-10.509270504412598</v>
      </c>
      <c r="T667" s="121">
        <f t="shared" si="74"/>
        <v>-3371.4285714285716</v>
      </c>
      <c r="U667" s="127">
        <f t="shared" si="75"/>
        <v>-7.7397350124622857E-2</v>
      </c>
      <c r="V667" s="126">
        <v>120</v>
      </c>
      <c r="W667" s="126">
        <f t="shared" si="76"/>
        <v>38500</v>
      </c>
      <c r="X667" s="126">
        <f t="shared" si="77"/>
        <v>320.83333333333331</v>
      </c>
      <c r="Y667" s="128" t="s">
        <v>2364</v>
      </c>
      <c r="Z667" s="119" t="s">
        <v>35</v>
      </c>
      <c r="AA667" s="119" t="s">
        <v>2385</v>
      </c>
      <c r="AB667" s="119" t="s">
        <v>2365</v>
      </c>
      <c r="AC667" s="119">
        <v>0</v>
      </c>
      <c r="AD667" s="119">
        <v>1</v>
      </c>
      <c r="AE667" s="119" t="s">
        <v>42</v>
      </c>
      <c r="AF667" s="119" t="s">
        <v>43</v>
      </c>
      <c r="AG667" s="119" t="s">
        <v>38</v>
      </c>
      <c r="AH667" s="119" t="s">
        <v>92</v>
      </c>
    </row>
    <row r="668" spans="1:34" x14ac:dyDescent="0.3">
      <c r="A668" s="118" t="s">
        <v>2365</v>
      </c>
      <c r="B668" s="119" t="s">
        <v>2372</v>
      </c>
      <c r="C668" s="119" t="s">
        <v>2373</v>
      </c>
      <c r="D668" s="120">
        <v>45182</v>
      </c>
      <c r="E668" s="121">
        <v>189900</v>
      </c>
      <c r="F668" s="119" t="s">
        <v>32</v>
      </c>
      <c r="G668" s="119" t="s">
        <v>33</v>
      </c>
      <c r="H668" s="121">
        <v>189900</v>
      </c>
      <c r="I668" s="121">
        <v>53800</v>
      </c>
      <c r="J668" s="122">
        <f t="shared" si="71"/>
        <v>28.330700368615059</v>
      </c>
      <c r="K668" s="121">
        <v>140622</v>
      </c>
      <c r="L668" s="121">
        <f>H668-125413</f>
        <v>64487</v>
      </c>
      <c r="M668" s="121">
        <v>15209</v>
      </c>
      <c r="N668" s="123">
        <f t="shared" si="72"/>
        <v>8.0089520800421268E-2</v>
      </c>
      <c r="O668" s="124">
        <v>101.39</v>
      </c>
      <c r="P668" s="125">
        <v>135.69999999999999</v>
      </c>
      <c r="Q668" s="126">
        <v>0.312</v>
      </c>
      <c r="R668" s="126">
        <v>0.312</v>
      </c>
      <c r="S668" s="121">
        <f t="shared" si="73"/>
        <v>636.02919420061153</v>
      </c>
      <c r="T668" s="121">
        <f t="shared" si="74"/>
        <v>206689.10256410256</v>
      </c>
      <c r="U668" s="127">
        <f t="shared" si="75"/>
        <v>4.7449288926561657</v>
      </c>
      <c r="V668" s="126">
        <v>100</v>
      </c>
      <c r="W668" s="126">
        <f t="shared" si="76"/>
        <v>37980</v>
      </c>
      <c r="X668" s="126">
        <f t="shared" si="77"/>
        <v>379.8</v>
      </c>
      <c r="Y668" s="128" t="s">
        <v>2364</v>
      </c>
      <c r="Z668" s="119" t="s">
        <v>35</v>
      </c>
      <c r="AA668" s="119" t="s">
        <v>35</v>
      </c>
      <c r="AB668" s="119" t="s">
        <v>2365</v>
      </c>
      <c r="AC668" s="119">
        <v>0</v>
      </c>
      <c r="AD668" s="119">
        <v>1</v>
      </c>
      <c r="AE668" s="119" t="s">
        <v>42</v>
      </c>
      <c r="AF668" s="119" t="s">
        <v>43</v>
      </c>
      <c r="AG668" s="119" t="s">
        <v>38</v>
      </c>
      <c r="AH668" s="119" t="s">
        <v>92</v>
      </c>
    </row>
    <row r="669" spans="1:34" x14ac:dyDescent="0.3">
      <c r="A669" s="118" t="s">
        <v>2365</v>
      </c>
      <c r="B669" s="119" t="s">
        <v>2366</v>
      </c>
      <c r="C669" s="119" t="s">
        <v>2367</v>
      </c>
      <c r="D669" s="120">
        <v>45399</v>
      </c>
      <c r="E669" s="121">
        <v>115000</v>
      </c>
      <c r="F669" s="119" t="s">
        <v>32</v>
      </c>
      <c r="G669" s="119" t="s">
        <v>33</v>
      </c>
      <c r="H669" s="121">
        <v>115000</v>
      </c>
      <c r="I669" s="121">
        <v>50700</v>
      </c>
      <c r="J669" s="122">
        <f t="shared" si="71"/>
        <v>44.086956521739125</v>
      </c>
      <c r="K669" s="121">
        <v>118033</v>
      </c>
      <c r="L669" s="121">
        <f>H669-109341</f>
        <v>5659</v>
      </c>
      <c r="M669" s="121">
        <v>8692</v>
      </c>
      <c r="N669" s="123">
        <f t="shared" si="72"/>
        <v>7.558260869565217E-2</v>
      </c>
      <c r="O669" s="124">
        <v>57.94</v>
      </c>
      <c r="P669" s="125">
        <v>137.68</v>
      </c>
      <c r="Q669" s="126">
        <v>0.18</v>
      </c>
      <c r="R669" s="126">
        <v>0.18</v>
      </c>
      <c r="S669" s="121">
        <f t="shared" si="73"/>
        <v>97.670003451846739</v>
      </c>
      <c r="T669" s="121">
        <f t="shared" si="74"/>
        <v>31438.888888888891</v>
      </c>
      <c r="U669" s="127">
        <f t="shared" si="75"/>
        <v>0.72173757779818393</v>
      </c>
      <c r="V669" s="126">
        <v>56.03</v>
      </c>
      <c r="W669" s="126">
        <f t="shared" si="76"/>
        <v>23000</v>
      </c>
      <c r="X669" s="126">
        <f t="shared" si="77"/>
        <v>410.49437801177942</v>
      </c>
      <c r="Y669" s="128" t="s">
        <v>2364</v>
      </c>
      <c r="Z669" s="119" t="s">
        <v>35</v>
      </c>
      <c r="AA669" s="119" t="s">
        <v>35</v>
      </c>
      <c r="AB669" s="119" t="s">
        <v>2365</v>
      </c>
      <c r="AC669" s="119">
        <v>0</v>
      </c>
      <c r="AD669" s="119">
        <v>1</v>
      </c>
      <c r="AE669" s="119" t="s">
        <v>42</v>
      </c>
      <c r="AF669" s="119" t="s">
        <v>43</v>
      </c>
      <c r="AG669" s="119" t="s">
        <v>38</v>
      </c>
      <c r="AH669" s="119" t="s">
        <v>92</v>
      </c>
    </row>
    <row r="670" spans="1:34" x14ac:dyDescent="0.3">
      <c r="A670" s="107" t="s">
        <v>2365</v>
      </c>
      <c r="B670" s="108" t="s">
        <v>2392</v>
      </c>
      <c r="C670" s="108" t="s">
        <v>2393</v>
      </c>
      <c r="D670" s="109">
        <v>45741</v>
      </c>
      <c r="E670" s="110">
        <v>245000</v>
      </c>
      <c r="F670" s="108" t="s">
        <v>32</v>
      </c>
      <c r="G670" s="108" t="s">
        <v>33</v>
      </c>
      <c r="H670" s="110">
        <v>245000</v>
      </c>
      <c r="I670" s="110">
        <v>76000</v>
      </c>
      <c r="J670" s="111">
        <f t="shared" si="71"/>
        <v>31.020408163265305</v>
      </c>
      <c r="K670" s="110">
        <v>176387</v>
      </c>
      <c r="L670" s="110">
        <f>H670-157010</f>
        <v>87990</v>
      </c>
      <c r="M670" s="110">
        <v>19377</v>
      </c>
      <c r="N670" s="112">
        <f t="shared" si="72"/>
        <v>7.9089795918367345E-2</v>
      </c>
      <c r="O670" s="113">
        <v>129.18</v>
      </c>
      <c r="P670" s="114">
        <v>163.69999999999999</v>
      </c>
      <c r="Q670" s="115">
        <v>0.436</v>
      </c>
      <c r="R670" s="115">
        <v>0.436</v>
      </c>
      <c r="S670" s="110">
        <f t="shared" si="73"/>
        <v>681.14259173246626</v>
      </c>
      <c r="T670" s="110">
        <f t="shared" si="74"/>
        <v>201811.92660550459</v>
      </c>
      <c r="U670" s="116">
        <f t="shared" si="75"/>
        <v>4.6329643389693436</v>
      </c>
      <c r="V670" s="115">
        <v>116</v>
      </c>
      <c r="W670" s="115">
        <f t="shared" si="76"/>
        <v>49000</v>
      </c>
      <c r="X670" s="115">
        <f t="shared" si="77"/>
        <v>422.41379310344826</v>
      </c>
      <c r="Y670" s="117" t="s">
        <v>2364</v>
      </c>
      <c r="Z670" s="108" t="s">
        <v>35</v>
      </c>
      <c r="AA670" s="108" t="s">
        <v>35</v>
      </c>
      <c r="AB670" s="108" t="s">
        <v>2365</v>
      </c>
      <c r="AC670" s="108">
        <v>0</v>
      </c>
      <c r="AD670" s="108">
        <v>1</v>
      </c>
      <c r="AE670" s="108" t="s">
        <v>42</v>
      </c>
      <c r="AF670" s="108" t="s">
        <v>35</v>
      </c>
      <c r="AG670" s="108" t="s">
        <v>38</v>
      </c>
      <c r="AH670" s="108" t="s">
        <v>92</v>
      </c>
    </row>
    <row r="671" spans="1:34" x14ac:dyDescent="0.3">
      <c r="A671" s="107" t="s">
        <v>2365</v>
      </c>
      <c r="B671" s="108" t="s">
        <v>2368</v>
      </c>
      <c r="C671" s="108" t="s">
        <v>2369</v>
      </c>
      <c r="D671" s="109">
        <v>45023</v>
      </c>
      <c r="E671" s="110">
        <v>115000</v>
      </c>
      <c r="F671" s="108" t="s">
        <v>32</v>
      </c>
      <c r="G671" s="108" t="s">
        <v>33</v>
      </c>
      <c r="H671" s="110">
        <v>115000</v>
      </c>
      <c r="I671" s="110">
        <v>34000</v>
      </c>
      <c r="J671" s="111">
        <f t="shared" si="71"/>
        <v>29.565217391304348</v>
      </c>
      <c r="K671" s="110">
        <v>89581</v>
      </c>
      <c r="L671" s="110">
        <f>H671-81996</f>
        <v>33004</v>
      </c>
      <c r="M671" s="110">
        <v>7585</v>
      </c>
      <c r="N671" s="112">
        <f t="shared" si="72"/>
        <v>6.5956521739130441E-2</v>
      </c>
      <c r="O671" s="113">
        <v>50.56</v>
      </c>
      <c r="P671" s="114">
        <v>135.01</v>
      </c>
      <c r="Q671" s="115">
        <v>0.155</v>
      </c>
      <c r="R671" s="115">
        <v>0.155</v>
      </c>
      <c r="S671" s="110">
        <f t="shared" si="73"/>
        <v>652.76898734177212</v>
      </c>
      <c r="T671" s="110">
        <f t="shared" si="74"/>
        <v>212929.03225806452</v>
      </c>
      <c r="U671" s="116">
        <f t="shared" si="75"/>
        <v>4.8881779673568531</v>
      </c>
      <c r="V671" s="115">
        <v>50</v>
      </c>
      <c r="W671" s="115">
        <f t="shared" si="76"/>
        <v>23000</v>
      </c>
      <c r="X671" s="115">
        <f t="shared" si="77"/>
        <v>460</v>
      </c>
      <c r="Y671" s="117" t="s">
        <v>2364</v>
      </c>
      <c r="Z671" s="108" t="s">
        <v>35</v>
      </c>
      <c r="AA671" s="108" t="s">
        <v>35</v>
      </c>
      <c r="AB671" s="108" t="s">
        <v>2365</v>
      </c>
      <c r="AC671" s="108">
        <v>0</v>
      </c>
      <c r="AD671" s="108">
        <v>1</v>
      </c>
      <c r="AE671" s="108" t="s">
        <v>42</v>
      </c>
      <c r="AF671" s="108" t="s">
        <v>43</v>
      </c>
      <c r="AG671" s="108" t="s">
        <v>38</v>
      </c>
      <c r="AH671" s="108" t="s">
        <v>92</v>
      </c>
    </row>
    <row r="672" spans="1:34" x14ac:dyDescent="0.3">
      <c r="A672" s="107" t="s">
        <v>2365</v>
      </c>
      <c r="B672" s="108" t="s">
        <v>2362</v>
      </c>
      <c r="C672" s="108" t="s">
        <v>2363</v>
      </c>
      <c r="D672" s="109">
        <v>45433</v>
      </c>
      <c r="E672" s="110">
        <v>120600</v>
      </c>
      <c r="F672" s="108" t="s">
        <v>32</v>
      </c>
      <c r="G672" s="108" t="s">
        <v>33</v>
      </c>
      <c r="H672" s="110">
        <v>120600</v>
      </c>
      <c r="I672" s="110">
        <v>42300</v>
      </c>
      <c r="J672" s="111">
        <f t="shared" si="71"/>
        <v>35.074626865671647</v>
      </c>
      <c r="K672" s="110">
        <v>99291</v>
      </c>
      <c r="L672" s="110">
        <f>H672-91711</f>
        <v>28889</v>
      </c>
      <c r="M672" s="110">
        <v>7580</v>
      </c>
      <c r="N672" s="112">
        <f t="shared" si="72"/>
        <v>6.2852404643449419E-2</v>
      </c>
      <c r="O672" s="113">
        <v>50.53</v>
      </c>
      <c r="P672" s="114">
        <v>134.82</v>
      </c>
      <c r="Q672" s="115">
        <v>0.155</v>
      </c>
      <c r="R672" s="115">
        <v>0.155</v>
      </c>
      <c r="S672" s="110">
        <f t="shared" si="73"/>
        <v>571.71977043340587</v>
      </c>
      <c r="T672" s="110">
        <f t="shared" si="74"/>
        <v>186380.64516129033</v>
      </c>
      <c r="U672" s="116">
        <f t="shared" si="75"/>
        <v>4.278710862288575</v>
      </c>
      <c r="V672" s="115">
        <v>50</v>
      </c>
      <c r="W672" s="115">
        <f t="shared" si="76"/>
        <v>24120</v>
      </c>
      <c r="X672" s="115">
        <f t="shared" si="77"/>
        <v>482.4</v>
      </c>
      <c r="Y672" s="117" t="s">
        <v>2364</v>
      </c>
      <c r="Z672" s="108" t="s">
        <v>35</v>
      </c>
      <c r="AA672" s="108" t="s">
        <v>35</v>
      </c>
      <c r="AB672" s="108" t="s">
        <v>2365</v>
      </c>
      <c r="AC672" s="108">
        <v>0</v>
      </c>
      <c r="AD672" s="108">
        <v>1</v>
      </c>
      <c r="AE672" s="108" t="s">
        <v>42</v>
      </c>
      <c r="AF672" s="108" t="s">
        <v>43</v>
      </c>
      <c r="AG672" s="108" t="s">
        <v>38</v>
      </c>
      <c r="AH672" s="108" t="s">
        <v>92</v>
      </c>
    </row>
    <row r="673" spans="1:34" x14ac:dyDescent="0.3">
      <c r="A673" s="118" t="s">
        <v>2365</v>
      </c>
      <c r="B673" s="119" t="s">
        <v>2362</v>
      </c>
      <c r="C673" s="119" t="s">
        <v>2363</v>
      </c>
      <c r="D673" s="120">
        <v>45555</v>
      </c>
      <c r="E673" s="121">
        <v>132000</v>
      </c>
      <c r="F673" s="119" t="s">
        <v>32</v>
      </c>
      <c r="G673" s="119" t="s">
        <v>33</v>
      </c>
      <c r="H673" s="121">
        <v>132000</v>
      </c>
      <c r="I673" s="121">
        <v>42300</v>
      </c>
      <c r="J673" s="122">
        <f t="shared" si="71"/>
        <v>32.045454545454547</v>
      </c>
      <c r="K673" s="121">
        <v>99291</v>
      </c>
      <c r="L673" s="121">
        <f>H673-91711</f>
        <v>40289</v>
      </c>
      <c r="M673" s="121">
        <v>7580</v>
      </c>
      <c r="N673" s="123">
        <f t="shared" si="72"/>
        <v>5.7424242424242426E-2</v>
      </c>
      <c r="O673" s="124">
        <v>50.53</v>
      </c>
      <c r="P673" s="125">
        <v>134.82</v>
      </c>
      <c r="Q673" s="126">
        <v>0.155</v>
      </c>
      <c r="R673" s="126">
        <v>0.155</v>
      </c>
      <c r="S673" s="121">
        <f t="shared" si="73"/>
        <v>797.3283198100138</v>
      </c>
      <c r="T673" s="121">
        <f t="shared" si="74"/>
        <v>259929.03225806452</v>
      </c>
      <c r="U673" s="127">
        <f t="shared" si="75"/>
        <v>5.9671495008738411</v>
      </c>
      <c r="V673" s="126">
        <v>50</v>
      </c>
      <c r="W673" s="126">
        <f t="shared" si="76"/>
        <v>26400</v>
      </c>
      <c r="X673" s="126">
        <f t="shared" si="77"/>
        <v>528</v>
      </c>
      <c r="Y673" s="128" t="s">
        <v>2364</v>
      </c>
      <c r="Z673" s="119" t="s">
        <v>35</v>
      </c>
      <c r="AA673" s="119" t="s">
        <v>35</v>
      </c>
      <c r="AB673" s="119" t="s">
        <v>2365</v>
      </c>
      <c r="AC673" s="119">
        <v>0</v>
      </c>
      <c r="AD673" s="119">
        <v>1</v>
      </c>
      <c r="AE673" s="119" t="s">
        <v>42</v>
      </c>
      <c r="AF673" s="119" t="s">
        <v>43</v>
      </c>
      <c r="AG673" s="119" t="s">
        <v>38</v>
      </c>
      <c r="AH673" s="119" t="s">
        <v>92</v>
      </c>
    </row>
    <row r="674" spans="1:34" x14ac:dyDescent="0.3">
      <c r="A674" s="107" t="s">
        <v>2365</v>
      </c>
      <c r="B674" s="108" t="s">
        <v>2370</v>
      </c>
      <c r="C674" s="108" t="s">
        <v>2371</v>
      </c>
      <c r="D674" s="109">
        <v>45309</v>
      </c>
      <c r="E674" s="110">
        <v>135000</v>
      </c>
      <c r="F674" s="108" t="s">
        <v>32</v>
      </c>
      <c r="G674" s="108" t="s">
        <v>33</v>
      </c>
      <c r="H674" s="110">
        <v>135000</v>
      </c>
      <c r="I674" s="110">
        <v>34900</v>
      </c>
      <c r="J674" s="111">
        <f t="shared" si="71"/>
        <v>25.851851851851855</v>
      </c>
      <c r="K674" s="110">
        <v>101713</v>
      </c>
      <c r="L674" s="110">
        <f>H674-94113</f>
        <v>40887</v>
      </c>
      <c r="M674" s="110">
        <v>7600</v>
      </c>
      <c r="N674" s="112">
        <f t="shared" si="72"/>
        <v>5.6296296296296296E-2</v>
      </c>
      <c r="O674" s="113">
        <v>50.66</v>
      </c>
      <c r="P674" s="114">
        <v>135.56</v>
      </c>
      <c r="Q674" s="115">
        <v>0.156</v>
      </c>
      <c r="R674" s="115">
        <v>0.156</v>
      </c>
      <c r="S674" s="110">
        <f t="shared" si="73"/>
        <v>807.0864587445717</v>
      </c>
      <c r="T674" s="110">
        <f t="shared" si="74"/>
        <v>262096.15384615384</v>
      </c>
      <c r="U674" s="116">
        <f t="shared" si="75"/>
        <v>6.0168997668997672</v>
      </c>
      <c r="V674" s="115">
        <v>50</v>
      </c>
      <c r="W674" s="115">
        <f t="shared" si="76"/>
        <v>27000</v>
      </c>
      <c r="X674" s="115">
        <f t="shared" si="77"/>
        <v>540</v>
      </c>
      <c r="Y674" s="117" t="s">
        <v>2364</v>
      </c>
      <c r="Z674" s="108" t="s">
        <v>35</v>
      </c>
      <c r="AA674" s="108" t="s">
        <v>35</v>
      </c>
      <c r="AB674" s="108" t="s">
        <v>2365</v>
      </c>
      <c r="AC674" s="108">
        <v>0</v>
      </c>
      <c r="AD674" s="108">
        <v>1</v>
      </c>
      <c r="AE674" s="108" t="s">
        <v>42</v>
      </c>
      <c r="AF674" s="108" t="s">
        <v>43</v>
      </c>
      <c r="AG674" s="108" t="s">
        <v>38</v>
      </c>
      <c r="AH674" s="108" t="s">
        <v>92</v>
      </c>
    </row>
    <row r="675" spans="1:34" x14ac:dyDescent="0.3">
      <c r="A675" s="107" t="s">
        <v>2365</v>
      </c>
      <c r="B675" s="108" t="s">
        <v>2376</v>
      </c>
      <c r="C675" s="108" t="s">
        <v>2377</v>
      </c>
      <c r="D675" s="109">
        <v>45448</v>
      </c>
      <c r="E675" s="110">
        <v>150000</v>
      </c>
      <c r="F675" s="108" t="s">
        <v>32</v>
      </c>
      <c r="G675" s="108" t="s">
        <v>33</v>
      </c>
      <c r="H675" s="110">
        <v>150000</v>
      </c>
      <c r="I675" s="110">
        <v>44300</v>
      </c>
      <c r="J675" s="111">
        <f t="shared" si="71"/>
        <v>29.533333333333335</v>
      </c>
      <c r="K675" s="110">
        <v>102863</v>
      </c>
      <c r="L675" s="110">
        <f>H675-95216</f>
        <v>54784</v>
      </c>
      <c r="M675" s="110">
        <v>7647</v>
      </c>
      <c r="N675" s="112">
        <f t="shared" si="72"/>
        <v>5.0979999999999998E-2</v>
      </c>
      <c r="O675" s="113">
        <v>50.98</v>
      </c>
      <c r="P675" s="114">
        <v>137.22999999999999</v>
      </c>
      <c r="Q675" s="115">
        <v>0.158</v>
      </c>
      <c r="R675" s="115">
        <v>0.158</v>
      </c>
      <c r="S675" s="110">
        <f t="shared" si="73"/>
        <v>1074.6174970576697</v>
      </c>
      <c r="T675" s="110">
        <f t="shared" si="74"/>
        <v>346734.17721518985</v>
      </c>
      <c r="U675" s="116">
        <f t="shared" si="75"/>
        <v>7.9599214236728617</v>
      </c>
      <c r="V675" s="115">
        <v>50</v>
      </c>
      <c r="W675" s="115">
        <f t="shared" si="76"/>
        <v>30000</v>
      </c>
      <c r="X675" s="115">
        <f t="shared" si="77"/>
        <v>600</v>
      </c>
      <c r="Y675" s="117" t="s">
        <v>2364</v>
      </c>
      <c r="Z675" s="108" t="s">
        <v>35</v>
      </c>
      <c r="AA675" s="108" t="s">
        <v>35</v>
      </c>
      <c r="AB675" s="108" t="s">
        <v>2365</v>
      </c>
      <c r="AC675" s="108">
        <v>0</v>
      </c>
      <c r="AD675" s="108">
        <v>1</v>
      </c>
      <c r="AE675" s="108" t="s">
        <v>42</v>
      </c>
      <c r="AF675" s="108" t="s">
        <v>43</v>
      </c>
      <c r="AG675" s="108" t="s">
        <v>38</v>
      </c>
      <c r="AH675" s="108" t="s">
        <v>92</v>
      </c>
    </row>
    <row r="676" spans="1:34" x14ac:dyDescent="0.3">
      <c r="A676" s="107" t="s">
        <v>2365</v>
      </c>
      <c r="B676" s="108" t="s">
        <v>2386</v>
      </c>
      <c r="C676" s="108" t="s">
        <v>2387</v>
      </c>
      <c r="D676" s="109">
        <v>45134</v>
      </c>
      <c r="E676" s="110">
        <v>159750</v>
      </c>
      <c r="F676" s="108" t="s">
        <v>32</v>
      </c>
      <c r="G676" s="108" t="s">
        <v>33</v>
      </c>
      <c r="H676" s="110">
        <v>159750</v>
      </c>
      <c r="I676" s="110">
        <v>56800</v>
      </c>
      <c r="J676" s="111">
        <f t="shared" si="71"/>
        <v>35.555555555555557</v>
      </c>
      <c r="K676" s="110">
        <v>150105</v>
      </c>
      <c r="L676" s="110">
        <f>H676-141969</f>
        <v>17781</v>
      </c>
      <c r="M676" s="110">
        <v>8136</v>
      </c>
      <c r="N676" s="112">
        <f t="shared" si="72"/>
        <v>5.0929577464788732E-2</v>
      </c>
      <c r="O676" s="113">
        <v>54.23</v>
      </c>
      <c r="P676" s="114">
        <v>138.24</v>
      </c>
      <c r="Q676" s="115">
        <v>0.16800000000000001</v>
      </c>
      <c r="R676" s="115">
        <v>0.16800000000000001</v>
      </c>
      <c r="S676" s="110">
        <f t="shared" si="73"/>
        <v>327.88124654250419</v>
      </c>
      <c r="T676" s="110">
        <f t="shared" si="74"/>
        <v>105839.28571428571</v>
      </c>
      <c r="U676" s="116">
        <f t="shared" si="75"/>
        <v>2.4297356683720319</v>
      </c>
      <c r="V676" s="115">
        <v>53</v>
      </c>
      <c r="W676" s="115">
        <f t="shared" si="76"/>
        <v>31950</v>
      </c>
      <c r="X676" s="115">
        <f t="shared" si="77"/>
        <v>602.83018867924534</v>
      </c>
      <c r="Y676" s="117" t="s">
        <v>2364</v>
      </c>
      <c r="Z676" s="108" t="s">
        <v>35</v>
      </c>
      <c r="AA676" s="108" t="s">
        <v>35</v>
      </c>
      <c r="AB676" s="108" t="s">
        <v>2365</v>
      </c>
      <c r="AC676" s="108">
        <v>0</v>
      </c>
      <c r="AD676" s="108">
        <v>1</v>
      </c>
      <c r="AE676" s="108" t="s">
        <v>42</v>
      </c>
      <c r="AF676" s="108" t="s">
        <v>43</v>
      </c>
      <c r="AG676" s="108" t="s">
        <v>38</v>
      </c>
      <c r="AH676" s="108" t="s">
        <v>92</v>
      </c>
    </row>
    <row r="677" spans="1:34" x14ac:dyDescent="0.3">
      <c r="A677" s="107" t="s">
        <v>2365</v>
      </c>
      <c r="B677" s="108" t="s">
        <v>2388</v>
      </c>
      <c r="C677" s="108" t="s">
        <v>2389</v>
      </c>
      <c r="D677" s="109">
        <v>45681</v>
      </c>
      <c r="E677" s="110">
        <v>170000</v>
      </c>
      <c r="F677" s="108" t="s">
        <v>32</v>
      </c>
      <c r="G677" s="108" t="s">
        <v>33</v>
      </c>
      <c r="H677" s="110">
        <v>170000</v>
      </c>
      <c r="I677" s="110">
        <v>62800</v>
      </c>
      <c r="J677" s="111">
        <f t="shared" si="71"/>
        <v>36.941176470588232</v>
      </c>
      <c r="K677" s="110">
        <v>142543</v>
      </c>
      <c r="L677" s="110">
        <f>H677-134965</f>
        <v>35035</v>
      </c>
      <c r="M677" s="110">
        <v>7578</v>
      </c>
      <c r="N677" s="112">
        <f t="shared" si="72"/>
        <v>4.4576470588235294E-2</v>
      </c>
      <c r="O677" s="113">
        <v>50.51</v>
      </c>
      <c r="P677" s="114">
        <v>134.75</v>
      </c>
      <c r="Q677" s="115">
        <v>0.155</v>
      </c>
      <c r="R677" s="115">
        <v>0.155</v>
      </c>
      <c r="S677" s="110">
        <f t="shared" si="73"/>
        <v>693.6250247475748</v>
      </c>
      <c r="T677" s="110">
        <f t="shared" si="74"/>
        <v>226032.25806451612</v>
      </c>
      <c r="U677" s="116">
        <f t="shared" si="75"/>
        <v>5.188986640599544</v>
      </c>
      <c r="V677" s="115">
        <v>50</v>
      </c>
      <c r="W677" s="115">
        <f t="shared" si="76"/>
        <v>34000</v>
      </c>
      <c r="X677" s="115">
        <f t="shared" si="77"/>
        <v>680</v>
      </c>
      <c r="Y677" s="117" t="s">
        <v>2364</v>
      </c>
      <c r="Z677" s="108" t="s">
        <v>35</v>
      </c>
      <c r="AA677" s="108" t="s">
        <v>35</v>
      </c>
      <c r="AB677" s="108" t="s">
        <v>2365</v>
      </c>
      <c r="AC677" s="108">
        <v>0</v>
      </c>
      <c r="AD677" s="108">
        <v>1</v>
      </c>
      <c r="AE677" s="108" t="s">
        <v>37</v>
      </c>
      <c r="AF677" s="108" t="s">
        <v>35</v>
      </c>
      <c r="AG677" s="108" t="s">
        <v>38</v>
      </c>
      <c r="AH677" s="108" t="s">
        <v>92</v>
      </c>
    </row>
    <row r="678" spans="1:34" x14ac:dyDescent="0.3">
      <c r="A678" s="118" t="s">
        <v>2365</v>
      </c>
      <c r="B678" s="119" t="s">
        <v>2374</v>
      </c>
      <c r="C678" s="119" t="s">
        <v>2375</v>
      </c>
      <c r="D678" s="120">
        <v>45547</v>
      </c>
      <c r="E678" s="121">
        <v>189000</v>
      </c>
      <c r="F678" s="119" t="s">
        <v>32</v>
      </c>
      <c r="G678" s="119" t="s">
        <v>33</v>
      </c>
      <c r="H678" s="121">
        <v>189000</v>
      </c>
      <c r="I678" s="121">
        <v>59500</v>
      </c>
      <c r="J678" s="122">
        <f t="shared" si="71"/>
        <v>31.481481481481481</v>
      </c>
      <c r="K678" s="121">
        <v>139969</v>
      </c>
      <c r="L678" s="121">
        <f>H678-132337</f>
        <v>56663</v>
      </c>
      <c r="M678" s="121">
        <v>7632</v>
      </c>
      <c r="N678" s="123">
        <f t="shared" si="72"/>
        <v>4.0380952380952378E-2</v>
      </c>
      <c r="O678" s="124">
        <v>50.88</v>
      </c>
      <c r="P678" s="125">
        <v>136.69999999999999</v>
      </c>
      <c r="Q678" s="126">
        <v>0.157</v>
      </c>
      <c r="R678" s="126">
        <v>0.157</v>
      </c>
      <c r="S678" s="121">
        <f t="shared" si="73"/>
        <v>1113.6595911949685</v>
      </c>
      <c r="T678" s="121">
        <f t="shared" si="74"/>
        <v>360910.82802547771</v>
      </c>
      <c r="U678" s="127">
        <f t="shared" si="75"/>
        <v>8.285372544202886</v>
      </c>
      <c r="V678" s="126">
        <v>50</v>
      </c>
      <c r="W678" s="126">
        <f t="shared" si="76"/>
        <v>37800</v>
      </c>
      <c r="X678" s="126">
        <f t="shared" si="77"/>
        <v>756</v>
      </c>
      <c r="Y678" s="128" t="s">
        <v>2364</v>
      </c>
      <c r="Z678" s="119" t="s">
        <v>35</v>
      </c>
      <c r="AA678" s="119" t="s">
        <v>35</v>
      </c>
      <c r="AB678" s="119" t="s">
        <v>2365</v>
      </c>
      <c r="AC678" s="119">
        <v>0</v>
      </c>
      <c r="AD678" s="119">
        <v>1</v>
      </c>
      <c r="AE678" s="119" t="s">
        <v>42</v>
      </c>
      <c r="AF678" s="119" t="s">
        <v>43</v>
      </c>
      <c r="AG678" s="119" t="s">
        <v>38</v>
      </c>
      <c r="AH678" s="119" t="s">
        <v>92</v>
      </c>
    </row>
    <row r="679" spans="1:34" x14ac:dyDescent="0.3">
      <c r="A679" s="107" t="s">
        <v>2489</v>
      </c>
      <c r="B679" s="108" t="s">
        <v>2496</v>
      </c>
      <c r="C679" s="108" t="s">
        <v>2497</v>
      </c>
      <c r="D679" s="109">
        <v>45041</v>
      </c>
      <c r="E679" s="110">
        <v>137880</v>
      </c>
      <c r="F679" s="108" t="s">
        <v>32</v>
      </c>
      <c r="G679" s="108" t="s">
        <v>33</v>
      </c>
      <c r="H679" s="110">
        <v>137880</v>
      </c>
      <c r="I679" s="110">
        <v>43800</v>
      </c>
      <c r="J679" s="111">
        <f t="shared" si="71"/>
        <v>31.766753698868584</v>
      </c>
      <c r="K679" s="110">
        <v>109023</v>
      </c>
      <c r="L679" s="110">
        <f>H679-92223</f>
        <v>45657</v>
      </c>
      <c r="M679" s="110">
        <v>16800</v>
      </c>
      <c r="N679" s="112">
        <f t="shared" si="72"/>
        <v>0.12184508268059181</v>
      </c>
      <c r="O679" s="113">
        <v>80</v>
      </c>
      <c r="P679" s="114">
        <v>135</v>
      </c>
      <c r="Q679" s="115">
        <v>0.248</v>
      </c>
      <c r="R679" s="115">
        <v>0.248</v>
      </c>
      <c r="S679" s="110">
        <f t="shared" si="73"/>
        <v>570.71249999999998</v>
      </c>
      <c r="T679" s="110">
        <f t="shared" si="74"/>
        <v>184100.80645161291</v>
      </c>
      <c r="U679" s="116">
        <f t="shared" si="75"/>
        <v>4.2263729672087447</v>
      </c>
      <c r="V679" s="115">
        <v>80</v>
      </c>
      <c r="W679" s="115">
        <f t="shared" si="76"/>
        <v>27576</v>
      </c>
      <c r="X679" s="115">
        <f t="shared" si="77"/>
        <v>344.7</v>
      </c>
      <c r="Y679" s="117" t="s">
        <v>2488</v>
      </c>
      <c r="Z679" s="108" t="s">
        <v>35</v>
      </c>
      <c r="AA679" s="108" t="s">
        <v>35</v>
      </c>
      <c r="AB679" s="108" t="s">
        <v>2489</v>
      </c>
      <c r="AC679" s="108">
        <v>0</v>
      </c>
      <c r="AD679" s="108">
        <v>1</v>
      </c>
      <c r="AE679" s="108" t="s">
        <v>42</v>
      </c>
      <c r="AF679" s="108" t="s">
        <v>43</v>
      </c>
      <c r="AG679" s="108" t="s">
        <v>38</v>
      </c>
      <c r="AH679" s="108" t="s">
        <v>92</v>
      </c>
    </row>
    <row r="680" spans="1:34" x14ac:dyDescent="0.3">
      <c r="A680" s="107" t="s">
        <v>2489</v>
      </c>
      <c r="B680" s="108" t="s">
        <v>2494</v>
      </c>
      <c r="C680" s="108" t="s">
        <v>2495</v>
      </c>
      <c r="D680" s="109">
        <v>45407</v>
      </c>
      <c r="E680" s="110">
        <v>79900</v>
      </c>
      <c r="F680" s="108" t="s">
        <v>32</v>
      </c>
      <c r="G680" s="108" t="s">
        <v>33</v>
      </c>
      <c r="H680" s="110">
        <v>79900</v>
      </c>
      <c r="I680" s="110">
        <v>47900</v>
      </c>
      <c r="J680" s="111">
        <f t="shared" si="71"/>
        <v>59.949937421777221</v>
      </c>
      <c r="K680" s="110">
        <v>106206</v>
      </c>
      <c r="L680" s="110">
        <f>H680-97806</f>
        <v>-17906</v>
      </c>
      <c r="M680" s="110">
        <v>8400</v>
      </c>
      <c r="N680" s="112">
        <f t="shared" si="72"/>
        <v>0.10513141426783479</v>
      </c>
      <c r="O680" s="113">
        <v>40</v>
      </c>
      <c r="P680" s="114">
        <v>135</v>
      </c>
      <c r="Q680" s="115">
        <v>0.124</v>
      </c>
      <c r="R680" s="115">
        <v>0.124</v>
      </c>
      <c r="S680" s="110">
        <f t="shared" si="73"/>
        <v>-447.65</v>
      </c>
      <c r="T680" s="110">
        <f t="shared" si="74"/>
        <v>-144403.22580645161</v>
      </c>
      <c r="U680" s="116">
        <f t="shared" si="75"/>
        <v>-3.3150419147486594</v>
      </c>
      <c r="V680" s="115">
        <v>40</v>
      </c>
      <c r="W680" s="115">
        <f t="shared" si="76"/>
        <v>15980</v>
      </c>
      <c r="X680" s="115">
        <f t="shared" si="77"/>
        <v>399.5</v>
      </c>
      <c r="Y680" s="117" t="s">
        <v>2488</v>
      </c>
      <c r="Z680" s="108" t="s">
        <v>35</v>
      </c>
      <c r="AA680" s="108" t="s">
        <v>35</v>
      </c>
      <c r="AB680" s="108" t="s">
        <v>2489</v>
      </c>
      <c r="AC680" s="108">
        <v>0</v>
      </c>
      <c r="AD680" s="108">
        <v>1</v>
      </c>
      <c r="AE680" s="108" t="s">
        <v>42</v>
      </c>
      <c r="AF680" s="108" t="s">
        <v>43</v>
      </c>
      <c r="AG680" s="108" t="s">
        <v>38</v>
      </c>
      <c r="AH680" s="108" t="s">
        <v>92</v>
      </c>
    </row>
    <row r="681" spans="1:34" x14ac:dyDescent="0.3">
      <c r="A681" s="107" t="s">
        <v>2489</v>
      </c>
      <c r="B681" s="108" t="s">
        <v>2486</v>
      </c>
      <c r="C681" s="108" t="s">
        <v>2487</v>
      </c>
      <c r="D681" s="109">
        <v>45540</v>
      </c>
      <c r="E681" s="110">
        <v>189999</v>
      </c>
      <c r="F681" s="108" t="s">
        <v>32</v>
      </c>
      <c r="G681" s="108" t="s">
        <v>33</v>
      </c>
      <c r="H681" s="110">
        <v>189999</v>
      </c>
      <c r="I681" s="110">
        <v>89500</v>
      </c>
      <c r="J681" s="111">
        <f t="shared" si="71"/>
        <v>47.105511081637268</v>
      </c>
      <c r="K681" s="110">
        <v>192567</v>
      </c>
      <c r="L681" s="110">
        <f>H681-173667</f>
        <v>16332</v>
      </c>
      <c r="M681" s="110">
        <v>18900</v>
      </c>
      <c r="N681" s="112">
        <f t="shared" si="72"/>
        <v>9.9474207758988201E-2</v>
      </c>
      <c r="O681" s="113">
        <v>90</v>
      </c>
      <c r="P681" s="114">
        <v>135</v>
      </c>
      <c r="Q681" s="115">
        <v>0.27900000000000003</v>
      </c>
      <c r="R681" s="115">
        <v>0.27900000000000003</v>
      </c>
      <c r="S681" s="110">
        <f t="shared" si="73"/>
        <v>181.46666666666667</v>
      </c>
      <c r="T681" s="110">
        <f t="shared" si="74"/>
        <v>58537.634408602142</v>
      </c>
      <c r="U681" s="116">
        <f t="shared" si="75"/>
        <v>1.343839173751197</v>
      </c>
      <c r="V681" s="115">
        <v>90</v>
      </c>
      <c r="W681" s="115">
        <f t="shared" si="76"/>
        <v>37999.800000000003</v>
      </c>
      <c r="X681" s="115">
        <f t="shared" si="77"/>
        <v>422.22</v>
      </c>
      <c r="Y681" s="117" t="s">
        <v>2488</v>
      </c>
      <c r="Z681" s="108" t="s">
        <v>35</v>
      </c>
      <c r="AA681" s="108" t="s">
        <v>35</v>
      </c>
      <c r="AB681" s="108" t="s">
        <v>2489</v>
      </c>
      <c r="AC681" s="108">
        <v>0</v>
      </c>
      <c r="AD681" s="108">
        <v>1</v>
      </c>
      <c r="AE681" s="108" t="s">
        <v>42</v>
      </c>
      <c r="AF681" s="108" t="s">
        <v>43</v>
      </c>
      <c r="AG681" s="108" t="s">
        <v>38</v>
      </c>
      <c r="AH681" s="108" t="s">
        <v>92</v>
      </c>
    </row>
    <row r="682" spans="1:34" x14ac:dyDescent="0.3">
      <c r="A682" s="118" t="s">
        <v>2489</v>
      </c>
      <c r="B682" s="119" t="s">
        <v>2500</v>
      </c>
      <c r="C682" s="119" t="s">
        <v>2501</v>
      </c>
      <c r="D682" s="120">
        <v>45155</v>
      </c>
      <c r="E682" s="121">
        <v>122000</v>
      </c>
      <c r="F682" s="119" t="s">
        <v>32</v>
      </c>
      <c r="G682" s="119" t="s">
        <v>33</v>
      </c>
      <c r="H682" s="121">
        <v>122000</v>
      </c>
      <c r="I682" s="121">
        <v>46100</v>
      </c>
      <c r="J682" s="122">
        <f t="shared" si="71"/>
        <v>37.786885245901644</v>
      </c>
      <c r="K682" s="121">
        <v>115364</v>
      </c>
      <c r="L682" s="121">
        <f>H682-106964</f>
        <v>15036</v>
      </c>
      <c r="M682" s="121">
        <v>8400</v>
      </c>
      <c r="N682" s="123">
        <f t="shared" si="72"/>
        <v>6.8852459016393447E-2</v>
      </c>
      <c r="O682" s="124">
        <v>40</v>
      </c>
      <c r="P682" s="125">
        <v>135</v>
      </c>
      <c r="Q682" s="126">
        <v>0.124</v>
      </c>
      <c r="R682" s="126">
        <v>0.124</v>
      </c>
      <c r="S682" s="121">
        <f t="shared" si="73"/>
        <v>375.9</v>
      </c>
      <c r="T682" s="121">
        <f t="shared" si="74"/>
        <v>121258.06451612903</v>
      </c>
      <c r="U682" s="127">
        <f t="shared" si="75"/>
        <v>2.783702123878077</v>
      </c>
      <c r="V682" s="126">
        <v>40</v>
      </c>
      <c r="W682" s="126">
        <f t="shared" si="76"/>
        <v>24400</v>
      </c>
      <c r="X682" s="126">
        <f t="shared" si="77"/>
        <v>610</v>
      </c>
      <c r="Y682" s="128" t="s">
        <v>2488</v>
      </c>
      <c r="Z682" s="119" t="s">
        <v>35</v>
      </c>
      <c r="AA682" s="119" t="s">
        <v>35</v>
      </c>
      <c r="AB682" s="119" t="s">
        <v>2489</v>
      </c>
      <c r="AC682" s="119">
        <v>0</v>
      </c>
      <c r="AD682" s="119">
        <v>1</v>
      </c>
      <c r="AE682" s="119" t="s">
        <v>42</v>
      </c>
      <c r="AF682" s="119" t="s">
        <v>43</v>
      </c>
      <c r="AG682" s="119" t="s">
        <v>38</v>
      </c>
      <c r="AH682" s="119" t="s">
        <v>92</v>
      </c>
    </row>
    <row r="683" spans="1:34" x14ac:dyDescent="0.3">
      <c r="A683" s="118" t="s">
        <v>2489</v>
      </c>
      <c r="B683" s="119" t="s">
        <v>2492</v>
      </c>
      <c r="C683" s="119" t="s">
        <v>2493</v>
      </c>
      <c r="D683" s="120">
        <v>45506</v>
      </c>
      <c r="E683" s="121">
        <v>128000</v>
      </c>
      <c r="F683" s="119" t="s">
        <v>32</v>
      </c>
      <c r="G683" s="119" t="s">
        <v>33</v>
      </c>
      <c r="H683" s="121">
        <v>128000</v>
      </c>
      <c r="I683" s="121">
        <v>53100</v>
      </c>
      <c r="J683" s="122">
        <f t="shared" si="71"/>
        <v>41.484375</v>
      </c>
      <c r="K683" s="121">
        <v>112743</v>
      </c>
      <c r="L683" s="121">
        <f>H683-104343</f>
        <v>23657</v>
      </c>
      <c r="M683" s="121">
        <v>8400</v>
      </c>
      <c r="N683" s="123">
        <f t="shared" si="72"/>
        <v>6.5625000000000003E-2</v>
      </c>
      <c r="O683" s="124">
        <v>40</v>
      </c>
      <c r="P683" s="125">
        <v>135</v>
      </c>
      <c r="Q683" s="126">
        <v>0.124</v>
      </c>
      <c r="R683" s="126">
        <v>0.124</v>
      </c>
      <c r="S683" s="121">
        <f t="shared" si="73"/>
        <v>591.42499999999995</v>
      </c>
      <c r="T683" s="121">
        <f t="shared" si="74"/>
        <v>190782.25806451612</v>
      </c>
      <c r="U683" s="127">
        <f t="shared" si="75"/>
        <v>4.3797579904618029</v>
      </c>
      <c r="V683" s="126">
        <v>40</v>
      </c>
      <c r="W683" s="126">
        <f t="shared" si="76"/>
        <v>25600</v>
      </c>
      <c r="X683" s="126">
        <f t="shared" si="77"/>
        <v>640</v>
      </c>
      <c r="Y683" s="128" t="s">
        <v>2488</v>
      </c>
      <c r="Z683" s="119" t="s">
        <v>35</v>
      </c>
      <c r="AA683" s="119" t="s">
        <v>35</v>
      </c>
      <c r="AB683" s="119" t="s">
        <v>2489</v>
      </c>
      <c r="AC683" s="119">
        <v>0</v>
      </c>
      <c r="AD683" s="119">
        <v>1</v>
      </c>
      <c r="AE683" s="119" t="s">
        <v>42</v>
      </c>
      <c r="AF683" s="119" t="s">
        <v>43</v>
      </c>
      <c r="AG683" s="119" t="s">
        <v>38</v>
      </c>
      <c r="AH683" s="119" t="s">
        <v>92</v>
      </c>
    </row>
    <row r="684" spans="1:34" x14ac:dyDescent="0.3">
      <c r="A684" s="118" t="s">
        <v>2489</v>
      </c>
      <c r="B684" s="119" t="s">
        <v>2490</v>
      </c>
      <c r="C684" s="119" t="s">
        <v>2491</v>
      </c>
      <c r="D684" s="120">
        <v>45639</v>
      </c>
      <c r="E684" s="121">
        <v>130000</v>
      </c>
      <c r="F684" s="119" t="s">
        <v>32</v>
      </c>
      <c r="G684" s="119" t="s">
        <v>33</v>
      </c>
      <c r="H684" s="121">
        <v>130000</v>
      </c>
      <c r="I684" s="121">
        <v>67200</v>
      </c>
      <c r="J684" s="122">
        <f t="shared" si="71"/>
        <v>51.692307692307693</v>
      </c>
      <c r="K684" s="121">
        <v>143576</v>
      </c>
      <c r="L684" s="121">
        <f>H684-135269</f>
        <v>-5269</v>
      </c>
      <c r="M684" s="121">
        <v>8307</v>
      </c>
      <c r="N684" s="123">
        <f t="shared" si="72"/>
        <v>6.3899999999999998E-2</v>
      </c>
      <c r="O684" s="124">
        <v>39.549999999999997</v>
      </c>
      <c r="P684" s="125">
        <v>132.04</v>
      </c>
      <c r="Q684" s="126">
        <v>0.121</v>
      </c>
      <c r="R684" s="126">
        <v>0.121</v>
      </c>
      <c r="S684" s="121">
        <f t="shared" si="73"/>
        <v>-133.22376738305942</v>
      </c>
      <c r="T684" s="121">
        <f t="shared" si="74"/>
        <v>-43545.454545454544</v>
      </c>
      <c r="U684" s="127">
        <f t="shared" si="75"/>
        <v>-0.99966608231071041</v>
      </c>
      <c r="V684" s="126">
        <v>40</v>
      </c>
      <c r="W684" s="126">
        <f t="shared" si="76"/>
        <v>26000</v>
      </c>
      <c r="X684" s="126">
        <f t="shared" si="77"/>
        <v>650</v>
      </c>
      <c r="Y684" s="128" t="s">
        <v>2488</v>
      </c>
      <c r="Z684" s="119" t="s">
        <v>35</v>
      </c>
      <c r="AA684" s="119" t="s">
        <v>35</v>
      </c>
      <c r="AB684" s="119" t="s">
        <v>2489</v>
      </c>
      <c r="AC684" s="119">
        <v>0</v>
      </c>
      <c r="AD684" s="119">
        <v>1</v>
      </c>
      <c r="AE684" s="119" t="s">
        <v>42</v>
      </c>
      <c r="AF684" s="119" t="s">
        <v>35</v>
      </c>
      <c r="AG684" s="119" t="s">
        <v>38</v>
      </c>
      <c r="AH684" s="119" t="s">
        <v>92</v>
      </c>
    </row>
    <row r="685" spans="1:34" x14ac:dyDescent="0.3">
      <c r="A685" s="118" t="s">
        <v>2489</v>
      </c>
      <c r="B685" s="119" t="s">
        <v>2498</v>
      </c>
      <c r="C685" s="119" t="s">
        <v>2499</v>
      </c>
      <c r="D685" s="120">
        <v>45688</v>
      </c>
      <c r="E685" s="121">
        <v>136000</v>
      </c>
      <c r="F685" s="119" t="s">
        <v>81</v>
      </c>
      <c r="G685" s="119" t="s">
        <v>33</v>
      </c>
      <c r="H685" s="121">
        <v>136000</v>
      </c>
      <c r="I685" s="121">
        <v>46700</v>
      </c>
      <c r="J685" s="122">
        <f t="shared" si="71"/>
        <v>34.338235294117645</v>
      </c>
      <c r="K685" s="121">
        <v>103588</v>
      </c>
      <c r="L685" s="121">
        <f>H685-95188</f>
        <v>40812</v>
      </c>
      <c r="M685" s="121">
        <v>8400</v>
      </c>
      <c r="N685" s="123">
        <f t="shared" si="72"/>
        <v>6.1764705882352944E-2</v>
      </c>
      <c r="O685" s="124">
        <v>40</v>
      </c>
      <c r="P685" s="125">
        <v>135</v>
      </c>
      <c r="Q685" s="126">
        <v>0.124</v>
      </c>
      <c r="R685" s="126">
        <v>0.124</v>
      </c>
      <c r="S685" s="121">
        <f t="shared" si="73"/>
        <v>1020.3</v>
      </c>
      <c r="T685" s="121">
        <f t="shared" si="74"/>
        <v>329129.03225806454</v>
      </c>
      <c r="U685" s="127">
        <f t="shared" si="75"/>
        <v>7.5557629076690667</v>
      </c>
      <c r="V685" s="126">
        <v>40</v>
      </c>
      <c r="W685" s="126">
        <f t="shared" si="76"/>
        <v>27200</v>
      </c>
      <c r="X685" s="126">
        <f t="shared" si="77"/>
        <v>680</v>
      </c>
      <c r="Y685" s="128" t="s">
        <v>2488</v>
      </c>
      <c r="Z685" s="119" t="s">
        <v>35</v>
      </c>
      <c r="AA685" s="119" t="s">
        <v>35</v>
      </c>
      <c r="AB685" s="119" t="s">
        <v>2489</v>
      </c>
      <c r="AC685" s="119">
        <v>0</v>
      </c>
      <c r="AD685" s="119">
        <v>1</v>
      </c>
      <c r="AE685" s="119" t="s">
        <v>42</v>
      </c>
      <c r="AF685" s="119" t="s">
        <v>35</v>
      </c>
      <c r="AG685" s="119" t="s">
        <v>38</v>
      </c>
      <c r="AH685" s="119" t="s">
        <v>92</v>
      </c>
    </row>
    <row r="686" spans="1:34" x14ac:dyDescent="0.3">
      <c r="A686" s="107" t="s">
        <v>2466</v>
      </c>
      <c r="B686" s="108" t="s">
        <v>2480</v>
      </c>
      <c r="C686" s="108" t="s">
        <v>2481</v>
      </c>
      <c r="D686" s="109">
        <v>45554</v>
      </c>
      <c r="E686" s="110">
        <v>115000</v>
      </c>
      <c r="F686" s="108" t="s">
        <v>32</v>
      </c>
      <c r="G686" s="108" t="s">
        <v>33</v>
      </c>
      <c r="H686" s="110">
        <v>115000</v>
      </c>
      <c r="I686" s="110">
        <v>79800</v>
      </c>
      <c r="J686" s="111">
        <f t="shared" si="71"/>
        <v>69.391304347826093</v>
      </c>
      <c r="K686" s="110">
        <v>159210</v>
      </c>
      <c r="L686" s="110">
        <f>H686-141210</f>
        <v>-26210</v>
      </c>
      <c r="M686" s="110">
        <v>18000</v>
      </c>
      <c r="N686" s="112">
        <f t="shared" si="72"/>
        <v>0.15652173913043479</v>
      </c>
      <c r="O686" s="113">
        <v>60</v>
      </c>
      <c r="P686" s="114">
        <v>120</v>
      </c>
      <c r="Q686" s="115">
        <v>0.16500000000000001</v>
      </c>
      <c r="R686" s="115">
        <v>0.16500000000000001</v>
      </c>
      <c r="S686" s="110">
        <f t="shared" si="73"/>
        <v>-436.83333333333331</v>
      </c>
      <c r="T686" s="110">
        <f t="shared" si="74"/>
        <v>-158848.48484848483</v>
      </c>
      <c r="U686" s="116">
        <f t="shared" si="75"/>
        <v>-3.6466594317833985</v>
      </c>
      <c r="V686" s="115">
        <v>60</v>
      </c>
      <c r="W686" s="115">
        <f t="shared" si="76"/>
        <v>23000</v>
      </c>
      <c r="X686" s="115">
        <f t="shared" si="77"/>
        <v>383.33333333333331</v>
      </c>
      <c r="Y686" s="117" t="s">
        <v>2465</v>
      </c>
      <c r="Z686" s="108" t="s">
        <v>35</v>
      </c>
      <c r="AA686" s="108" t="s">
        <v>35</v>
      </c>
      <c r="AB686" s="108" t="s">
        <v>2466</v>
      </c>
      <c r="AC686" s="108">
        <v>0</v>
      </c>
      <c r="AD686" s="108">
        <v>1</v>
      </c>
      <c r="AE686" s="108" t="s">
        <v>37</v>
      </c>
      <c r="AF686" s="108" t="s">
        <v>43</v>
      </c>
      <c r="AG686" s="108" t="s">
        <v>38</v>
      </c>
      <c r="AH686" s="108" t="s">
        <v>92</v>
      </c>
    </row>
    <row r="687" spans="1:34" x14ac:dyDescent="0.3">
      <c r="A687" s="107" t="s">
        <v>2466</v>
      </c>
      <c r="B687" s="108" t="s">
        <v>2478</v>
      </c>
      <c r="C687" s="108" t="s">
        <v>2479</v>
      </c>
      <c r="D687" s="109">
        <v>45191</v>
      </c>
      <c r="E687" s="110">
        <v>195000</v>
      </c>
      <c r="F687" s="108" t="s">
        <v>32</v>
      </c>
      <c r="G687" s="108" t="s">
        <v>33</v>
      </c>
      <c r="H687" s="110">
        <v>195000</v>
      </c>
      <c r="I687" s="110">
        <v>86400</v>
      </c>
      <c r="J687" s="111">
        <f t="shared" si="71"/>
        <v>44.307692307692307</v>
      </c>
      <c r="K687" s="110">
        <v>200261</v>
      </c>
      <c r="L687" s="110">
        <f>H687-182261</f>
        <v>12739</v>
      </c>
      <c r="M687" s="110">
        <v>18000</v>
      </c>
      <c r="N687" s="112">
        <f t="shared" si="72"/>
        <v>9.2307692307692313E-2</v>
      </c>
      <c r="O687" s="113">
        <v>60</v>
      </c>
      <c r="P687" s="114">
        <v>120</v>
      </c>
      <c r="Q687" s="115">
        <v>0.16500000000000001</v>
      </c>
      <c r="R687" s="115">
        <v>0.16500000000000001</v>
      </c>
      <c r="S687" s="110">
        <f t="shared" si="73"/>
        <v>212.31666666666666</v>
      </c>
      <c r="T687" s="110">
        <f t="shared" si="74"/>
        <v>77206.060606060608</v>
      </c>
      <c r="U687" s="116">
        <f t="shared" si="75"/>
        <v>1.7724072682750369</v>
      </c>
      <c r="V687" s="115">
        <v>60</v>
      </c>
      <c r="W687" s="115">
        <f t="shared" si="76"/>
        <v>39000</v>
      </c>
      <c r="X687" s="115">
        <f t="shared" si="77"/>
        <v>650</v>
      </c>
      <c r="Y687" s="117" t="s">
        <v>2465</v>
      </c>
      <c r="Z687" s="108" t="s">
        <v>35</v>
      </c>
      <c r="AA687" s="108" t="s">
        <v>35</v>
      </c>
      <c r="AB687" s="108" t="s">
        <v>2466</v>
      </c>
      <c r="AC687" s="108">
        <v>0</v>
      </c>
      <c r="AD687" s="108">
        <v>1</v>
      </c>
      <c r="AE687" s="108" t="s">
        <v>37</v>
      </c>
      <c r="AF687" s="108" t="s">
        <v>43</v>
      </c>
      <c r="AG687" s="108" t="s">
        <v>38</v>
      </c>
      <c r="AH687" s="108" t="s">
        <v>92</v>
      </c>
    </row>
    <row r="688" spans="1:34" x14ac:dyDescent="0.3">
      <c r="A688" s="107" t="s">
        <v>2466</v>
      </c>
      <c r="B688" s="108" t="s">
        <v>2469</v>
      </c>
      <c r="C688" s="108" t="s">
        <v>2470</v>
      </c>
      <c r="D688" s="109">
        <v>45433</v>
      </c>
      <c r="E688" s="110">
        <v>216000</v>
      </c>
      <c r="F688" s="108" t="s">
        <v>32</v>
      </c>
      <c r="G688" s="108" t="s">
        <v>33</v>
      </c>
      <c r="H688" s="110">
        <v>216000</v>
      </c>
      <c r="I688" s="110">
        <v>102700</v>
      </c>
      <c r="J688" s="111">
        <f t="shared" si="71"/>
        <v>47.546296296296298</v>
      </c>
      <c r="K688" s="110">
        <v>208330</v>
      </c>
      <c r="L688" s="110">
        <f>H688-186986</f>
        <v>29014</v>
      </c>
      <c r="M688" s="110">
        <v>21344</v>
      </c>
      <c r="N688" s="112">
        <f t="shared" si="72"/>
        <v>9.8814814814814814E-2</v>
      </c>
      <c r="O688" s="113">
        <v>71.14</v>
      </c>
      <c r="P688" s="114">
        <v>168.06</v>
      </c>
      <c r="Q688" s="115">
        <v>0.23200000000000001</v>
      </c>
      <c r="R688" s="115">
        <v>0.23200000000000001</v>
      </c>
      <c r="S688" s="110">
        <f t="shared" si="73"/>
        <v>407.84368850154624</v>
      </c>
      <c r="T688" s="110">
        <f t="shared" si="74"/>
        <v>125060.3448275862</v>
      </c>
      <c r="U688" s="116">
        <f t="shared" si="75"/>
        <v>2.8709904689528511</v>
      </c>
      <c r="V688" s="115">
        <v>60.18</v>
      </c>
      <c r="W688" s="115">
        <f t="shared" si="76"/>
        <v>43200</v>
      </c>
      <c r="X688" s="115">
        <f t="shared" si="77"/>
        <v>717.84646061814556</v>
      </c>
      <c r="Y688" s="117" t="s">
        <v>2465</v>
      </c>
      <c r="Z688" s="108" t="s">
        <v>35</v>
      </c>
      <c r="AA688" s="108" t="s">
        <v>35</v>
      </c>
      <c r="AB688" s="108" t="s">
        <v>2466</v>
      </c>
      <c r="AC688" s="108">
        <v>0</v>
      </c>
      <c r="AD688" s="108">
        <v>1</v>
      </c>
      <c r="AE688" s="108" t="s">
        <v>37</v>
      </c>
      <c r="AF688" s="108" t="s">
        <v>43</v>
      </c>
      <c r="AG688" s="108" t="s">
        <v>38</v>
      </c>
      <c r="AH688" s="108" t="s">
        <v>92</v>
      </c>
    </row>
    <row r="689" spans="1:34" x14ac:dyDescent="0.3">
      <c r="A689" s="118" t="s">
        <v>2466</v>
      </c>
      <c r="B689" s="119" t="s">
        <v>2467</v>
      </c>
      <c r="C689" s="119" t="s">
        <v>2468</v>
      </c>
      <c r="D689" s="120">
        <v>45023</v>
      </c>
      <c r="E689" s="121">
        <v>218000</v>
      </c>
      <c r="F689" s="119" t="s">
        <v>32</v>
      </c>
      <c r="G689" s="119" t="s">
        <v>33</v>
      </c>
      <c r="H689" s="121">
        <v>218000</v>
      </c>
      <c r="I689" s="121">
        <v>84200</v>
      </c>
      <c r="J689" s="122">
        <f t="shared" si="71"/>
        <v>38.623853211009177</v>
      </c>
      <c r="K689" s="121">
        <v>195524</v>
      </c>
      <c r="L689" s="121">
        <f>H689-174397</f>
        <v>43603</v>
      </c>
      <c r="M689" s="121">
        <v>21127</v>
      </c>
      <c r="N689" s="123">
        <f t="shared" si="72"/>
        <v>9.6912844036697254E-2</v>
      </c>
      <c r="O689" s="124">
        <v>70.42</v>
      </c>
      <c r="P689" s="125">
        <v>163.21</v>
      </c>
      <c r="Q689" s="126">
        <v>0.22600000000000001</v>
      </c>
      <c r="R689" s="126">
        <v>0.22600000000000001</v>
      </c>
      <c r="S689" s="121">
        <f t="shared" si="73"/>
        <v>619.18489065606366</v>
      </c>
      <c r="T689" s="121">
        <f t="shared" si="74"/>
        <v>192933.62831858406</v>
      </c>
      <c r="U689" s="127">
        <f t="shared" si="75"/>
        <v>4.4291466556148773</v>
      </c>
      <c r="V689" s="126">
        <v>60.58</v>
      </c>
      <c r="W689" s="126">
        <f t="shared" si="76"/>
        <v>43600</v>
      </c>
      <c r="X689" s="126">
        <f t="shared" si="77"/>
        <v>719.70947507428195</v>
      </c>
      <c r="Y689" s="128" t="s">
        <v>2465</v>
      </c>
      <c r="Z689" s="119" t="s">
        <v>35</v>
      </c>
      <c r="AA689" s="119" t="s">
        <v>35</v>
      </c>
      <c r="AB689" s="119" t="s">
        <v>2466</v>
      </c>
      <c r="AC689" s="119">
        <v>0</v>
      </c>
      <c r="AD689" s="119">
        <v>1</v>
      </c>
      <c r="AE689" s="119" t="s">
        <v>42</v>
      </c>
      <c r="AF689" s="119" t="s">
        <v>43</v>
      </c>
      <c r="AG689" s="119" t="s">
        <v>38</v>
      </c>
      <c r="AH689" s="119" t="s">
        <v>92</v>
      </c>
    </row>
    <row r="690" spans="1:34" x14ac:dyDescent="0.3">
      <c r="A690" s="118" t="s">
        <v>2466</v>
      </c>
      <c r="B690" s="119" t="s">
        <v>2480</v>
      </c>
      <c r="C690" s="119" t="s">
        <v>2481</v>
      </c>
      <c r="D690" s="120">
        <v>45645</v>
      </c>
      <c r="E690" s="121">
        <v>216000</v>
      </c>
      <c r="F690" s="119" t="s">
        <v>32</v>
      </c>
      <c r="G690" s="119" t="s">
        <v>33</v>
      </c>
      <c r="H690" s="121">
        <v>216000</v>
      </c>
      <c r="I690" s="121">
        <v>79800</v>
      </c>
      <c r="J690" s="122">
        <f t="shared" si="71"/>
        <v>36.944444444444443</v>
      </c>
      <c r="K690" s="121">
        <v>159210</v>
      </c>
      <c r="L690" s="121">
        <f>H690-141210</f>
        <v>74790</v>
      </c>
      <c r="M690" s="121">
        <v>18000</v>
      </c>
      <c r="N690" s="123">
        <f t="shared" si="72"/>
        <v>8.3333333333333329E-2</v>
      </c>
      <c r="O690" s="124">
        <v>60</v>
      </c>
      <c r="P690" s="125">
        <v>120</v>
      </c>
      <c r="Q690" s="126">
        <v>0.16500000000000001</v>
      </c>
      <c r="R690" s="126">
        <v>0.16500000000000001</v>
      </c>
      <c r="S690" s="121">
        <f t="shared" si="73"/>
        <v>1246.5</v>
      </c>
      <c r="T690" s="121">
        <f t="shared" si="74"/>
        <v>453272.72727272724</v>
      </c>
      <c r="U690" s="127">
        <f t="shared" si="75"/>
        <v>10.405709992486852</v>
      </c>
      <c r="V690" s="126">
        <v>60</v>
      </c>
      <c r="W690" s="126">
        <f t="shared" si="76"/>
        <v>43200</v>
      </c>
      <c r="X690" s="126">
        <f t="shared" si="77"/>
        <v>720</v>
      </c>
      <c r="Y690" s="128" t="s">
        <v>2465</v>
      </c>
      <c r="Z690" s="119" t="s">
        <v>35</v>
      </c>
      <c r="AA690" s="119" t="s">
        <v>35</v>
      </c>
      <c r="AB690" s="119" t="s">
        <v>2466</v>
      </c>
      <c r="AC690" s="119">
        <v>0</v>
      </c>
      <c r="AD690" s="119">
        <v>1</v>
      </c>
      <c r="AE690" s="119" t="s">
        <v>37</v>
      </c>
      <c r="AF690" s="119" t="s">
        <v>35</v>
      </c>
      <c r="AG690" s="119" t="s">
        <v>38</v>
      </c>
      <c r="AH690" s="119" t="s">
        <v>92</v>
      </c>
    </row>
    <row r="691" spans="1:34" x14ac:dyDescent="0.3">
      <c r="A691" s="107" t="s">
        <v>2466</v>
      </c>
      <c r="B691" s="108" t="s">
        <v>2484</v>
      </c>
      <c r="C691" s="108" t="s">
        <v>2485</v>
      </c>
      <c r="D691" s="109">
        <v>45414</v>
      </c>
      <c r="E691" s="110">
        <v>220000</v>
      </c>
      <c r="F691" s="108" t="s">
        <v>32</v>
      </c>
      <c r="G691" s="108" t="s">
        <v>33</v>
      </c>
      <c r="H691" s="110">
        <v>220000</v>
      </c>
      <c r="I691" s="110">
        <v>103500</v>
      </c>
      <c r="J691" s="111">
        <f t="shared" si="71"/>
        <v>47.045454545454547</v>
      </c>
      <c r="K691" s="110">
        <v>210184</v>
      </c>
      <c r="L691" s="110">
        <f>H691-192184</f>
        <v>27816</v>
      </c>
      <c r="M691" s="110">
        <v>18000</v>
      </c>
      <c r="N691" s="112">
        <f t="shared" si="72"/>
        <v>8.1818181818181818E-2</v>
      </c>
      <c r="O691" s="113">
        <v>60</v>
      </c>
      <c r="P691" s="114">
        <v>120</v>
      </c>
      <c r="Q691" s="115">
        <v>0.16500000000000001</v>
      </c>
      <c r="R691" s="115">
        <v>0.16500000000000001</v>
      </c>
      <c r="S691" s="110">
        <f t="shared" si="73"/>
        <v>463.6</v>
      </c>
      <c r="T691" s="110">
        <f t="shared" si="74"/>
        <v>168581.81818181818</v>
      </c>
      <c r="U691" s="116">
        <f t="shared" si="75"/>
        <v>3.8701060188663492</v>
      </c>
      <c r="V691" s="115">
        <v>60</v>
      </c>
      <c r="W691" s="115">
        <f t="shared" si="76"/>
        <v>44000</v>
      </c>
      <c r="X691" s="115">
        <f t="shared" si="77"/>
        <v>733.33333333333337</v>
      </c>
      <c r="Y691" s="117" t="s">
        <v>2465</v>
      </c>
      <c r="Z691" s="108" t="s">
        <v>35</v>
      </c>
      <c r="AA691" s="108" t="s">
        <v>35</v>
      </c>
      <c r="AB691" s="108" t="s">
        <v>2466</v>
      </c>
      <c r="AC691" s="108">
        <v>0</v>
      </c>
      <c r="AD691" s="108">
        <v>1</v>
      </c>
      <c r="AE691" s="108" t="s">
        <v>37</v>
      </c>
      <c r="AF691" s="108" t="s">
        <v>43</v>
      </c>
      <c r="AG691" s="108" t="s">
        <v>38</v>
      </c>
      <c r="AH691" s="108" t="s">
        <v>92</v>
      </c>
    </row>
    <row r="692" spans="1:34" x14ac:dyDescent="0.3">
      <c r="A692" s="118" t="s">
        <v>2466</v>
      </c>
      <c r="B692" s="119" t="s">
        <v>2473</v>
      </c>
      <c r="C692" s="119" t="s">
        <v>2474</v>
      </c>
      <c r="D692" s="120">
        <v>45588</v>
      </c>
      <c r="E692" s="121">
        <v>225000</v>
      </c>
      <c r="F692" s="119" t="s">
        <v>32</v>
      </c>
      <c r="G692" s="119" t="s">
        <v>33</v>
      </c>
      <c r="H692" s="121">
        <v>225000</v>
      </c>
      <c r="I692" s="121">
        <v>97600</v>
      </c>
      <c r="J692" s="122">
        <f t="shared" si="71"/>
        <v>43.377777777777773</v>
      </c>
      <c r="K692" s="121">
        <v>198125</v>
      </c>
      <c r="L692" s="121">
        <f>H692-175837</f>
        <v>49163</v>
      </c>
      <c r="M692" s="121">
        <v>22288</v>
      </c>
      <c r="N692" s="123">
        <f t="shared" si="72"/>
        <v>9.9057777777777772E-2</v>
      </c>
      <c r="O692" s="124">
        <v>74.290000000000006</v>
      </c>
      <c r="P692" s="125">
        <v>179.11</v>
      </c>
      <c r="Q692" s="126">
        <v>0.25</v>
      </c>
      <c r="R692" s="126">
        <v>0.25</v>
      </c>
      <c r="S692" s="121">
        <f t="shared" si="73"/>
        <v>661.77143626329246</v>
      </c>
      <c r="T692" s="121">
        <f t="shared" si="74"/>
        <v>196652</v>
      </c>
      <c r="U692" s="127">
        <f t="shared" si="75"/>
        <v>4.5145087235996328</v>
      </c>
      <c r="V692" s="126">
        <v>60.96</v>
      </c>
      <c r="W692" s="126">
        <f t="shared" si="76"/>
        <v>45000</v>
      </c>
      <c r="X692" s="126">
        <f t="shared" si="77"/>
        <v>738.18897637795271</v>
      </c>
      <c r="Y692" s="128" t="s">
        <v>2465</v>
      </c>
      <c r="Z692" s="119" t="s">
        <v>35</v>
      </c>
      <c r="AA692" s="119" t="s">
        <v>35</v>
      </c>
      <c r="AB692" s="119" t="s">
        <v>2466</v>
      </c>
      <c r="AC692" s="119">
        <v>0</v>
      </c>
      <c r="AD692" s="119">
        <v>1</v>
      </c>
      <c r="AE692" s="119" t="s">
        <v>37</v>
      </c>
      <c r="AF692" s="119" t="s">
        <v>35</v>
      </c>
      <c r="AG692" s="119" t="s">
        <v>38</v>
      </c>
      <c r="AH692" s="119" t="s">
        <v>92</v>
      </c>
    </row>
    <row r="693" spans="1:34" x14ac:dyDescent="0.3">
      <c r="A693" s="118" t="s">
        <v>2466</v>
      </c>
      <c r="B693" s="119" t="s">
        <v>2482</v>
      </c>
      <c r="C693" s="119" t="s">
        <v>2483</v>
      </c>
      <c r="D693" s="120">
        <v>45415</v>
      </c>
      <c r="E693" s="121">
        <v>230000</v>
      </c>
      <c r="F693" s="119" t="s">
        <v>32</v>
      </c>
      <c r="G693" s="119" t="s">
        <v>33</v>
      </c>
      <c r="H693" s="121">
        <v>230000</v>
      </c>
      <c r="I693" s="121">
        <v>96000</v>
      </c>
      <c r="J693" s="122">
        <f t="shared" si="71"/>
        <v>41.739130434782609</v>
      </c>
      <c r="K693" s="121">
        <v>194651</v>
      </c>
      <c r="L693" s="121">
        <f>H693-176651</f>
        <v>53349</v>
      </c>
      <c r="M693" s="121">
        <v>18000</v>
      </c>
      <c r="N693" s="123">
        <f t="shared" si="72"/>
        <v>7.8260869565217397E-2</v>
      </c>
      <c r="O693" s="124">
        <v>60</v>
      </c>
      <c r="P693" s="125">
        <v>120</v>
      </c>
      <c r="Q693" s="126">
        <v>0.16500000000000001</v>
      </c>
      <c r="R693" s="126">
        <v>0.16500000000000001</v>
      </c>
      <c r="S693" s="121">
        <f t="shared" si="73"/>
        <v>889.15</v>
      </c>
      <c r="T693" s="121">
        <f t="shared" si="74"/>
        <v>323327.27272727271</v>
      </c>
      <c r="U693" s="127">
        <f t="shared" si="75"/>
        <v>7.4225728357959762</v>
      </c>
      <c r="V693" s="126">
        <v>60</v>
      </c>
      <c r="W693" s="126">
        <f t="shared" si="76"/>
        <v>46000</v>
      </c>
      <c r="X693" s="126">
        <f t="shared" si="77"/>
        <v>766.66666666666663</v>
      </c>
      <c r="Y693" s="128" t="s">
        <v>2465</v>
      </c>
      <c r="Z693" s="119" t="s">
        <v>35</v>
      </c>
      <c r="AA693" s="119" t="s">
        <v>35</v>
      </c>
      <c r="AB693" s="119" t="s">
        <v>2466</v>
      </c>
      <c r="AC693" s="119">
        <v>0</v>
      </c>
      <c r="AD693" s="119">
        <v>1</v>
      </c>
      <c r="AE693" s="119" t="s">
        <v>42</v>
      </c>
      <c r="AF693" s="119" t="s">
        <v>43</v>
      </c>
      <c r="AG693" s="119" t="s">
        <v>38</v>
      </c>
      <c r="AH693" s="119" t="s">
        <v>92</v>
      </c>
    </row>
    <row r="694" spans="1:34" x14ac:dyDescent="0.3">
      <c r="A694" s="118" t="s">
        <v>2466</v>
      </c>
      <c r="B694" s="119" t="s">
        <v>2475</v>
      </c>
      <c r="C694" s="119" t="s">
        <v>2476</v>
      </c>
      <c r="D694" s="120">
        <v>45523</v>
      </c>
      <c r="E694" s="121">
        <v>259000</v>
      </c>
      <c r="F694" s="119" t="s">
        <v>32</v>
      </c>
      <c r="G694" s="119" t="s">
        <v>33</v>
      </c>
      <c r="H694" s="121">
        <v>259000</v>
      </c>
      <c r="I694" s="121">
        <v>94300</v>
      </c>
      <c r="J694" s="122">
        <f t="shared" si="71"/>
        <v>36.409266409266408</v>
      </c>
      <c r="K694" s="121">
        <v>189202</v>
      </c>
      <c r="L694" s="121">
        <f>H694-168867</f>
        <v>90133</v>
      </c>
      <c r="M694" s="121">
        <v>20335</v>
      </c>
      <c r="N694" s="123">
        <f t="shared" si="72"/>
        <v>7.8513513513513516E-2</v>
      </c>
      <c r="O694" s="124">
        <v>67.78</v>
      </c>
      <c r="P694" s="125">
        <v>136.41</v>
      </c>
      <c r="Q694" s="126">
        <v>0.19600000000000001</v>
      </c>
      <c r="R694" s="126">
        <v>0.19600000000000001</v>
      </c>
      <c r="S694" s="121">
        <f t="shared" si="73"/>
        <v>1329.7875479492475</v>
      </c>
      <c r="T694" s="121">
        <f t="shared" si="74"/>
        <v>459862.24489795917</v>
      </c>
      <c r="U694" s="127">
        <f t="shared" si="75"/>
        <v>10.556984501789696</v>
      </c>
      <c r="V694" s="126">
        <v>65.36</v>
      </c>
      <c r="W694" s="126">
        <f t="shared" si="76"/>
        <v>51800</v>
      </c>
      <c r="X694" s="126">
        <f t="shared" si="77"/>
        <v>792.53365973072221</v>
      </c>
      <c r="Y694" s="128" t="s">
        <v>2465</v>
      </c>
      <c r="Z694" s="119" t="s">
        <v>35</v>
      </c>
      <c r="AA694" s="119" t="s">
        <v>35</v>
      </c>
      <c r="AB694" s="119" t="s">
        <v>2466</v>
      </c>
      <c r="AC694" s="119">
        <v>0</v>
      </c>
      <c r="AD694" s="119">
        <v>1</v>
      </c>
      <c r="AE694" s="119" t="s">
        <v>2477</v>
      </c>
      <c r="AF694" s="119" t="s">
        <v>43</v>
      </c>
      <c r="AG694" s="119" t="s">
        <v>38</v>
      </c>
      <c r="AH694" s="119" t="s">
        <v>92</v>
      </c>
    </row>
    <row r="695" spans="1:34" x14ac:dyDescent="0.3">
      <c r="A695" s="118" t="s">
        <v>2466</v>
      </c>
      <c r="B695" s="119" t="s">
        <v>2463</v>
      </c>
      <c r="C695" s="119" t="s">
        <v>2464</v>
      </c>
      <c r="D695" s="120">
        <v>45583</v>
      </c>
      <c r="E695" s="121">
        <v>242000</v>
      </c>
      <c r="F695" s="119" t="s">
        <v>32</v>
      </c>
      <c r="G695" s="119" t="s">
        <v>33</v>
      </c>
      <c r="H695" s="121">
        <v>242000</v>
      </c>
      <c r="I695" s="121">
        <v>98800</v>
      </c>
      <c r="J695" s="122">
        <f t="shared" si="71"/>
        <v>40.826446280991732</v>
      </c>
      <c r="K695" s="121">
        <v>199909</v>
      </c>
      <c r="L695" s="121">
        <f>H695-178547</f>
        <v>63453</v>
      </c>
      <c r="M695" s="121">
        <v>21362</v>
      </c>
      <c r="N695" s="123">
        <f t="shared" si="72"/>
        <v>8.8272727272727267E-2</v>
      </c>
      <c r="O695" s="124">
        <v>71.2</v>
      </c>
      <c r="P695" s="125">
        <v>168.71</v>
      </c>
      <c r="Q695" s="126">
        <v>0.23300000000000001</v>
      </c>
      <c r="R695" s="126">
        <v>0.23300000000000001</v>
      </c>
      <c r="S695" s="121">
        <f t="shared" si="73"/>
        <v>891.19382022471905</v>
      </c>
      <c r="T695" s="121">
        <f t="shared" si="74"/>
        <v>272330.47210300429</v>
      </c>
      <c r="U695" s="127">
        <f t="shared" si="75"/>
        <v>6.2518473852847629</v>
      </c>
      <c r="V695" s="126">
        <v>60.08</v>
      </c>
      <c r="W695" s="126">
        <f t="shared" si="76"/>
        <v>48400</v>
      </c>
      <c r="X695" s="126">
        <f t="shared" si="77"/>
        <v>805.59254327563247</v>
      </c>
      <c r="Y695" s="128" t="s">
        <v>2465</v>
      </c>
      <c r="Z695" s="119" t="s">
        <v>35</v>
      </c>
      <c r="AA695" s="119" t="s">
        <v>35</v>
      </c>
      <c r="AB695" s="119" t="s">
        <v>2466</v>
      </c>
      <c r="AC695" s="119">
        <v>0</v>
      </c>
      <c r="AD695" s="119">
        <v>1</v>
      </c>
      <c r="AE695" s="119" t="s">
        <v>37</v>
      </c>
      <c r="AF695" s="119" t="s">
        <v>35</v>
      </c>
      <c r="AG695" s="119" t="s">
        <v>38</v>
      </c>
      <c r="AH695" s="119" t="s">
        <v>92</v>
      </c>
    </row>
    <row r="696" spans="1:34" x14ac:dyDescent="0.3">
      <c r="A696" s="107" t="s">
        <v>2466</v>
      </c>
      <c r="B696" s="108" t="s">
        <v>2471</v>
      </c>
      <c r="C696" s="108" t="s">
        <v>2472</v>
      </c>
      <c r="D696" s="109">
        <v>45393</v>
      </c>
      <c r="E696" s="110">
        <v>225000</v>
      </c>
      <c r="F696" s="108" t="s">
        <v>32</v>
      </c>
      <c r="G696" s="108" t="s">
        <v>33</v>
      </c>
      <c r="H696" s="110">
        <v>225000</v>
      </c>
      <c r="I696" s="110">
        <v>114200</v>
      </c>
      <c r="J696" s="111">
        <f t="shared" si="71"/>
        <v>50.755555555555553</v>
      </c>
      <c r="K696" s="110">
        <v>232519</v>
      </c>
      <c r="L696" s="110">
        <f>H696-205723</f>
        <v>19277</v>
      </c>
      <c r="M696" s="110">
        <v>26796</v>
      </c>
      <c r="N696" s="112">
        <f t="shared" si="72"/>
        <v>0.11909333333333333</v>
      </c>
      <c r="O696" s="113">
        <v>89.31</v>
      </c>
      <c r="P696" s="114">
        <v>157.19</v>
      </c>
      <c r="Q696" s="115">
        <v>0.33600000000000002</v>
      </c>
      <c r="R696" s="115">
        <v>0.33600000000000002</v>
      </c>
      <c r="S696" s="110">
        <f t="shared" si="73"/>
        <v>215.84369051617961</v>
      </c>
      <c r="T696" s="110">
        <f t="shared" si="74"/>
        <v>57372.023809523809</v>
      </c>
      <c r="U696" s="116">
        <f t="shared" si="75"/>
        <v>1.3170804363986182</v>
      </c>
      <c r="V696" s="115">
        <v>48</v>
      </c>
      <c r="W696" s="115">
        <f t="shared" si="76"/>
        <v>45000</v>
      </c>
      <c r="X696" s="115">
        <f t="shared" si="77"/>
        <v>937.5</v>
      </c>
      <c r="Y696" s="117" t="s">
        <v>2465</v>
      </c>
      <c r="Z696" s="108" t="s">
        <v>35</v>
      </c>
      <c r="AA696" s="108" t="s">
        <v>35</v>
      </c>
      <c r="AB696" s="108" t="s">
        <v>2466</v>
      </c>
      <c r="AC696" s="108">
        <v>0</v>
      </c>
      <c r="AD696" s="108">
        <v>1</v>
      </c>
      <c r="AE696" s="108" t="s">
        <v>42</v>
      </c>
      <c r="AF696" s="108" t="s">
        <v>43</v>
      </c>
      <c r="AG696" s="108" t="s">
        <v>38</v>
      </c>
      <c r="AH696" s="108" t="s">
        <v>92</v>
      </c>
    </row>
    <row r="697" spans="1:34" x14ac:dyDescent="0.3">
      <c r="A697" s="107" t="s">
        <v>2505</v>
      </c>
      <c r="B697" s="108" t="s">
        <v>2502</v>
      </c>
      <c r="C697" s="108" t="s">
        <v>2503</v>
      </c>
      <c r="D697" s="109">
        <v>45637</v>
      </c>
      <c r="E697" s="110">
        <v>10000</v>
      </c>
      <c r="F697" s="108" t="s">
        <v>32</v>
      </c>
      <c r="G697" s="108" t="s">
        <v>33</v>
      </c>
      <c r="H697" s="110">
        <v>10000</v>
      </c>
      <c r="I697" s="110">
        <v>59400</v>
      </c>
      <c r="J697" s="111">
        <f t="shared" si="71"/>
        <v>594</v>
      </c>
      <c r="K697" s="110">
        <v>127047</v>
      </c>
      <c r="L697" s="110">
        <f>H697-118847</f>
        <v>-108847</v>
      </c>
      <c r="M697" s="110">
        <v>8200</v>
      </c>
      <c r="N697" s="112">
        <f t="shared" si="72"/>
        <v>0.82</v>
      </c>
      <c r="O697" s="113">
        <v>41.41</v>
      </c>
      <c r="P697" s="114">
        <v>134</v>
      </c>
      <c r="Q697" s="115">
        <v>0.123</v>
      </c>
      <c r="R697" s="115">
        <v>0.123</v>
      </c>
      <c r="S697" s="110">
        <f t="shared" si="73"/>
        <v>-2628.5196812364165</v>
      </c>
      <c r="T697" s="110">
        <f t="shared" si="74"/>
        <v>-884934.9593495935</v>
      </c>
      <c r="U697" s="116">
        <f t="shared" si="75"/>
        <v>-20.31531127983456</v>
      </c>
      <c r="V697" s="115">
        <v>40</v>
      </c>
      <c r="W697" s="115">
        <f t="shared" si="76"/>
        <v>2000</v>
      </c>
      <c r="X697" s="115">
        <f t="shared" si="77"/>
        <v>50</v>
      </c>
      <c r="Y697" s="117" t="s">
        <v>2504</v>
      </c>
      <c r="Z697" s="108" t="s">
        <v>35</v>
      </c>
      <c r="AA697" s="108" t="s">
        <v>35</v>
      </c>
      <c r="AB697" s="108" t="s">
        <v>2505</v>
      </c>
      <c r="AC697" s="108">
        <v>0</v>
      </c>
      <c r="AD697" s="108">
        <v>1</v>
      </c>
      <c r="AE697" s="108" t="s">
        <v>2506</v>
      </c>
      <c r="AF697" s="108" t="s">
        <v>35</v>
      </c>
      <c r="AG697" s="108" t="s">
        <v>38</v>
      </c>
      <c r="AH697" s="108" t="s">
        <v>92</v>
      </c>
    </row>
    <row r="698" spans="1:34" x14ac:dyDescent="0.3">
      <c r="A698" s="107" t="s">
        <v>2505</v>
      </c>
      <c r="B698" s="108" t="s">
        <v>2514</v>
      </c>
      <c r="C698" s="108" t="s">
        <v>2515</v>
      </c>
      <c r="D698" s="109">
        <v>45715</v>
      </c>
      <c r="E698" s="110">
        <v>112000</v>
      </c>
      <c r="F698" s="108" t="s">
        <v>32</v>
      </c>
      <c r="G698" s="108" t="s">
        <v>33</v>
      </c>
      <c r="H698" s="110">
        <v>112000</v>
      </c>
      <c r="I698" s="110">
        <v>77700</v>
      </c>
      <c r="J698" s="111">
        <f t="shared" si="71"/>
        <v>69.375</v>
      </c>
      <c r="K698" s="110">
        <v>160449</v>
      </c>
      <c r="L698" s="110">
        <f>H698-111988</f>
        <v>12</v>
      </c>
      <c r="M698" s="110">
        <v>48461</v>
      </c>
      <c r="N698" s="112">
        <f t="shared" si="72"/>
        <v>0.4326875</v>
      </c>
      <c r="O698" s="113">
        <v>244.75</v>
      </c>
      <c r="P698" s="114">
        <v>130</v>
      </c>
      <c r="Q698" s="115">
        <v>0.71599999999999997</v>
      </c>
      <c r="R698" s="115">
        <v>0.71599999999999997</v>
      </c>
      <c r="S698" s="110">
        <f t="shared" si="73"/>
        <v>4.9029622063329927E-2</v>
      </c>
      <c r="T698" s="110">
        <f t="shared" si="74"/>
        <v>16.759776536312849</v>
      </c>
      <c r="U698" s="116">
        <f t="shared" si="75"/>
        <v>3.84751527463564E-4</v>
      </c>
      <c r="V698" s="115">
        <v>240</v>
      </c>
      <c r="W698" s="115">
        <f t="shared" si="76"/>
        <v>22400</v>
      </c>
      <c r="X698" s="115">
        <f t="shared" si="77"/>
        <v>93.333333333333329</v>
      </c>
      <c r="Y698" s="117" t="s">
        <v>2504</v>
      </c>
      <c r="Z698" s="108" t="s">
        <v>35</v>
      </c>
      <c r="AA698" s="108" t="s">
        <v>35</v>
      </c>
      <c r="AB698" s="108" t="s">
        <v>2505</v>
      </c>
      <c r="AC698" s="108">
        <v>0</v>
      </c>
      <c r="AD698" s="108">
        <v>0</v>
      </c>
      <c r="AE698" s="108" t="s">
        <v>37</v>
      </c>
      <c r="AF698" s="108" t="s">
        <v>35</v>
      </c>
      <c r="AG698" s="108" t="s">
        <v>38</v>
      </c>
      <c r="AH698" s="108" t="s">
        <v>92</v>
      </c>
    </row>
    <row r="699" spans="1:34" x14ac:dyDescent="0.3">
      <c r="A699" s="107" t="s">
        <v>2505</v>
      </c>
      <c r="B699" s="108" t="s">
        <v>2562</v>
      </c>
      <c r="C699" s="108" t="s">
        <v>2563</v>
      </c>
      <c r="D699" s="109">
        <v>45407</v>
      </c>
      <c r="E699" s="110">
        <v>45000</v>
      </c>
      <c r="F699" s="108" t="s">
        <v>32</v>
      </c>
      <c r="G699" s="108" t="s">
        <v>33</v>
      </c>
      <c r="H699" s="110">
        <v>45000</v>
      </c>
      <c r="I699" s="110">
        <v>56600</v>
      </c>
      <c r="J699" s="111">
        <f t="shared" si="71"/>
        <v>125.77777777777779</v>
      </c>
      <c r="K699" s="110">
        <v>126193</v>
      </c>
      <c r="L699" s="110">
        <f>H699-118116</f>
        <v>-73116</v>
      </c>
      <c r="M699" s="110">
        <v>8077</v>
      </c>
      <c r="N699" s="112">
        <f t="shared" si="72"/>
        <v>0.17948888888888889</v>
      </c>
      <c r="O699" s="113">
        <v>40.79</v>
      </c>
      <c r="P699" s="114">
        <v>130</v>
      </c>
      <c r="Q699" s="115">
        <v>0.11899999999999999</v>
      </c>
      <c r="R699" s="115">
        <v>0.11899999999999999</v>
      </c>
      <c r="S699" s="110">
        <f t="shared" si="73"/>
        <v>-1792.4981613140476</v>
      </c>
      <c r="T699" s="110">
        <f t="shared" si="74"/>
        <v>-614420.16806722688</v>
      </c>
      <c r="U699" s="116">
        <f t="shared" si="75"/>
        <v>-14.105146190707687</v>
      </c>
      <c r="V699" s="115">
        <v>40</v>
      </c>
      <c r="W699" s="115">
        <f t="shared" si="76"/>
        <v>9000</v>
      </c>
      <c r="X699" s="115">
        <f t="shared" si="77"/>
        <v>225</v>
      </c>
      <c r="Y699" s="117" t="s">
        <v>2504</v>
      </c>
      <c r="Z699" s="108" t="s">
        <v>35</v>
      </c>
      <c r="AA699" s="108" t="s">
        <v>35</v>
      </c>
      <c r="AB699" s="108" t="s">
        <v>2505</v>
      </c>
      <c r="AC699" s="108">
        <v>0</v>
      </c>
      <c r="AD699" s="108">
        <v>1</v>
      </c>
      <c r="AE699" s="108" t="s">
        <v>42</v>
      </c>
      <c r="AF699" s="108" t="s">
        <v>43</v>
      </c>
      <c r="AG699" s="108" t="s">
        <v>38</v>
      </c>
      <c r="AH699" s="108" t="s">
        <v>92</v>
      </c>
    </row>
    <row r="700" spans="1:34" x14ac:dyDescent="0.3">
      <c r="A700" s="107" t="s">
        <v>2505</v>
      </c>
      <c r="B700" s="108" t="s">
        <v>2553</v>
      </c>
      <c r="C700" s="108" t="s">
        <v>2554</v>
      </c>
      <c r="D700" s="109">
        <v>45231</v>
      </c>
      <c r="E700" s="110">
        <v>100000</v>
      </c>
      <c r="F700" s="108" t="s">
        <v>32</v>
      </c>
      <c r="G700" s="108" t="s">
        <v>33</v>
      </c>
      <c r="H700" s="110">
        <v>100000</v>
      </c>
      <c r="I700" s="110">
        <v>57100</v>
      </c>
      <c r="J700" s="111">
        <f t="shared" si="71"/>
        <v>57.099999999999994</v>
      </c>
      <c r="K700" s="110">
        <v>150495</v>
      </c>
      <c r="L700" s="110">
        <f>H700-134341</f>
        <v>-34341</v>
      </c>
      <c r="M700" s="110">
        <v>16154</v>
      </c>
      <c r="N700" s="112">
        <f t="shared" si="72"/>
        <v>0.16153999999999999</v>
      </c>
      <c r="O700" s="113">
        <v>81.58</v>
      </c>
      <c r="P700" s="114">
        <v>130</v>
      </c>
      <c r="Q700" s="115">
        <v>0.23899999999999999</v>
      </c>
      <c r="R700" s="115">
        <v>0.23899999999999999</v>
      </c>
      <c r="S700" s="110">
        <f t="shared" si="73"/>
        <v>-420.94876195145872</v>
      </c>
      <c r="T700" s="110">
        <f t="shared" si="74"/>
        <v>-143686.19246861927</v>
      </c>
      <c r="U700" s="116">
        <f t="shared" si="75"/>
        <v>-3.2985810943209199</v>
      </c>
      <c r="V700" s="115">
        <v>80</v>
      </c>
      <c r="W700" s="115">
        <f t="shared" si="76"/>
        <v>20000</v>
      </c>
      <c r="X700" s="115">
        <f t="shared" si="77"/>
        <v>250</v>
      </c>
      <c r="Y700" s="117" t="s">
        <v>2504</v>
      </c>
      <c r="Z700" s="108" t="s">
        <v>35</v>
      </c>
      <c r="AA700" s="108" t="s">
        <v>35</v>
      </c>
      <c r="AB700" s="108" t="s">
        <v>2505</v>
      </c>
      <c r="AC700" s="108">
        <v>0</v>
      </c>
      <c r="AD700" s="108">
        <v>1</v>
      </c>
      <c r="AE700" s="108" t="s">
        <v>2555</v>
      </c>
      <c r="AF700" s="108" t="s">
        <v>43</v>
      </c>
      <c r="AG700" s="108" t="s">
        <v>38</v>
      </c>
      <c r="AH700" s="108" t="s">
        <v>92</v>
      </c>
    </row>
    <row r="701" spans="1:34" x14ac:dyDescent="0.3">
      <c r="A701" s="118" t="s">
        <v>2505</v>
      </c>
      <c r="B701" s="119" t="s">
        <v>2562</v>
      </c>
      <c r="C701" s="119" t="s">
        <v>2563</v>
      </c>
      <c r="D701" s="120">
        <v>45407</v>
      </c>
      <c r="E701" s="121">
        <v>57000</v>
      </c>
      <c r="F701" s="119" t="s">
        <v>32</v>
      </c>
      <c r="G701" s="119" t="s">
        <v>33</v>
      </c>
      <c r="H701" s="121">
        <v>57000</v>
      </c>
      <c r="I701" s="121">
        <v>56600</v>
      </c>
      <c r="J701" s="122">
        <f t="shared" si="71"/>
        <v>99.298245614035082</v>
      </c>
      <c r="K701" s="121">
        <v>126193</v>
      </c>
      <c r="L701" s="121">
        <f>H701-118116</f>
        <v>-61116</v>
      </c>
      <c r="M701" s="121">
        <v>8077</v>
      </c>
      <c r="N701" s="123">
        <f t="shared" si="72"/>
        <v>0.14170175438596491</v>
      </c>
      <c r="O701" s="124">
        <v>40.79</v>
      </c>
      <c r="P701" s="125">
        <v>130</v>
      </c>
      <c r="Q701" s="126">
        <v>0.11899999999999999</v>
      </c>
      <c r="R701" s="126">
        <v>0.11899999999999999</v>
      </c>
      <c r="S701" s="121">
        <f t="shared" si="73"/>
        <v>-1498.3084089237559</v>
      </c>
      <c r="T701" s="121">
        <f t="shared" si="74"/>
        <v>-513579.83193277312</v>
      </c>
      <c r="U701" s="127">
        <f t="shared" si="75"/>
        <v>-11.790170613700026</v>
      </c>
      <c r="V701" s="126">
        <v>40</v>
      </c>
      <c r="W701" s="126">
        <f t="shared" si="76"/>
        <v>11400</v>
      </c>
      <c r="X701" s="126">
        <f t="shared" si="77"/>
        <v>285</v>
      </c>
      <c r="Y701" s="128" t="s">
        <v>2504</v>
      </c>
      <c r="Z701" s="119" t="s">
        <v>35</v>
      </c>
      <c r="AA701" s="119" t="s">
        <v>35</v>
      </c>
      <c r="AB701" s="119" t="s">
        <v>2505</v>
      </c>
      <c r="AC701" s="119">
        <v>0</v>
      </c>
      <c r="AD701" s="119">
        <v>1</v>
      </c>
      <c r="AE701" s="119" t="s">
        <v>42</v>
      </c>
      <c r="AF701" s="119" t="s">
        <v>43</v>
      </c>
      <c r="AG701" s="119" t="s">
        <v>38</v>
      </c>
      <c r="AH701" s="119" t="s">
        <v>92</v>
      </c>
    </row>
    <row r="702" spans="1:34" x14ac:dyDescent="0.3">
      <c r="A702" s="118" t="s">
        <v>2505</v>
      </c>
      <c r="B702" s="119" t="s">
        <v>2556</v>
      </c>
      <c r="C702" s="119" t="s">
        <v>2557</v>
      </c>
      <c r="D702" s="120">
        <v>45518</v>
      </c>
      <c r="E702" s="121">
        <v>99000</v>
      </c>
      <c r="F702" s="119" t="s">
        <v>32</v>
      </c>
      <c r="G702" s="119" t="s">
        <v>33</v>
      </c>
      <c r="H702" s="121">
        <v>99000</v>
      </c>
      <c r="I702" s="121">
        <v>60200</v>
      </c>
      <c r="J702" s="122">
        <f t="shared" si="71"/>
        <v>60.80808080808081</v>
      </c>
      <c r="K702" s="121">
        <v>131783</v>
      </c>
      <c r="L702" s="121">
        <f>H702-121533</f>
        <v>-22533</v>
      </c>
      <c r="M702" s="121">
        <v>10250</v>
      </c>
      <c r="N702" s="123">
        <f t="shared" si="72"/>
        <v>0.10353535353535354</v>
      </c>
      <c r="O702" s="124">
        <v>51.76</v>
      </c>
      <c r="P702" s="125">
        <v>134</v>
      </c>
      <c r="Q702" s="126">
        <v>0.154</v>
      </c>
      <c r="R702" s="126">
        <v>0.154</v>
      </c>
      <c r="S702" s="121">
        <f t="shared" si="73"/>
        <v>-435.33616692426585</v>
      </c>
      <c r="T702" s="121">
        <f t="shared" si="74"/>
        <v>-146318.18181818182</v>
      </c>
      <c r="U702" s="127">
        <f t="shared" si="75"/>
        <v>-3.3590032556974707</v>
      </c>
      <c r="V702" s="126">
        <v>50</v>
      </c>
      <c r="W702" s="126">
        <f t="shared" si="76"/>
        <v>19800</v>
      </c>
      <c r="X702" s="126">
        <f t="shared" si="77"/>
        <v>396</v>
      </c>
      <c r="Y702" s="128" t="s">
        <v>2504</v>
      </c>
      <c r="Z702" s="119" t="s">
        <v>35</v>
      </c>
      <c r="AA702" s="119" t="s">
        <v>35</v>
      </c>
      <c r="AB702" s="119" t="s">
        <v>2505</v>
      </c>
      <c r="AC702" s="119">
        <v>0</v>
      </c>
      <c r="AD702" s="119">
        <v>1</v>
      </c>
      <c r="AE702" s="119" t="s">
        <v>42</v>
      </c>
      <c r="AF702" s="119" t="s">
        <v>43</v>
      </c>
      <c r="AG702" s="119" t="s">
        <v>38</v>
      </c>
      <c r="AH702" s="119" t="s">
        <v>92</v>
      </c>
    </row>
    <row r="703" spans="1:34" x14ac:dyDescent="0.3">
      <c r="A703" s="118" t="s">
        <v>2505</v>
      </c>
      <c r="B703" s="119" t="s">
        <v>2518</v>
      </c>
      <c r="C703" s="119" t="s">
        <v>2519</v>
      </c>
      <c r="D703" s="120">
        <v>45457</v>
      </c>
      <c r="E703" s="121">
        <v>152500</v>
      </c>
      <c r="F703" s="119" t="s">
        <v>32</v>
      </c>
      <c r="G703" s="119" t="s">
        <v>33</v>
      </c>
      <c r="H703" s="121">
        <v>152500</v>
      </c>
      <c r="I703" s="121">
        <v>61000</v>
      </c>
      <c r="J703" s="122">
        <f t="shared" si="71"/>
        <v>40</v>
      </c>
      <c r="K703" s="121">
        <v>130311</v>
      </c>
      <c r="L703" s="121">
        <f>H703-118196</f>
        <v>34304</v>
      </c>
      <c r="M703" s="121">
        <v>12115</v>
      </c>
      <c r="N703" s="123">
        <f t="shared" si="72"/>
        <v>7.9442622950819677E-2</v>
      </c>
      <c r="O703" s="124">
        <v>61.18</v>
      </c>
      <c r="P703" s="125">
        <v>130</v>
      </c>
      <c r="Q703" s="126">
        <v>0.17899999999999999</v>
      </c>
      <c r="R703" s="126">
        <v>0.17899999999999999</v>
      </c>
      <c r="S703" s="121">
        <f t="shared" si="73"/>
        <v>560.70611310885909</v>
      </c>
      <c r="T703" s="121">
        <f t="shared" si="74"/>
        <v>191642.45810055867</v>
      </c>
      <c r="U703" s="127">
        <f t="shared" si="75"/>
        <v>4.3995054660367003</v>
      </c>
      <c r="V703" s="126">
        <v>60</v>
      </c>
      <c r="W703" s="126">
        <f t="shared" si="76"/>
        <v>30500</v>
      </c>
      <c r="X703" s="126">
        <f t="shared" si="77"/>
        <v>508.33333333333331</v>
      </c>
      <c r="Y703" s="128" t="s">
        <v>2504</v>
      </c>
      <c r="Z703" s="119" t="s">
        <v>35</v>
      </c>
      <c r="AA703" s="119" t="s">
        <v>35</v>
      </c>
      <c r="AB703" s="119" t="s">
        <v>2505</v>
      </c>
      <c r="AC703" s="119">
        <v>0</v>
      </c>
      <c r="AD703" s="119">
        <v>1</v>
      </c>
      <c r="AE703" s="119" t="s">
        <v>37</v>
      </c>
      <c r="AF703" s="119" t="s">
        <v>43</v>
      </c>
      <c r="AG703" s="119" t="s">
        <v>38</v>
      </c>
      <c r="AH703" s="119" t="s">
        <v>92</v>
      </c>
    </row>
    <row r="704" spans="1:34" x14ac:dyDescent="0.3">
      <c r="A704" s="118" t="s">
        <v>2505</v>
      </c>
      <c r="B704" s="119" t="s">
        <v>2549</v>
      </c>
      <c r="C704" s="119" t="s">
        <v>2550</v>
      </c>
      <c r="D704" s="120">
        <v>45418</v>
      </c>
      <c r="E704" s="121">
        <v>114000</v>
      </c>
      <c r="F704" s="119" t="s">
        <v>32</v>
      </c>
      <c r="G704" s="119" t="s">
        <v>33</v>
      </c>
      <c r="H704" s="121">
        <v>114000</v>
      </c>
      <c r="I704" s="121">
        <v>57500</v>
      </c>
      <c r="J704" s="122">
        <f t="shared" si="71"/>
        <v>50.438596491228068</v>
      </c>
      <c r="K704" s="121">
        <v>122750</v>
      </c>
      <c r="L704" s="121">
        <f>H704-114550</f>
        <v>-550</v>
      </c>
      <c r="M704" s="121">
        <v>8200</v>
      </c>
      <c r="N704" s="123">
        <f t="shared" si="72"/>
        <v>7.192982456140351E-2</v>
      </c>
      <c r="O704" s="124">
        <v>41.41</v>
      </c>
      <c r="P704" s="125">
        <v>134</v>
      </c>
      <c r="Q704" s="126">
        <v>0.123</v>
      </c>
      <c r="R704" s="126">
        <v>0.123</v>
      </c>
      <c r="S704" s="121">
        <f t="shared" si="73"/>
        <v>-13.281815986476698</v>
      </c>
      <c r="T704" s="121">
        <f t="shared" si="74"/>
        <v>-4471.5447154471549</v>
      </c>
      <c r="U704" s="127">
        <f t="shared" si="75"/>
        <v>-0.10265254167693193</v>
      </c>
      <c r="V704" s="126">
        <v>40</v>
      </c>
      <c r="W704" s="126">
        <f t="shared" si="76"/>
        <v>22800</v>
      </c>
      <c r="X704" s="126">
        <f t="shared" si="77"/>
        <v>570</v>
      </c>
      <c r="Y704" s="128" t="s">
        <v>2504</v>
      </c>
      <c r="Z704" s="119" t="s">
        <v>35</v>
      </c>
      <c r="AA704" s="119" t="s">
        <v>35</v>
      </c>
      <c r="AB704" s="119" t="s">
        <v>2505</v>
      </c>
      <c r="AC704" s="119">
        <v>0</v>
      </c>
      <c r="AD704" s="119">
        <v>1</v>
      </c>
      <c r="AE704" s="119" t="s">
        <v>37</v>
      </c>
      <c r="AF704" s="119" t="s">
        <v>43</v>
      </c>
      <c r="AG704" s="119" t="s">
        <v>38</v>
      </c>
      <c r="AH704" s="119" t="s">
        <v>92</v>
      </c>
    </row>
    <row r="705" spans="1:34" x14ac:dyDescent="0.3">
      <c r="A705" s="118" t="s">
        <v>2505</v>
      </c>
      <c r="B705" s="119" t="s">
        <v>2509</v>
      </c>
      <c r="C705" s="119" t="s">
        <v>2510</v>
      </c>
      <c r="D705" s="120">
        <v>45425</v>
      </c>
      <c r="E705" s="121">
        <v>150000</v>
      </c>
      <c r="F705" s="119" t="s">
        <v>32</v>
      </c>
      <c r="G705" s="119" t="s">
        <v>33</v>
      </c>
      <c r="H705" s="121">
        <v>150000</v>
      </c>
      <c r="I705" s="121">
        <v>56800</v>
      </c>
      <c r="J705" s="122">
        <f t="shared" si="71"/>
        <v>37.866666666666667</v>
      </c>
      <c r="K705" s="121">
        <v>125215</v>
      </c>
      <c r="L705" s="121">
        <f>H705-113336</f>
        <v>36664</v>
      </c>
      <c r="M705" s="121">
        <v>11879</v>
      </c>
      <c r="N705" s="123">
        <f t="shared" si="72"/>
        <v>7.9193333333333338E-2</v>
      </c>
      <c r="O705" s="124">
        <v>59.99</v>
      </c>
      <c r="P705" s="125">
        <v>179.35</v>
      </c>
      <c r="Q705" s="126">
        <v>0.20599999999999999</v>
      </c>
      <c r="R705" s="126">
        <v>0.20599999999999999</v>
      </c>
      <c r="S705" s="121">
        <f t="shared" si="73"/>
        <v>611.16852808801468</v>
      </c>
      <c r="T705" s="121">
        <f t="shared" si="74"/>
        <v>177980.58252427186</v>
      </c>
      <c r="U705" s="127">
        <f t="shared" si="75"/>
        <v>4.0858719587757539</v>
      </c>
      <c r="V705" s="126">
        <v>50.13</v>
      </c>
      <c r="W705" s="126">
        <f t="shared" si="76"/>
        <v>30000</v>
      </c>
      <c r="X705" s="126">
        <f t="shared" si="77"/>
        <v>598.44404548174748</v>
      </c>
      <c r="Y705" s="128" t="s">
        <v>2504</v>
      </c>
      <c r="Z705" s="119" t="s">
        <v>35</v>
      </c>
      <c r="AA705" s="119" t="s">
        <v>35</v>
      </c>
      <c r="AB705" s="119" t="s">
        <v>2505</v>
      </c>
      <c r="AC705" s="119">
        <v>0</v>
      </c>
      <c r="AD705" s="119">
        <v>1</v>
      </c>
      <c r="AE705" s="119" t="s">
        <v>42</v>
      </c>
      <c r="AF705" s="119" t="s">
        <v>43</v>
      </c>
      <c r="AG705" s="119" t="s">
        <v>38</v>
      </c>
      <c r="AH705" s="119" t="s">
        <v>92</v>
      </c>
    </row>
    <row r="706" spans="1:34" x14ac:dyDescent="0.3">
      <c r="A706" s="107" t="s">
        <v>2505</v>
      </c>
      <c r="B706" s="108" t="s">
        <v>2560</v>
      </c>
      <c r="C706" s="108" t="s">
        <v>2561</v>
      </c>
      <c r="D706" s="109">
        <v>45681</v>
      </c>
      <c r="E706" s="110">
        <v>155000</v>
      </c>
      <c r="F706" s="108" t="s">
        <v>32</v>
      </c>
      <c r="G706" s="108" t="s">
        <v>33</v>
      </c>
      <c r="H706" s="110">
        <v>155000</v>
      </c>
      <c r="I706" s="110">
        <v>51800</v>
      </c>
      <c r="J706" s="111">
        <f t="shared" ref="J706:J769" si="78">I706/H706*100</f>
        <v>33.419354838709673</v>
      </c>
      <c r="K706" s="110">
        <v>115199</v>
      </c>
      <c r="L706" s="110">
        <f>H706-105339</f>
        <v>49661</v>
      </c>
      <c r="M706" s="110">
        <v>9860</v>
      </c>
      <c r="N706" s="112">
        <f t="shared" ref="N706:N769" si="79">M706/E706</f>
        <v>6.3612903225806455E-2</v>
      </c>
      <c r="O706" s="113">
        <v>49.79</v>
      </c>
      <c r="P706" s="114">
        <v>124</v>
      </c>
      <c r="Q706" s="115">
        <v>0.14199999999999999</v>
      </c>
      <c r="R706" s="115">
        <v>0.14199999999999999</v>
      </c>
      <c r="S706" s="110">
        <f t="shared" ref="S706:S769" si="80">L706/O706</f>
        <v>997.40911829684683</v>
      </c>
      <c r="T706" s="110">
        <f t="shared" ref="T706:T769" si="81">L706/Q706</f>
        <v>349725.35211267608</v>
      </c>
      <c r="U706" s="116">
        <f t="shared" ref="U706:U769" si="82">L706/Q706/43560</f>
        <v>8.028589350612398</v>
      </c>
      <c r="V706" s="115">
        <v>50</v>
      </c>
      <c r="W706" s="115">
        <f t="shared" ref="W706:W769" si="83">0.2*E706</f>
        <v>31000</v>
      </c>
      <c r="X706" s="115">
        <f t="shared" si="77"/>
        <v>620</v>
      </c>
      <c r="Y706" s="117" t="s">
        <v>2504</v>
      </c>
      <c r="Z706" s="108" t="s">
        <v>35</v>
      </c>
      <c r="AA706" s="108" t="s">
        <v>35</v>
      </c>
      <c r="AB706" s="108" t="s">
        <v>2505</v>
      </c>
      <c r="AC706" s="108">
        <v>0</v>
      </c>
      <c r="AD706" s="108">
        <v>1</v>
      </c>
      <c r="AE706" s="108" t="s">
        <v>42</v>
      </c>
      <c r="AF706" s="108" t="s">
        <v>35</v>
      </c>
      <c r="AG706" s="108" t="s">
        <v>38</v>
      </c>
      <c r="AH706" s="108" t="s">
        <v>92</v>
      </c>
    </row>
    <row r="707" spans="1:34" x14ac:dyDescent="0.3">
      <c r="A707" s="118" t="s">
        <v>2505</v>
      </c>
      <c r="B707" s="119" t="s">
        <v>2547</v>
      </c>
      <c r="C707" s="119" t="s">
        <v>2548</v>
      </c>
      <c r="D707" s="120">
        <v>45427</v>
      </c>
      <c r="E707" s="121">
        <v>161000</v>
      </c>
      <c r="F707" s="119" t="s">
        <v>32</v>
      </c>
      <c r="G707" s="119" t="s">
        <v>33</v>
      </c>
      <c r="H707" s="121">
        <v>161000</v>
      </c>
      <c r="I707" s="121">
        <v>54600</v>
      </c>
      <c r="J707" s="122">
        <f t="shared" si="78"/>
        <v>33.913043478260867</v>
      </c>
      <c r="K707" s="121">
        <v>120460</v>
      </c>
      <c r="L707" s="121">
        <f>H707-110364</f>
        <v>50636</v>
      </c>
      <c r="M707" s="121">
        <v>10096</v>
      </c>
      <c r="N707" s="123">
        <f t="shared" si="79"/>
        <v>6.2708074534161495E-2</v>
      </c>
      <c r="O707" s="124">
        <v>50.99</v>
      </c>
      <c r="P707" s="125">
        <v>130</v>
      </c>
      <c r="Q707" s="126">
        <v>0.14899999999999999</v>
      </c>
      <c r="R707" s="126">
        <v>0.14899999999999999</v>
      </c>
      <c r="S707" s="121">
        <f t="shared" si="80"/>
        <v>993.05746224749942</v>
      </c>
      <c r="T707" s="121">
        <f t="shared" si="81"/>
        <v>339838.92617449665</v>
      </c>
      <c r="U707" s="127">
        <f t="shared" si="82"/>
        <v>7.8016282409204925</v>
      </c>
      <c r="V707" s="126">
        <v>50</v>
      </c>
      <c r="W707" s="126">
        <f t="shared" si="83"/>
        <v>32200</v>
      </c>
      <c r="X707" s="126">
        <f t="shared" si="77"/>
        <v>644</v>
      </c>
      <c r="Y707" s="128" t="s">
        <v>2504</v>
      </c>
      <c r="Z707" s="119" t="s">
        <v>35</v>
      </c>
      <c r="AA707" s="119" t="s">
        <v>35</v>
      </c>
      <c r="AB707" s="119" t="s">
        <v>2505</v>
      </c>
      <c r="AC707" s="119">
        <v>0</v>
      </c>
      <c r="AD707" s="119">
        <v>1</v>
      </c>
      <c r="AE707" s="119" t="s">
        <v>42</v>
      </c>
      <c r="AF707" s="119" t="s">
        <v>43</v>
      </c>
      <c r="AG707" s="119" t="s">
        <v>38</v>
      </c>
      <c r="AH707" s="119" t="s">
        <v>92</v>
      </c>
    </row>
    <row r="708" spans="1:34" x14ac:dyDescent="0.3">
      <c r="A708" s="118" t="s">
        <v>2505</v>
      </c>
      <c r="B708" s="119" t="s">
        <v>2516</v>
      </c>
      <c r="C708" s="119" t="s">
        <v>2517</v>
      </c>
      <c r="D708" s="120">
        <v>45623</v>
      </c>
      <c r="E708" s="121">
        <v>150000</v>
      </c>
      <c r="F708" s="119" t="s">
        <v>32</v>
      </c>
      <c r="G708" s="119" t="s">
        <v>33</v>
      </c>
      <c r="H708" s="121">
        <v>150000</v>
      </c>
      <c r="I708" s="121">
        <v>57500</v>
      </c>
      <c r="J708" s="122">
        <f t="shared" si="78"/>
        <v>38.333333333333336</v>
      </c>
      <c r="K708" s="121">
        <v>117175</v>
      </c>
      <c r="L708" s="121">
        <f>H708-109098</f>
        <v>40902</v>
      </c>
      <c r="M708" s="121">
        <v>8077</v>
      </c>
      <c r="N708" s="123">
        <f t="shared" si="79"/>
        <v>5.3846666666666668E-2</v>
      </c>
      <c r="O708" s="124">
        <v>40.79</v>
      </c>
      <c r="P708" s="125">
        <v>130</v>
      </c>
      <c r="Q708" s="126">
        <v>0.11899999999999999</v>
      </c>
      <c r="R708" s="126">
        <v>0.11899999999999999</v>
      </c>
      <c r="S708" s="121">
        <f t="shared" si="80"/>
        <v>1002.7457710223094</v>
      </c>
      <c r="T708" s="121">
        <f t="shared" si="81"/>
        <v>343714.28571428574</v>
      </c>
      <c r="U708" s="127">
        <f t="shared" si="82"/>
        <v>7.890594254230618</v>
      </c>
      <c r="V708" s="126">
        <v>40</v>
      </c>
      <c r="W708" s="126">
        <f t="shared" si="83"/>
        <v>30000</v>
      </c>
      <c r="X708" s="126">
        <f t="shared" si="77"/>
        <v>750</v>
      </c>
      <c r="Y708" s="128" t="s">
        <v>2504</v>
      </c>
      <c r="Z708" s="119" t="s">
        <v>35</v>
      </c>
      <c r="AA708" s="119" t="s">
        <v>35</v>
      </c>
      <c r="AB708" s="119" t="s">
        <v>2505</v>
      </c>
      <c r="AC708" s="119">
        <v>0</v>
      </c>
      <c r="AD708" s="119">
        <v>1</v>
      </c>
      <c r="AE708" s="119" t="s">
        <v>42</v>
      </c>
      <c r="AF708" s="119" t="s">
        <v>35</v>
      </c>
      <c r="AG708" s="119" t="s">
        <v>38</v>
      </c>
      <c r="AH708" s="119" t="s">
        <v>92</v>
      </c>
    </row>
    <row r="709" spans="1:34" x14ac:dyDescent="0.3">
      <c r="A709" s="107" t="s">
        <v>2505</v>
      </c>
      <c r="B709" s="108" t="s">
        <v>2551</v>
      </c>
      <c r="C709" s="108" t="s">
        <v>2552</v>
      </c>
      <c r="D709" s="109">
        <v>45635</v>
      </c>
      <c r="E709" s="110">
        <v>150000</v>
      </c>
      <c r="F709" s="108" t="s">
        <v>32</v>
      </c>
      <c r="G709" s="108" t="s">
        <v>33</v>
      </c>
      <c r="H709" s="110">
        <v>150000</v>
      </c>
      <c r="I709" s="110">
        <v>58300</v>
      </c>
      <c r="J709" s="111">
        <f t="shared" si="78"/>
        <v>38.866666666666667</v>
      </c>
      <c r="K709" s="110">
        <v>129871</v>
      </c>
      <c r="L709" s="110">
        <f>H709-121671</f>
        <v>28329</v>
      </c>
      <c r="M709" s="110">
        <v>8200</v>
      </c>
      <c r="N709" s="112">
        <f t="shared" si="79"/>
        <v>5.4666666666666669E-2</v>
      </c>
      <c r="O709" s="113">
        <v>41.41</v>
      </c>
      <c r="P709" s="114">
        <v>134</v>
      </c>
      <c r="Q709" s="115">
        <v>0.123</v>
      </c>
      <c r="R709" s="115">
        <v>0.123</v>
      </c>
      <c r="S709" s="110">
        <f t="shared" si="80"/>
        <v>684.11011832890608</v>
      </c>
      <c r="T709" s="110">
        <f t="shared" si="81"/>
        <v>230317.07317073172</v>
      </c>
      <c r="U709" s="116">
        <f t="shared" si="82"/>
        <v>5.287352460301463</v>
      </c>
      <c r="V709" s="115">
        <v>40</v>
      </c>
      <c r="W709" s="115">
        <f t="shared" si="83"/>
        <v>30000</v>
      </c>
      <c r="X709" s="115">
        <f t="shared" si="77"/>
        <v>750</v>
      </c>
      <c r="Y709" s="117" t="s">
        <v>2504</v>
      </c>
      <c r="Z709" s="108" t="s">
        <v>35</v>
      </c>
      <c r="AA709" s="108" t="s">
        <v>35</v>
      </c>
      <c r="AB709" s="108" t="s">
        <v>2505</v>
      </c>
      <c r="AC709" s="108">
        <v>0</v>
      </c>
      <c r="AD709" s="108">
        <v>1</v>
      </c>
      <c r="AE709" s="108" t="s">
        <v>42</v>
      </c>
      <c r="AF709" s="108" t="s">
        <v>35</v>
      </c>
      <c r="AG709" s="108" t="s">
        <v>38</v>
      </c>
      <c r="AH709" s="108" t="s">
        <v>92</v>
      </c>
    </row>
    <row r="710" spans="1:34" x14ac:dyDescent="0.3">
      <c r="A710" s="118" t="s">
        <v>2505</v>
      </c>
      <c r="B710" s="119" t="s">
        <v>2558</v>
      </c>
      <c r="C710" s="119" t="s">
        <v>2559</v>
      </c>
      <c r="D710" s="120">
        <v>45194</v>
      </c>
      <c r="E710" s="121">
        <v>194500</v>
      </c>
      <c r="F710" s="119" t="s">
        <v>32</v>
      </c>
      <c r="G710" s="119" t="s">
        <v>33</v>
      </c>
      <c r="H710" s="121">
        <v>194500</v>
      </c>
      <c r="I710" s="121">
        <v>80000</v>
      </c>
      <c r="J710" s="122">
        <f t="shared" si="78"/>
        <v>41.131105398457585</v>
      </c>
      <c r="K710" s="121">
        <v>200409</v>
      </c>
      <c r="L710" s="121">
        <f>H710-190549</f>
        <v>3951</v>
      </c>
      <c r="M710" s="121">
        <v>9860</v>
      </c>
      <c r="N710" s="123">
        <f t="shared" si="79"/>
        <v>5.0694087403598972E-2</v>
      </c>
      <c r="O710" s="124">
        <v>49.79</v>
      </c>
      <c r="P710" s="125">
        <v>124</v>
      </c>
      <c r="Q710" s="126">
        <v>0.14199999999999999</v>
      </c>
      <c r="R710" s="126">
        <v>0.14199999999999999</v>
      </c>
      <c r="S710" s="121">
        <f t="shared" si="80"/>
        <v>79.353283791926088</v>
      </c>
      <c r="T710" s="121">
        <f t="shared" si="81"/>
        <v>27823.943661971833</v>
      </c>
      <c r="U710" s="127">
        <f t="shared" si="82"/>
        <v>0.63874985449889421</v>
      </c>
      <c r="V710" s="126">
        <v>50</v>
      </c>
      <c r="W710" s="126">
        <f t="shared" si="83"/>
        <v>38900</v>
      </c>
      <c r="X710" s="126">
        <f t="shared" si="77"/>
        <v>778</v>
      </c>
      <c r="Y710" s="128" t="s">
        <v>2504</v>
      </c>
      <c r="Z710" s="119" t="s">
        <v>35</v>
      </c>
      <c r="AA710" s="119" t="s">
        <v>35</v>
      </c>
      <c r="AB710" s="119" t="s">
        <v>2505</v>
      </c>
      <c r="AC710" s="119">
        <v>0</v>
      </c>
      <c r="AD710" s="119">
        <v>1</v>
      </c>
      <c r="AE710" s="119" t="s">
        <v>2513</v>
      </c>
      <c r="AF710" s="119" t="s">
        <v>43</v>
      </c>
      <c r="AG710" s="119" t="s">
        <v>38</v>
      </c>
      <c r="AH710" s="119" t="s">
        <v>92</v>
      </c>
    </row>
    <row r="711" spans="1:34" x14ac:dyDescent="0.3">
      <c r="A711" s="118" t="s">
        <v>2505</v>
      </c>
      <c r="B711" s="119" t="s">
        <v>2562</v>
      </c>
      <c r="C711" s="119" t="s">
        <v>2563</v>
      </c>
      <c r="D711" s="120">
        <v>45653</v>
      </c>
      <c r="E711" s="121">
        <v>170000</v>
      </c>
      <c r="F711" s="119" t="s">
        <v>32</v>
      </c>
      <c r="G711" s="119" t="s">
        <v>33</v>
      </c>
      <c r="H711" s="121">
        <v>170000</v>
      </c>
      <c r="I711" s="121">
        <v>56600</v>
      </c>
      <c r="J711" s="122">
        <f t="shared" si="78"/>
        <v>33.294117647058826</v>
      </c>
      <c r="K711" s="121">
        <v>126193</v>
      </c>
      <c r="L711" s="121">
        <f>H711-118116</f>
        <v>51884</v>
      </c>
      <c r="M711" s="121">
        <v>8077</v>
      </c>
      <c r="N711" s="123">
        <f t="shared" si="79"/>
        <v>4.7511764705882351E-2</v>
      </c>
      <c r="O711" s="124">
        <v>40.79</v>
      </c>
      <c r="P711" s="125">
        <v>130</v>
      </c>
      <c r="Q711" s="126">
        <v>0.11899999999999999</v>
      </c>
      <c r="R711" s="126">
        <v>0.11899999999999999</v>
      </c>
      <c r="S711" s="121">
        <f t="shared" si="80"/>
        <v>1271.9784260848248</v>
      </c>
      <c r="T711" s="121">
        <f t="shared" si="81"/>
        <v>436000</v>
      </c>
      <c r="U711" s="127">
        <f t="shared" si="82"/>
        <v>10.009182736455463</v>
      </c>
      <c r="V711" s="126">
        <v>40</v>
      </c>
      <c r="W711" s="126">
        <f t="shared" si="83"/>
        <v>34000</v>
      </c>
      <c r="X711" s="126">
        <f t="shared" si="77"/>
        <v>850</v>
      </c>
      <c r="Y711" s="128" t="s">
        <v>2504</v>
      </c>
      <c r="Z711" s="119" t="s">
        <v>35</v>
      </c>
      <c r="AA711" s="119" t="s">
        <v>35</v>
      </c>
      <c r="AB711" s="119" t="s">
        <v>2505</v>
      </c>
      <c r="AC711" s="119">
        <v>0</v>
      </c>
      <c r="AD711" s="119">
        <v>1</v>
      </c>
      <c r="AE711" s="119" t="s">
        <v>42</v>
      </c>
      <c r="AF711" s="119" t="s">
        <v>35</v>
      </c>
      <c r="AG711" s="119" t="s">
        <v>38</v>
      </c>
      <c r="AH711" s="119" t="s">
        <v>92</v>
      </c>
    </row>
    <row r="712" spans="1:34" x14ac:dyDescent="0.3">
      <c r="A712" s="118" t="s">
        <v>2505</v>
      </c>
      <c r="B712" s="119" t="s">
        <v>2511</v>
      </c>
      <c r="C712" s="119" t="s">
        <v>2512</v>
      </c>
      <c r="D712" s="120">
        <v>45525</v>
      </c>
      <c r="E712" s="121">
        <v>170000</v>
      </c>
      <c r="F712" s="119" t="s">
        <v>81</v>
      </c>
      <c r="G712" s="119" t="s">
        <v>33</v>
      </c>
      <c r="H712" s="121">
        <v>170000</v>
      </c>
      <c r="I712" s="121">
        <v>54200</v>
      </c>
      <c r="J712" s="122">
        <f t="shared" si="78"/>
        <v>31.882352941176471</v>
      </c>
      <c r="K712" s="121">
        <v>119355</v>
      </c>
      <c r="L712" s="121">
        <f>H712-111155</f>
        <v>58845</v>
      </c>
      <c r="M712" s="121">
        <v>8200</v>
      </c>
      <c r="N712" s="123">
        <f t="shared" si="79"/>
        <v>4.8235294117647057E-2</v>
      </c>
      <c r="O712" s="124">
        <v>41.41</v>
      </c>
      <c r="P712" s="125">
        <v>134</v>
      </c>
      <c r="Q712" s="126">
        <v>0.123</v>
      </c>
      <c r="R712" s="126">
        <v>0.123</v>
      </c>
      <c r="S712" s="121">
        <f t="shared" si="80"/>
        <v>1421.0335667713114</v>
      </c>
      <c r="T712" s="121">
        <f t="shared" si="81"/>
        <v>478414.63414634147</v>
      </c>
      <c r="U712" s="127">
        <f t="shared" si="82"/>
        <v>10.98288875450738</v>
      </c>
      <c r="V712" s="126">
        <v>40</v>
      </c>
      <c r="W712" s="126">
        <f t="shared" si="83"/>
        <v>34000</v>
      </c>
      <c r="X712" s="126">
        <f t="shared" si="77"/>
        <v>850</v>
      </c>
      <c r="Y712" s="128" t="s">
        <v>2504</v>
      </c>
      <c r="Z712" s="119" t="s">
        <v>35</v>
      </c>
      <c r="AA712" s="119" t="s">
        <v>35</v>
      </c>
      <c r="AB712" s="119" t="s">
        <v>2505</v>
      </c>
      <c r="AC712" s="119">
        <v>0</v>
      </c>
      <c r="AD712" s="119">
        <v>1</v>
      </c>
      <c r="AE712" s="119" t="s">
        <v>2513</v>
      </c>
      <c r="AF712" s="119" t="s">
        <v>35</v>
      </c>
      <c r="AG712" s="119" t="s">
        <v>38</v>
      </c>
      <c r="AH712" s="119" t="s">
        <v>92</v>
      </c>
    </row>
    <row r="713" spans="1:34" x14ac:dyDescent="0.3">
      <c r="A713" s="107" t="s">
        <v>2505</v>
      </c>
      <c r="B713" s="108" t="s">
        <v>2507</v>
      </c>
      <c r="C713" s="108" t="s">
        <v>2508</v>
      </c>
      <c r="D713" s="109">
        <v>45614</v>
      </c>
      <c r="E713" s="110">
        <v>175000</v>
      </c>
      <c r="F713" s="108" t="s">
        <v>32</v>
      </c>
      <c r="G713" s="108" t="s">
        <v>33</v>
      </c>
      <c r="H713" s="110">
        <v>175000</v>
      </c>
      <c r="I713" s="110">
        <v>52000</v>
      </c>
      <c r="J713" s="111">
        <f t="shared" si="78"/>
        <v>29.714285714285715</v>
      </c>
      <c r="K713" s="110">
        <v>116732</v>
      </c>
      <c r="L713" s="110">
        <f>H713-108532</f>
        <v>66468</v>
      </c>
      <c r="M713" s="110">
        <v>8200</v>
      </c>
      <c r="N713" s="112">
        <f t="shared" si="79"/>
        <v>4.6857142857142854E-2</v>
      </c>
      <c r="O713" s="113">
        <v>41.41</v>
      </c>
      <c r="P713" s="114">
        <v>134</v>
      </c>
      <c r="Q713" s="115">
        <v>0.123</v>
      </c>
      <c r="R713" s="115">
        <v>0.123</v>
      </c>
      <c r="S713" s="110">
        <f t="shared" si="80"/>
        <v>1605.1195363438785</v>
      </c>
      <c r="T713" s="110">
        <f t="shared" si="81"/>
        <v>540390.24390243902</v>
      </c>
      <c r="U713" s="116">
        <f t="shared" si="82"/>
        <v>12.405652982149656</v>
      </c>
      <c r="V713" s="115">
        <v>40</v>
      </c>
      <c r="W713" s="115">
        <f t="shared" si="83"/>
        <v>35000</v>
      </c>
      <c r="X713" s="115">
        <f t="shared" si="77"/>
        <v>875</v>
      </c>
      <c r="Y713" s="117" t="s">
        <v>2504</v>
      </c>
      <c r="Z713" s="108" t="s">
        <v>35</v>
      </c>
      <c r="AA713" s="108" t="s">
        <v>35</v>
      </c>
      <c r="AB713" s="108" t="s">
        <v>2505</v>
      </c>
      <c r="AC713" s="108">
        <v>0</v>
      </c>
      <c r="AD713" s="108">
        <v>1</v>
      </c>
      <c r="AE713" s="108" t="s">
        <v>42</v>
      </c>
      <c r="AF713" s="108" t="s">
        <v>35</v>
      </c>
      <c r="AG713" s="108" t="s">
        <v>38</v>
      </c>
      <c r="AH713" s="108" t="s">
        <v>92</v>
      </c>
    </row>
    <row r="714" spans="1:34" x14ac:dyDescent="0.3">
      <c r="A714" s="107" t="s">
        <v>2435</v>
      </c>
      <c r="B714" s="108" t="s">
        <v>2432</v>
      </c>
      <c r="C714" s="108" t="s">
        <v>2433</v>
      </c>
      <c r="D714" s="109">
        <v>45215</v>
      </c>
      <c r="E714" s="110">
        <v>113000</v>
      </c>
      <c r="F714" s="108" t="s">
        <v>32</v>
      </c>
      <c r="G714" s="108" t="s">
        <v>33</v>
      </c>
      <c r="H714" s="110">
        <v>113000</v>
      </c>
      <c r="I714" s="110">
        <v>37400</v>
      </c>
      <c r="J714" s="111">
        <f t="shared" si="78"/>
        <v>33.097345132743364</v>
      </c>
      <c r="K714" s="110">
        <v>93482</v>
      </c>
      <c r="L714" s="110">
        <f>H714-59742</f>
        <v>53258</v>
      </c>
      <c r="M714" s="110">
        <v>33740</v>
      </c>
      <c r="N714" s="112">
        <f t="shared" si="79"/>
        <v>0.29858407079646015</v>
      </c>
      <c r="O714" s="113">
        <v>182.37</v>
      </c>
      <c r="P714" s="114">
        <v>192.18</v>
      </c>
      <c r="Q714" s="115">
        <v>0.66200000000000003</v>
      </c>
      <c r="R714" s="115">
        <v>0.66200000000000003</v>
      </c>
      <c r="S714" s="110">
        <f t="shared" si="80"/>
        <v>292.03268081373034</v>
      </c>
      <c r="T714" s="110">
        <f t="shared" si="81"/>
        <v>80450.151057401803</v>
      </c>
      <c r="U714" s="116">
        <f t="shared" si="82"/>
        <v>1.8468813374059183</v>
      </c>
      <c r="V714" s="115">
        <v>150</v>
      </c>
      <c r="W714" s="115">
        <f t="shared" si="83"/>
        <v>22600</v>
      </c>
      <c r="X714" s="115">
        <f t="shared" si="77"/>
        <v>150.66666666666666</v>
      </c>
      <c r="Y714" s="117" t="s">
        <v>2434</v>
      </c>
      <c r="Z714" s="108" t="s">
        <v>35</v>
      </c>
      <c r="AA714" s="108" t="s">
        <v>35</v>
      </c>
      <c r="AB714" s="108" t="s">
        <v>2435</v>
      </c>
      <c r="AC714" s="108">
        <v>0</v>
      </c>
      <c r="AD714" s="108">
        <v>1</v>
      </c>
      <c r="AE714" s="108" t="s">
        <v>42</v>
      </c>
      <c r="AF714" s="108" t="s">
        <v>43</v>
      </c>
      <c r="AG714" s="108" t="s">
        <v>38</v>
      </c>
      <c r="AH714" s="108" t="s">
        <v>92</v>
      </c>
    </row>
    <row r="715" spans="1:34" x14ac:dyDescent="0.3">
      <c r="A715" s="118" t="s">
        <v>2435</v>
      </c>
      <c r="B715" s="119" t="s">
        <v>2446</v>
      </c>
      <c r="C715" s="119" t="s">
        <v>2447</v>
      </c>
      <c r="D715" s="120">
        <v>45054</v>
      </c>
      <c r="E715" s="121">
        <v>95000</v>
      </c>
      <c r="F715" s="119" t="s">
        <v>32</v>
      </c>
      <c r="G715" s="119" t="s">
        <v>33</v>
      </c>
      <c r="H715" s="121">
        <v>95000</v>
      </c>
      <c r="I715" s="121">
        <v>45500</v>
      </c>
      <c r="J715" s="122">
        <f t="shared" si="78"/>
        <v>47.89473684210526</v>
      </c>
      <c r="K715" s="121">
        <v>116554</v>
      </c>
      <c r="L715" s="121">
        <f>H715-90506</f>
        <v>4494</v>
      </c>
      <c r="M715" s="121">
        <v>26048</v>
      </c>
      <c r="N715" s="123">
        <f t="shared" si="79"/>
        <v>0.27418947368421054</v>
      </c>
      <c r="O715" s="124">
        <v>140.79</v>
      </c>
      <c r="P715" s="125">
        <v>178.97</v>
      </c>
      <c r="Q715" s="126">
        <v>0.49299999999999999</v>
      </c>
      <c r="R715" s="126">
        <v>0.49299999999999999</v>
      </c>
      <c r="S715" s="121">
        <f t="shared" si="80"/>
        <v>31.919880673343279</v>
      </c>
      <c r="T715" s="121">
        <f t="shared" si="81"/>
        <v>9115.6186612576057</v>
      </c>
      <c r="U715" s="127">
        <f t="shared" si="82"/>
        <v>0.2092658094870892</v>
      </c>
      <c r="V715" s="126">
        <v>120</v>
      </c>
      <c r="W715" s="126">
        <f t="shared" si="83"/>
        <v>19000</v>
      </c>
      <c r="X715" s="126">
        <f t="shared" si="77"/>
        <v>158.33333333333334</v>
      </c>
      <c r="Y715" s="128" t="s">
        <v>2434</v>
      </c>
      <c r="Z715" s="119" t="s">
        <v>35</v>
      </c>
      <c r="AA715" s="119" t="s">
        <v>35</v>
      </c>
      <c r="AB715" s="119" t="s">
        <v>2435</v>
      </c>
      <c r="AC715" s="119">
        <v>0</v>
      </c>
      <c r="AD715" s="119">
        <v>1</v>
      </c>
      <c r="AE715" s="119" t="s">
        <v>42</v>
      </c>
      <c r="AF715" s="119" t="s">
        <v>43</v>
      </c>
      <c r="AG715" s="119" t="s">
        <v>38</v>
      </c>
      <c r="AH715" s="119" t="s">
        <v>92</v>
      </c>
    </row>
    <row r="716" spans="1:34" x14ac:dyDescent="0.3">
      <c r="A716" s="118" t="s">
        <v>2435</v>
      </c>
      <c r="B716" s="119" t="s">
        <v>2569</v>
      </c>
      <c r="C716" s="119" t="s">
        <v>2570</v>
      </c>
      <c r="D716" s="120">
        <v>45566</v>
      </c>
      <c r="E716" s="121">
        <v>80000</v>
      </c>
      <c r="F716" s="119" t="s">
        <v>32</v>
      </c>
      <c r="G716" s="119" t="s">
        <v>66</v>
      </c>
      <c r="H716" s="121">
        <v>80000</v>
      </c>
      <c r="I716" s="121">
        <v>64700</v>
      </c>
      <c r="J716" s="122">
        <f t="shared" si="78"/>
        <v>80.875</v>
      </c>
      <c r="K716" s="121">
        <v>143219</v>
      </c>
      <c r="L716" s="121">
        <f>H716-125047</f>
        <v>-45047</v>
      </c>
      <c r="M716" s="121">
        <v>18172</v>
      </c>
      <c r="N716" s="123">
        <f t="shared" si="79"/>
        <v>0.22714999999999999</v>
      </c>
      <c r="O716" s="124">
        <v>98.23</v>
      </c>
      <c r="P716" s="125">
        <v>392</v>
      </c>
      <c r="Q716" s="126">
        <v>0.36</v>
      </c>
      <c r="R716" s="126">
        <v>0.18</v>
      </c>
      <c r="S716" s="121">
        <f t="shared" si="80"/>
        <v>-458.58698971800874</v>
      </c>
      <c r="T716" s="121">
        <f t="shared" si="81"/>
        <v>-125130.55555555556</v>
      </c>
      <c r="U716" s="127">
        <f t="shared" si="82"/>
        <v>-2.8726022854810735</v>
      </c>
      <c r="V716" s="126">
        <v>80</v>
      </c>
      <c r="W716" s="126">
        <f t="shared" si="83"/>
        <v>16000</v>
      </c>
      <c r="X716" s="126">
        <f t="shared" ref="X716:X779" si="84">W716/V716</f>
        <v>200</v>
      </c>
      <c r="Y716" s="128" t="s">
        <v>2434</v>
      </c>
      <c r="Z716" s="119" t="s">
        <v>35</v>
      </c>
      <c r="AA716" s="119" t="s">
        <v>2568</v>
      </c>
      <c r="AB716" s="119" t="s">
        <v>2435</v>
      </c>
      <c r="AC716" s="119">
        <v>0</v>
      </c>
      <c r="AD716" s="119">
        <v>1</v>
      </c>
      <c r="AE716" s="119" t="s">
        <v>37</v>
      </c>
      <c r="AF716" s="119" t="s">
        <v>35</v>
      </c>
      <c r="AG716" s="119" t="s">
        <v>38</v>
      </c>
      <c r="AH716" s="119" t="s">
        <v>92</v>
      </c>
    </row>
    <row r="717" spans="1:34" x14ac:dyDescent="0.3">
      <c r="A717" s="107" t="s">
        <v>2435</v>
      </c>
      <c r="B717" s="108" t="s">
        <v>2581</v>
      </c>
      <c r="C717" s="108" t="s">
        <v>2582</v>
      </c>
      <c r="D717" s="109">
        <v>45744</v>
      </c>
      <c r="E717" s="110">
        <v>186000</v>
      </c>
      <c r="F717" s="108" t="s">
        <v>32</v>
      </c>
      <c r="G717" s="108" t="s">
        <v>33</v>
      </c>
      <c r="H717" s="110">
        <v>186000</v>
      </c>
      <c r="I717" s="110">
        <v>73200</v>
      </c>
      <c r="J717" s="111">
        <f t="shared" si="78"/>
        <v>39.354838709677423</v>
      </c>
      <c r="K717" s="110">
        <v>161110</v>
      </c>
      <c r="L717" s="110">
        <f>H717-128172</f>
        <v>57828</v>
      </c>
      <c r="M717" s="110">
        <v>32938</v>
      </c>
      <c r="N717" s="112">
        <f t="shared" si="79"/>
        <v>0.17708602150537633</v>
      </c>
      <c r="O717" s="113">
        <v>178.04</v>
      </c>
      <c r="P717" s="114">
        <v>196</v>
      </c>
      <c r="Q717" s="115">
        <v>0.65200000000000002</v>
      </c>
      <c r="R717" s="115">
        <v>0.65200000000000002</v>
      </c>
      <c r="S717" s="110">
        <f t="shared" si="80"/>
        <v>324.80341496292971</v>
      </c>
      <c r="T717" s="110">
        <f t="shared" si="81"/>
        <v>88693.251533742325</v>
      </c>
      <c r="U717" s="116">
        <f t="shared" si="82"/>
        <v>2.0361168855312748</v>
      </c>
      <c r="V717" s="115">
        <v>145</v>
      </c>
      <c r="W717" s="115">
        <f t="shared" si="83"/>
        <v>37200</v>
      </c>
      <c r="X717" s="115">
        <f t="shared" si="84"/>
        <v>256.55172413793105</v>
      </c>
      <c r="Y717" s="117" t="s">
        <v>2434</v>
      </c>
      <c r="Z717" s="108" t="s">
        <v>35</v>
      </c>
      <c r="AA717" s="108" t="s">
        <v>35</v>
      </c>
      <c r="AB717" s="108" t="s">
        <v>2435</v>
      </c>
      <c r="AC717" s="108">
        <v>0</v>
      </c>
      <c r="AD717" s="108">
        <v>1</v>
      </c>
      <c r="AE717" s="108" t="s">
        <v>37</v>
      </c>
      <c r="AF717" s="108" t="s">
        <v>35</v>
      </c>
      <c r="AG717" s="108" t="s">
        <v>38</v>
      </c>
      <c r="AH717" s="108" t="s">
        <v>92</v>
      </c>
    </row>
    <row r="718" spans="1:34" x14ac:dyDescent="0.3">
      <c r="A718" s="118" t="s">
        <v>2435</v>
      </c>
      <c r="B718" s="119" t="s">
        <v>2448</v>
      </c>
      <c r="C718" s="119" t="s">
        <v>2449</v>
      </c>
      <c r="D718" s="120">
        <v>45706</v>
      </c>
      <c r="E718" s="121">
        <v>80000</v>
      </c>
      <c r="F718" s="119" t="s">
        <v>32</v>
      </c>
      <c r="G718" s="119" t="s">
        <v>33</v>
      </c>
      <c r="H718" s="121">
        <v>80000</v>
      </c>
      <c r="I718" s="121">
        <v>54500</v>
      </c>
      <c r="J718" s="122">
        <f t="shared" si="78"/>
        <v>68.125</v>
      </c>
      <c r="K718" s="121">
        <v>124510</v>
      </c>
      <c r="L718" s="121">
        <f>H718-113536</f>
        <v>-33536</v>
      </c>
      <c r="M718" s="121">
        <v>10974</v>
      </c>
      <c r="N718" s="123">
        <f t="shared" si="79"/>
        <v>0.13717499999999999</v>
      </c>
      <c r="O718" s="124">
        <v>59.31</v>
      </c>
      <c r="P718" s="125">
        <v>182.97</v>
      </c>
      <c r="Q718" s="126">
        <v>0.21</v>
      </c>
      <c r="R718" s="126">
        <v>0.21</v>
      </c>
      <c r="S718" s="121">
        <f t="shared" si="80"/>
        <v>-565.43584555724158</v>
      </c>
      <c r="T718" s="121">
        <f t="shared" si="81"/>
        <v>-159695.23809523811</v>
      </c>
      <c r="U718" s="127">
        <f t="shared" si="82"/>
        <v>-3.6660982115527574</v>
      </c>
      <c r="V718" s="126">
        <v>50</v>
      </c>
      <c r="W718" s="126">
        <f t="shared" si="83"/>
        <v>16000</v>
      </c>
      <c r="X718" s="126">
        <f t="shared" si="84"/>
        <v>320</v>
      </c>
      <c r="Y718" s="128" t="s">
        <v>2434</v>
      </c>
      <c r="Z718" s="119" t="s">
        <v>35</v>
      </c>
      <c r="AA718" s="119" t="s">
        <v>35</v>
      </c>
      <c r="AB718" s="119" t="s">
        <v>2435</v>
      </c>
      <c r="AC718" s="119">
        <v>0</v>
      </c>
      <c r="AD718" s="119">
        <v>1</v>
      </c>
      <c r="AE718" s="119" t="s">
        <v>412</v>
      </c>
      <c r="AF718" s="119" t="s">
        <v>35</v>
      </c>
      <c r="AG718" s="119" t="s">
        <v>38</v>
      </c>
      <c r="AH718" s="119" t="s">
        <v>92</v>
      </c>
    </row>
    <row r="719" spans="1:34" x14ac:dyDescent="0.3">
      <c r="A719" s="118" t="s">
        <v>2435</v>
      </c>
      <c r="B719" s="119" t="s">
        <v>2535</v>
      </c>
      <c r="C719" s="119" t="s">
        <v>2536</v>
      </c>
      <c r="D719" s="120">
        <v>45604</v>
      </c>
      <c r="E719" s="121">
        <v>66000</v>
      </c>
      <c r="F719" s="119" t="s">
        <v>32</v>
      </c>
      <c r="G719" s="119" t="s">
        <v>33</v>
      </c>
      <c r="H719" s="121">
        <v>66000</v>
      </c>
      <c r="I719" s="121">
        <v>38700</v>
      </c>
      <c r="J719" s="122">
        <f t="shared" si="78"/>
        <v>58.636363636363633</v>
      </c>
      <c r="K719" s="121">
        <v>89382</v>
      </c>
      <c r="L719" s="121">
        <f>H719-81730</f>
        <v>-15730</v>
      </c>
      <c r="M719" s="121">
        <v>7652</v>
      </c>
      <c r="N719" s="123">
        <f t="shared" si="79"/>
        <v>0.11593939393939394</v>
      </c>
      <c r="O719" s="124">
        <v>41.36</v>
      </c>
      <c r="P719" s="125">
        <v>139</v>
      </c>
      <c r="Q719" s="126">
        <v>0.128</v>
      </c>
      <c r="R719" s="126">
        <v>0.128</v>
      </c>
      <c r="S719" s="121">
        <f t="shared" si="80"/>
        <v>-380.31914893617022</v>
      </c>
      <c r="T719" s="121">
        <f t="shared" si="81"/>
        <v>-122890.625</v>
      </c>
      <c r="U719" s="127">
        <f t="shared" si="82"/>
        <v>-2.8211805555555554</v>
      </c>
      <c r="V719" s="126">
        <v>40</v>
      </c>
      <c r="W719" s="126">
        <f t="shared" si="83"/>
        <v>13200</v>
      </c>
      <c r="X719" s="126">
        <f t="shared" si="84"/>
        <v>330</v>
      </c>
      <c r="Y719" s="128" t="s">
        <v>2434</v>
      </c>
      <c r="Z719" s="119" t="s">
        <v>35</v>
      </c>
      <c r="AA719" s="119" t="s">
        <v>35</v>
      </c>
      <c r="AB719" s="119" t="s">
        <v>2435</v>
      </c>
      <c r="AC719" s="119">
        <v>0</v>
      </c>
      <c r="AD719" s="119">
        <v>1</v>
      </c>
      <c r="AE719" s="119" t="s">
        <v>42</v>
      </c>
      <c r="AF719" s="119" t="s">
        <v>35</v>
      </c>
      <c r="AG719" s="119" t="s">
        <v>38</v>
      </c>
      <c r="AH719" s="119" t="s">
        <v>92</v>
      </c>
    </row>
    <row r="720" spans="1:34" x14ac:dyDescent="0.3">
      <c r="A720" s="118" t="s">
        <v>2435</v>
      </c>
      <c r="B720" s="119" t="s">
        <v>2541</v>
      </c>
      <c r="C720" s="119" t="s">
        <v>2542</v>
      </c>
      <c r="D720" s="120">
        <v>45138</v>
      </c>
      <c r="E720" s="121">
        <v>70000</v>
      </c>
      <c r="F720" s="119" t="s">
        <v>32</v>
      </c>
      <c r="G720" s="119" t="s">
        <v>33</v>
      </c>
      <c r="H720" s="121">
        <v>70000</v>
      </c>
      <c r="I720" s="121">
        <v>36800</v>
      </c>
      <c r="J720" s="122">
        <f t="shared" si="78"/>
        <v>52.571428571428569</v>
      </c>
      <c r="K720" s="121">
        <v>103487</v>
      </c>
      <c r="L720" s="121">
        <f>H720-95835</f>
        <v>-25835</v>
      </c>
      <c r="M720" s="121">
        <v>7652</v>
      </c>
      <c r="N720" s="123">
        <f t="shared" si="79"/>
        <v>0.10931428571428571</v>
      </c>
      <c r="O720" s="124">
        <v>41.36</v>
      </c>
      <c r="P720" s="125">
        <v>139</v>
      </c>
      <c r="Q720" s="126">
        <v>0.128</v>
      </c>
      <c r="R720" s="126">
        <v>0.128</v>
      </c>
      <c r="S720" s="121">
        <f t="shared" si="80"/>
        <v>-624.63733075435209</v>
      </c>
      <c r="T720" s="121">
        <f t="shared" si="81"/>
        <v>-201835.9375</v>
      </c>
      <c r="U720" s="127">
        <f t="shared" si="82"/>
        <v>-4.6335155532598717</v>
      </c>
      <c r="V720" s="126">
        <v>40</v>
      </c>
      <c r="W720" s="126">
        <f t="shared" si="83"/>
        <v>14000</v>
      </c>
      <c r="X720" s="126">
        <f t="shared" si="84"/>
        <v>350</v>
      </c>
      <c r="Y720" s="128" t="s">
        <v>2434</v>
      </c>
      <c r="Z720" s="119" t="s">
        <v>35</v>
      </c>
      <c r="AA720" s="119" t="s">
        <v>35</v>
      </c>
      <c r="AB720" s="119" t="s">
        <v>2435</v>
      </c>
      <c r="AC720" s="119">
        <v>0</v>
      </c>
      <c r="AD720" s="119">
        <v>1</v>
      </c>
      <c r="AE720" s="119" t="s">
        <v>42</v>
      </c>
      <c r="AF720" s="119" t="s">
        <v>43</v>
      </c>
      <c r="AG720" s="119" t="s">
        <v>38</v>
      </c>
      <c r="AH720" s="119" t="s">
        <v>92</v>
      </c>
    </row>
    <row r="721" spans="1:34" x14ac:dyDescent="0.3">
      <c r="A721" s="118" t="s">
        <v>2435</v>
      </c>
      <c r="B721" s="119" t="s">
        <v>2571</v>
      </c>
      <c r="C721" s="119" t="s">
        <v>2572</v>
      </c>
      <c r="D721" s="120">
        <v>45422</v>
      </c>
      <c r="E721" s="121">
        <v>187500</v>
      </c>
      <c r="F721" s="119" t="s">
        <v>32</v>
      </c>
      <c r="G721" s="119" t="s">
        <v>33</v>
      </c>
      <c r="H721" s="121">
        <v>187500</v>
      </c>
      <c r="I721" s="121">
        <v>79100</v>
      </c>
      <c r="J721" s="122">
        <f t="shared" si="78"/>
        <v>42.186666666666667</v>
      </c>
      <c r="K721" s="121">
        <v>174836</v>
      </c>
      <c r="L721" s="121">
        <f>H721-152129</f>
        <v>35371</v>
      </c>
      <c r="M721" s="121">
        <v>22707</v>
      </c>
      <c r="N721" s="123">
        <f t="shared" si="79"/>
        <v>0.121104</v>
      </c>
      <c r="O721" s="124">
        <v>122.74</v>
      </c>
      <c r="P721" s="125">
        <v>177.64</v>
      </c>
      <c r="Q721" s="126">
        <v>0.42799999999999999</v>
      </c>
      <c r="R721" s="126">
        <v>0.42799999999999999</v>
      </c>
      <c r="S721" s="121">
        <f t="shared" si="80"/>
        <v>288.17826299494868</v>
      </c>
      <c r="T721" s="121">
        <f t="shared" si="81"/>
        <v>82642.523364485984</v>
      </c>
      <c r="U721" s="127">
        <f t="shared" si="82"/>
        <v>1.8972112801764458</v>
      </c>
      <c r="V721" s="126">
        <v>105</v>
      </c>
      <c r="W721" s="126">
        <f t="shared" si="83"/>
        <v>37500</v>
      </c>
      <c r="X721" s="126">
        <f t="shared" si="84"/>
        <v>357.14285714285717</v>
      </c>
      <c r="Y721" s="128" t="s">
        <v>2434</v>
      </c>
      <c r="Z721" s="119" t="s">
        <v>35</v>
      </c>
      <c r="AA721" s="119" t="s">
        <v>35</v>
      </c>
      <c r="AB721" s="119" t="s">
        <v>2435</v>
      </c>
      <c r="AC721" s="119">
        <v>0</v>
      </c>
      <c r="AD721" s="119">
        <v>1</v>
      </c>
      <c r="AE721" s="119" t="s">
        <v>42</v>
      </c>
      <c r="AF721" s="119" t="s">
        <v>43</v>
      </c>
      <c r="AG721" s="119" t="s">
        <v>38</v>
      </c>
      <c r="AH721" s="119" t="s">
        <v>92</v>
      </c>
    </row>
    <row r="722" spans="1:34" x14ac:dyDescent="0.3">
      <c r="A722" s="107" t="s">
        <v>2435</v>
      </c>
      <c r="B722" s="108" t="s">
        <v>2568</v>
      </c>
      <c r="C722" s="108" t="s">
        <v>583</v>
      </c>
      <c r="D722" s="109">
        <v>45663</v>
      </c>
      <c r="E722" s="110">
        <v>149000</v>
      </c>
      <c r="F722" s="108" t="s">
        <v>32</v>
      </c>
      <c r="G722" s="108" t="s">
        <v>66</v>
      </c>
      <c r="H722" s="110">
        <v>149000</v>
      </c>
      <c r="I722" s="110">
        <v>64700</v>
      </c>
      <c r="J722" s="111">
        <f t="shared" si="78"/>
        <v>43.422818791946312</v>
      </c>
      <c r="K722" s="110">
        <v>264699</v>
      </c>
      <c r="L722" s="110">
        <f>H722-230680</f>
        <v>-81680</v>
      </c>
      <c r="M722" s="110">
        <v>18172</v>
      </c>
      <c r="N722" s="112">
        <f t="shared" si="79"/>
        <v>0.12195973154362416</v>
      </c>
      <c r="O722" s="113">
        <v>98.23</v>
      </c>
      <c r="P722" s="114">
        <v>392</v>
      </c>
      <c r="Q722" s="115">
        <v>0.36</v>
      </c>
      <c r="R722" s="115">
        <v>0.18</v>
      </c>
      <c r="S722" s="110">
        <f t="shared" si="80"/>
        <v>-831.51786623231192</v>
      </c>
      <c r="T722" s="110">
        <f t="shared" si="81"/>
        <v>-226888.88888888891</v>
      </c>
      <c r="U722" s="116">
        <f t="shared" si="82"/>
        <v>-5.2086521783491486</v>
      </c>
      <c r="V722" s="115">
        <v>80</v>
      </c>
      <c r="W722" s="115">
        <f t="shared" si="83"/>
        <v>29800</v>
      </c>
      <c r="X722" s="115">
        <f t="shared" si="84"/>
        <v>372.5</v>
      </c>
      <c r="Y722" s="117" t="s">
        <v>2434</v>
      </c>
      <c r="Z722" s="108" t="s">
        <v>35</v>
      </c>
      <c r="AA722" s="108" t="s">
        <v>2569</v>
      </c>
      <c r="AB722" s="108" t="s">
        <v>2435</v>
      </c>
      <c r="AC722" s="108">
        <v>0</v>
      </c>
      <c r="AD722" s="108">
        <v>1</v>
      </c>
      <c r="AE722" s="108" t="s">
        <v>37</v>
      </c>
      <c r="AF722" s="108" t="s">
        <v>35</v>
      </c>
      <c r="AG722" s="108" t="s">
        <v>61</v>
      </c>
      <c r="AH722" s="108" t="s">
        <v>92</v>
      </c>
    </row>
    <row r="723" spans="1:34" x14ac:dyDescent="0.3">
      <c r="A723" s="118" t="s">
        <v>2435</v>
      </c>
      <c r="B723" s="119" t="s">
        <v>2585</v>
      </c>
      <c r="C723" s="119" t="s">
        <v>2586</v>
      </c>
      <c r="D723" s="120">
        <v>45383</v>
      </c>
      <c r="E723" s="121">
        <v>151000</v>
      </c>
      <c r="F723" s="119" t="s">
        <v>32</v>
      </c>
      <c r="G723" s="119" t="s">
        <v>33</v>
      </c>
      <c r="H723" s="121">
        <v>151000</v>
      </c>
      <c r="I723" s="121">
        <v>62400</v>
      </c>
      <c r="J723" s="122">
        <f t="shared" si="78"/>
        <v>41.324503311258276</v>
      </c>
      <c r="K723" s="121">
        <v>141819</v>
      </c>
      <c r="L723" s="121">
        <f>H723-124518</f>
        <v>26482</v>
      </c>
      <c r="M723" s="121">
        <v>17301</v>
      </c>
      <c r="N723" s="123">
        <f t="shared" si="79"/>
        <v>0.11457615894039735</v>
      </c>
      <c r="O723" s="124">
        <v>93.51</v>
      </c>
      <c r="P723" s="125">
        <v>177.64</v>
      </c>
      <c r="Q723" s="126">
        <v>0.32600000000000001</v>
      </c>
      <c r="R723" s="126">
        <v>0.32600000000000001</v>
      </c>
      <c r="S723" s="121">
        <f t="shared" si="80"/>
        <v>283.19965779061062</v>
      </c>
      <c r="T723" s="121">
        <f t="shared" si="81"/>
        <v>81233.128834355826</v>
      </c>
      <c r="U723" s="127">
        <f t="shared" si="82"/>
        <v>1.8648560338465525</v>
      </c>
      <c r="V723" s="126">
        <v>80</v>
      </c>
      <c r="W723" s="126">
        <f t="shared" si="83"/>
        <v>30200</v>
      </c>
      <c r="X723" s="126">
        <f t="shared" si="84"/>
        <v>377.5</v>
      </c>
      <c r="Y723" s="128" t="s">
        <v>2434</v>
      </c>
      <c r="Z723" s="119" t="s">
        <v>35</v>
      </c>
      <c r="AA723" s="119" t="s">
        <v>35</v>
      </c>
      <c r="AB723" s="119" t="s">
        <v>2435</v>
      </c>
      <c r="AC723" s="119">
        <v>0</v>
      </c>
      <c r="AD723" s="119">
        <v>1</v>
      </c>
      <c r="AE723" s="119" t="s">
        <v>42</v>
      </c>
      <c r="AF723" s="119" t="s">
        <v>43</v>
      </c>
      <c r="AG723" s="119" t="s">
        <v>38</v>
      </c>
      <c r="AH723" s="119" t="s">
        <v>92</v>
      </c>
    </row>
    <row r="724" spans="1:34" x14ac:dyDescent="0.3">
      <c r="A724" s="107" t="s">
        <v>2435</v>
      </c>
      <c r="B724" s="108" t="s">
        <v>2444</v>
      </c>
      <c r="C724" s="108" t="s">
        <v>2445</v>
      </c>
      <c r="D724" s="109">
        <v>45580</v>
      </c>
      <c r="E724" s="110">
        <v>164000</v>
      </c>
      <c r="F724" s="108" t="s">
        <v>32</v>
      </c>
      <c r="G724" s="108" t="s">
        <v>33</v>
      </c>
      <c r="H724" s="110">
        <v>164000</v>
      </c>
      <c r="I724" s="110">
        <v>74100</v>
      </c>
      <c r="J724" s="111">
        <f t="shared" si="78"/>
        <v>45.182926829268297</v>
      </c>
      <c r="K724" s="110">
        <v>169185</v>
      </c>
      <c r="L724" s="110">
        <f>H724-151277</f>
        <v>12723</v>
      </c>
      <c r="M724" s="110">
        <v>17908</v>
      </c>
      <c r="N724" s="112">
        <f t="shared" si="79"/>
        <v>0.10919512195121951</v>
      </c>
      <c r="O724" s="113">
        <v>96.79</v>
      </c>
      <c r="P724" s="114">
        <v>178.97</v>
      </c>
      <c r="Q724" s="115">
        <v>0.33800000000000002</v>
      </c>
      <c r="R724" s="115">
        <v>0.33800000000000002</v>
      </c>
      <c r="S724" s="110">
        <f t="shared" si="80"/>
        <v>131.44952991011468</v>
      </c>
      <c r="T724" s="110">
        <f t="shared" si="81"/>
        <v>37642.011834319521</v>
      </c>
      <c r="U724" s="116">
        <f t="shared" si="82"/>
        <v>0.86414168582000739</v>
      </c>
      <c r="V724" s="115">
        <v>83</v>
      </c>
      <c r="W724" s="115">
        <f t="shared" si="83"/>
        <v>32800</v>
      </c>
      <c r="X724" s="115">
        <f t="shared" si="84"/>
        <v>395.18072289156629</v>
      </c>
      <c r="Y724" s="117" t="s">
        <v>2434</v>
      </c>
      <c r="Z724" s="108" t="s">
        <v>35</v>
      </c>
      <c r="AA724" s="108" t="s">
        <v>35</v>
      </c>
      <c r="AB724" s="108" t="s">
        <v>2435</v>
      </c>
      <c r="AC724" s="108">
        <v>0</v>
      </c>
      <c r="AD724" s="108">
        <v>1</v>
      </c>
      <c r="AE724" s="108" t="s">
        <v>37</v>
      </c>
      <c r="AF724" s="108" t="s">
        <v>35</v>
      </c>
      <c r="AG724" s="108" t="s">
        <v>38</v>
      </c>
      <c r="AH724" s="108" t="s">
        <v>92</v>
      </c>
    </row>
    <row r="725" spans="1:34" x14ac:dyDescent="0.3">
      <c r="A725" s="107" t="s">
        <v>2435</v>
      </c>
      <c r="B725" s="108" t="s">
        <v>2571</v>
      </c>
      <c r="C725" s="108" t="s">
        <v>2572</v>
      </c>
      <c r="D725" s="109">
        <v>45527</v>
      </c>
      <c r="E725" s="110">
        <v>230000</v>
      </c>
      <c r="F725" s="108" t="s">
        <v>32</v>
      </c>
      <c r="G725" s="108" t="s">
        <v>33</v>
      </c>
      <c r="H725" s="110">
        <v>230000</v>
      </c>
      <c r="I725" s="110">
        <v>79100</v>
      </c>
      <c r="J725" s="111">
        <f t="shared" si="78"/>
        <v>34.391304347826086</v>
      </c>
      <c r="K725" s="110">
        <v>174836</v>
      </c>
      <c r="L725" s="110">
        <f>H725-152129</f>
        <v>77871</v>
      </c>
      <c r="M725" s="110">
        <v>22707</v>
      </c>
      <c r="N725" s="112">
        <f t="shared" si="79"/>
        <v>9.8726086956521741E-2</v>
      </c>
      <c r="O725" s="113">
        <v>122.74</v>
      </c>
      <c r="P725" s="114">
        <v>177.64</v>
      </c>
      <c r="Q725" s="115">
        <v>0.42799999999999999</v>
      </c>
      <c r="R725" s="115">
        <v>0.42799999999999999</v>
      </c>
      <c r="S725" s="110">
        <f t="shared" si="80"/>
        <v>634.43865080658304</v>
      </c>
      <c r="T725" s="110">
        <f t="shared" si="81"/>
        <v>181941.58878504674</v>
      </c>
      <c r="U725" s="116">
        <f t="shared" si="82"/>
        <v>4.1768041502535986</v>
      </c>
      <c r="V725" s="115">
        <v>105</v>
      </c>
      <c r="W725" s="115">
        <f t="shared" si="83"/>
        <v>46000</v>
      </c>
      <c r="X725" s="115">
        <f t="shared" si="84"/>
        <v>438.09523809523807</v>
      </c>
      <c r="Y725" s="117" t="s">
        <v>2434</v>
      </c>
      <c r="Z725" s="108" t="s">
        <v>35</v>
      </c>
      <c r="AA725" s="108" t="s">
        <v>35</v>
      </c>
      <c r="AB725" s="108" t="s">
        <v>2435</v>
      </c>
      <c r="AC725" s="108">
        <v>0</v>
      </c>
      <c r="AD725" s="108">
        <v>1</v>
      </c>
      <c r="AE725" s="108" t="s">
        <v>42</v>
      </c>
      <c r="AF725" s="108" t="s">
        <v>43</v>
      </c>
      <c r="AG725" s="108" t="s">
        <v>38</v>
      </c>
      <c r="AH725" s="108" t="s">
        <v>92</v>
      </c>
    </row>
    <row r="726" spans="1:34" x14ac:dyDescent="0.3">
      <c r="A726" s="118" t="s">
        <v>2435</v>
      </c>
      <c r="B726" s="119" t="s">
        <v>2577</v>
      </c>
      <c r="C726" s="119" t="s">
        <v>2578</v>
      </c>
      <c r="D726" s="120">
        <v>45448</v>
      </c>
      <c r="E726" s="121">
        <v>181000</v>
      </c>
      <c r="F726" s="119" t="s">
        <v>32</v>
      </c>
      <c r="G726" s="119" t="s">
        <v>33</v>
      </c>
      <c r="H726" s="121">
        <v>181000</v>
      </c>
      <c r="I726" s="121">
        <v>61700</v>
      </c>
      <c r="J726" s="122">
        <f t="shared" si="78"/>
        <v>34.088397790055247</v>
      </c>
      <c r="K726" s="121">
        <v>141951</v>
      </c>
      <c r="L726" s="121">
        <f>H726-124650</f>
        <v>56350</v>
      </c>
      <c r="M726" s="121">
        <v>17301</v>
      </c>
      <c r="N726" s="123">
        <f t="shared" si="79"/>
        <v>9.5585635359116017E-2</v>
      </c>
      <c r="O726" s="124">
        <v>93.51</v>
      </c>
      <c r="P726" s="125">
        <v>177.64</v>
      </c>
      <c r="Q726" s="126">
        <v>0.32600000000000001</v>
      </c>
      <c r="R726" s="126">
        <v>0.32600000000000001</v>
      </c>
      <c r="S726" s="121">
        <f t="shared" si="80"/>
        <v>602.60934659394718</v>
      </c>
      <c r="T726" s="121">
        <f t="shared" si="81"/>
        <v>172852.7607361963</v>
      </c>
      <c r="U726" s="127">
        <f t="shared" si="82"/>
        <v>3.9681533685995478</v>
      </c>
      <c r="V726" s="126">
        <v>80</v>
      </c>
      <c r="W726" s="126">
        <f t="shared" si="83"/>
        <v>36200</v>
      </c>
      <c r="X726" s="126">
        <f t="shared" si="84"/>
        <v>452.5</v>
      </c>
      <c r="Y726" s="128" t="s">
        <v>2434</v>
      </c>
      <c r="Z726" s="119" t="s">
        <v>35</v>
      </c>
      <c r="AA726" s="119" t="s">
        <v>35</v>
      </c>
      <c r="AB726" s="119" t="s">
        <v>2435</v>
      </c>
      <c r="AC726" s="119">
        <v>0</v>
      </c>
      <c r="AD726" s="119">
        <v>1</v>
      </c>
      <c r="AE726" s="119" t="s">
        <v>42</v>
      </c>
      <c r="AF726" s="119" t="s">
        <v>43</v>
      </c>
      <c r="AG726" s="119" t="s">
        <v>38</v>
      </c>
      <c r="AH726" s="119" t="s">
        <v>92</v>
      </c>
    </row>
    <row r="727" spans="1:34" x14ac:dyDescent="0.3">
      <c r="A727" s="107" t="s">
        <v>2435</v>
      </c>
      <c r="B727" s="108" t="s">
        <v>2442</v>
      </c>
      <c r="C727" s="108" t="s">
        <v>2443</v>
      </c>
      <c r="D727" s="109">
        <v>45037</v>
      </c>
      <c r="E727" s="110">
        <v>92900</v>
      </c>
      <c r="F727" s="108" t="s">
        <v>32</v>
      </c>
      <c r="G727" s="108" t="s">
        <v>33</v>
      </c>
      <c r="H727" s="110">
        <v>92900</v>
      </c>
      <c r="I727" s="110">
        <v>40400</v>
      </c>
      <c r="J727" s="111">
        <f t="shared" si="78"/>
        <v>43.487621097954793</v>
      </c>
      <c r="K727" s="110">
        <v>108119</v>
      </c>
      <c r="L727" s="110">
        <f>H727-99436</f>
        <v>-6536</v>
      </c>
      <c r="M727" s="110">
        <v>8683</v>
      </c>
      <c r="N727" s="112">
        <f t="shared" si="79"/>
        <v>9.3466092572658768E-2</v>
      </c>
      <c r="O727" s="113">
        <v>46.93</v>
      </c>
      <c r="P727" s="114">
        <v>178.97</v>
      </c>
      <c r="Q727" s="115">
        <v>0.16400000000000001</v>
      </c>
      <c r="R727" s="115">
        <v>0.16400000000000001</v>
      </c>
      <c r="S727" s="110">
        <f t="shared" si="80"/>
        <v>-139.27125506072875</v>
      </c>
      <c r="T727" s="110">
        <f t="shared" si="81"/>
        <v>-39853.658536585361</v>
      </c>
      <c r="U727" s="116">
        <f t="shared" si="82"/>
        <v>-0.91491410781876403</v>
      </c>
      <c r="V727" s="115">
        <v>40</v>
      </c>
      <c r="W727" s="115">
        <f t="shared" si="83"/>
        <v>18580</v>
      </c>
      <c r="X727" s="115">
        <f t="shared" si="84"/>
        <v>464.5</v>
      </c>
      <c r="Y727" s="117" t="s">
        <v>2434</v>
      </c>
      <c r="Z727" s="108" t="s">
        <v>35</v>
      </c>
      <c r="AA727" s="108" t="s">
        <v>35</v>
      </c>
      <c r="AB727" s="108" t="s">
        <v>2435</v>
      </c>
      <c r="AC727" s="108">
        <v>0</v>
      </c>
      <c r="AD727" s="108">
        <v>1</v>
      </c>
      <c r="AE727" s="108" t="s">
        <v>42</v>
      </c>
      <c r="AF727" s="108" t="s">
        <v>43</v>
      </c>
      <c r="AG727" s="108" t="s">
        <v>38</v>
      </c>
      <c r="AH727" s="108" t="s">
        <v>92</v>
      </c>
    </row>
    <row r="728" spans="1:34" x14ac:dyDescent="0.3">
      <c r="A728" s="118" t="s">
        <v>2435</v>
      </c>
      <c r="B728" s="119" t="s">
        <v>2539</v>
      </c>
      <c r="C728" s="119" t="s">
        <v>2540</v>
      </c>
      <c r="D728" s="120">
        <v>45441</v>
      </c>
      <c r="E728" s="121">
        <v>190000</v>
      </c>
      <c r="F728" s="119" t="s">
        <v>32</v>
      </c>
      <c r="G728" s="119" t="s">
        <v>33</v>
      </c>
      <c r="H728" s="121">
        <v>190000</v>
      </c>
      <c r="I728" s="121">
        <v>65800</v>
      </c>
      <c r="J728" s="122">
        <f t="shared" si="78"/>
        <v>34.631578947368418</v>
      </c>
      <c r="K728" s="121">
        <v>150365</v>
      </c>
      <c r="L728" s="121">
        <f>H728-135061</f>
        <v>54939</v>
      </c>
      <c r="M728" s="121">
        <v>15304</v>
      </c>
      <c r="N728" s="123">
        <f t="shared" si="79"/>
        <v>8.0547368421052631E-2</v>
      </c>
      <c r="O728" s="124">
        <v>82.72</v>
      </c>
      <c r="P728" s="125">
        <v>139</v>
      </c>
      <c r="Q728" s="126">
        <v>0.255</v>
      </c>
      <c r="R728" s="126">
        <v>0.255</v>
      </c>
      <c r="S728" s="121">
        <f t="shared" si="80"/>
        <v>664.15618955512571</v>
      </c>
      <c r="T728" s="121">
        <f t="shared" si="81"/>
        <v>215447.0588235294</v>
      </c>
      <c r="U728" s="127">
        <f t="shared" si="82"/>
        <v>4.9459839032031541</v>
      </c>
      <c r="V728" s="126">
        <v>80</v>
      </c>
      <c r="W728" s="126">
        <f t="shared" si="83"/>
        <v>38000</v>
      </c>
      <c r="X728" s="126">
        <f t="shared" si="84"/>
        <v>475</v>
      </c>
      <c r="Y728" s="128" t="s">
        <v>2434</v>
      </c>
      <c r="Z728" s="119" t="s">
        <v>35</v>
      </c>
      <c r="AA728" s="119" t="s">
        <v>35</v>
      </c>
      <c r="AB728" s="119" t="s">
        <v>2435</v>
      </c>
      <c r="AC728" s="119">
        <v>0</v>
      </c>
      <c r="AD728" s="119">
        <v>1</v>
      </c>
      <c r="AE728" s="119" t="s">
        <v>37</v>
      </c>
      <c r="AF728" s="119" t="s">
        <v>43</v>
      </c>
      <c r="AG728" s="119" t="s">
        <v>38</v>
      </c>
      <c r="AH728" s="119" t="s">
        <v>92</v>
      </c>
    </row>
    <row r="729" spans="1:34" x14ac:dyDescent="0.3">
      <c r="A729" s="107" t="s">
        <v>2435</v>
      </c>
      <c r="B729" s="108" t="s">
        <v>2531</v>
      </c>
      <c r="C729" s="108" t="s">
        <v>2532</v>
      </c>
      <c r="D729" s="109">
        <v>45502</v>
      </c>
      <c r="E729" s="110">
        <v>96000</v>
      </c>
      <c r="F729" s="108" t="s">
        <v>32</v>
      </c>
      <c r="G729" s="108" t="s">
        <v>33</v>
      </c>
      <c r="H729" s="110">
        <v>96000</v>
      </c>
      <c r="I729" s="110">
        <v>52200</v>
      </c>
      <c r="J729" s="111">
        <f t="shared" si="78"/>
        <v>54.374999999999993</v>
      </c>
      <c r="K729" s="110">
        <v>121300</v>
      </c>
      <c r="L729" s="110">
        <f>H729-113648</f>
        <v>-17648</v>
      </c>
      <c r="M729" s="110">
        <v>7652</v>
      </c>
      <c r="N729" s="112">
        <f t="shared" si="79"/>
        <v>7.9708333333333339E-2</v>
      </c>
      <c r="O729" s="113">
        <v>41.36</v>
      </c>
      <c r="P729" s="114">
        <v>139</v>
      </c>
      <c r="Q729" s="115">
        <v>0.128</v>
      </c>
      <c r="R729" s="115">
        <v>0.128</v>
      </c>
      <c r="S729" s="110">
        <f t="shared" si="80"/>
        <v>-426.69245647969052</v>
      </c>
      <c r="T729" s="110">
        <f t="shared" si="81"/>
        <v>-137875</v>
      </c>
      <c r="U729" s="116">
        <f t="shared" si="82"/>
        <v>-3.1651744719926538</v>
      </c>
      <c r="V729" s="115">
        <v>40</v>
      </c>
      <c r="W729" s="115">
        <f t="shared" si="83"/>
        <v>19200</v>
      </c>
      <c r="X729" s="115">
        <f t="shared" si="84"/>
        <v>480</v>
      </c>
      <c r="Y729" s="117" t="s">
        <v>2434</v>
      </c>
      <c r="Z729" s="108" t="s">
        <v>35</v>
      </c>
      <c r="AA729" s="108" t="s">
        <v>35</v>
      </c>
      <c r="AB729" s="108" t="s">
        <v>2435</v>
      </c>
      <c r="AC729" s="108">
        <v>0</v>
      </c>
      <c r="AD729" s="108">
        <v>1</v>
      </c>
      <c r="AE729" s="108" t="s">
        <v>37</v>
      </c>
      <c r="AF729" s="108" t="s">
        <v>43</v>
      </c>
      <c r="AG729" s="108" t="s">
        <v>38</v>
      </c>
      <c r="AH729" s="108" t="s">
        <v>92</v>
      </c>
    </row>
    <row r="730" spans="1:34" x14ac:dyDescent="0.3">
      <c r="A730" s="118" t="s">
        <v>2435</v>
      </c>
      <c r="B730" s="119" t="s">
        <v>2575</v>
      </c>
      <c r="C730" s="119" t="s">
        <v>2576</v>
      </c>
      <c r="D730" s="120">
        <v>45615</v>
      </c>
      <c r="E730" s="121">
        <v>99900</v>
      </c>
      <c r="F730" s="119" t="s">
        <v>32</v>
      </c>
      <c r="G730" s="119" t="s">
        <v>33</v>
      </c>
      <c r="H730" s="121">
        <v>99900</v>
      </c>
      <c r="I730" s="121">
        <v>48600</v>
      </c>
      <c r="J730" s="122">
        <f t="shared" si="78"/>
        <v>48.648648648648653</v>
      </c>
      <c r="K730" s="121">
        <v>110897</v>
      </c>
      <c r="L730" s="121">
        <f>H730-102247</f>
        <v>-2347</v>
      </c>
      <c r="M730" s="121">
        <v>8650</v>
      </c>
      <c r="N730" s="123">
        <f t="shared" si="79"/>
        <v>8.6586586586586592E-2</v>
      </c>
      <c r="O730" s="124">
        <v>46.75</v>
      </c>
      <c r="P730" s="125">
        <v>177.64</v>
      </c>
      <c r="Q730" s="126">
        <v>0.16300000000000001</v>
      </c>
      <c r="R730" s="126">
        <v>0.16300000000000001</v>
      </c>
      <c r="S730" s="121">
        <f t="shared" si="80"/>
        <v>-50.203208556149733</v>
      </c>
      <c r="T730" s="121">
        <f t="shared" si="81"/>
        <v>-14398.773006134968</v>
      </c>
      <c r="U730" s="127">
        <f t="shared" si="82"/>
        <v>-0.33055034449345655</v>
      </c>
      <c r="V730" s="126">
        <v>40</v>
      </c>
      <c r="W730" s="126">
        <f t="shared" si="83"/>
        <v>19980</v>
      </c>
      <c r="X730" s="126">
        <f t="shared" si="84"/>
        <v>499.5</v>
      </c>
      <c r="Y730" s="128" t="s">
        <v>2434</v>
      </c>
      <c r="Z730" s="119" t="s">
        <v>35</v>
      </c>
      <c r="AA730" s="119" t="s">
        <v>35</v>
      </c>
      <c r="AB730" s="119" t="s">
        <v>2435</v>
      </c>
      <c r="AC730" s="119">
        <v>0</v>
      </c>
      <c r="AD730" s="119">
        <v>1</v>
      </c>
      <c r="AE730" s="119" t="s">
        <v>42</v>
      </c>
      <c r="AF730" s="119" t="s">
        <v>35</v>
      </c>
      <c r="AG730" s="119" t="s">
        <v>38</v>
      </c>
      <c r="AH730" s="119" t="s">
        <v>92</v>
      </c>
    </row>
    <row r="731" spans="1:34" x14ac:dyDescent="0.3">
      <c r="A731" s="118" t="s">
        <v>2435</v>
      </c>
      <c r="B731" s="119" t="s">
        <v>2438</v>
      </c>
      <c r="C731" s="119" t="s">
        <v>2439</v>
      </c>
      <c r="D731" s="120">
        <v>45128</v>
      </c>
      <c r="E731" s="121">
        <v>108000</v>
      </c>
      <c r="F731" s="119" t="s">
        <v>32</v>
      </c>
      <c r="G731" s="119" t="s">
        <v>33</v>
      </c>
      <c r="H731" s="121">
        <v>108000</v>
      </c>
      <c r="I731" s="121">
        <v>49700</v>
      </c>
      <c r="J731" s="122">
        <f t="shared" si="78"/>
        <v>46.018518518518519</v>
      </c>
      <c r="K731" s="121">
        <v>127629</v>
      </c>
      <c r="L731" s="121">
        <f>H731-118946</f>
        <v>-10946</v>
      </c>
      <c r="M731" s="121">
        <v>8683</v>
      </c>
      <c r="N731" s="123">
        <f t="shared" si="79"/>
        <v>8.0398148148148149E-2</v>
      </c>
      <c r="O731" s="124">
        <v>46.93</v>
      </c>
      <c r="P731" s="125">
        <v>178.97</v>
      </c>
      <c r="Q731" s="126">
        <v>0.16400000000000001</v>
      </c>
      <c r="R731" s="126">
        <v>0.16400000000000001</v>
      </c>
      <c r="S731" s="121">
        <f t="shared" si="80"/>
        <v>-233.2409972299169</v>
      </c>
      <c r="T731" s="121">
        <f t="shared" si="81"/>
        <v>-66743.902439024387</v>
      </c>
      <c r="U731" s="127">
        <f t="shared" si="82"/>
        <v>-1.5322291652668591</v>
      </c>
      <c r="V731" s="126">
        <v>40</v>
      </c>
      <c r="W731" s="126">
        <f t="shared" si="83"/>
        <v>21600</v>
      </c>
      <c r="X731" s="126">
        <f t="shared" si="84"/>
        <v>540</v>
      </c>
      <c r="Y731" s="128" t="s">
        <v>2434</v>
      </c>
      <c r="Z731" s="119" t="s">
        <v>35</v>
      </c>
      <c r="AA731" s="119" t="s">
        <v>35</v>
      </c>
      <c r="AB731" s="119" t="s">
        <v>2435</v>
      </c>
      <c r="AC731" s="119">
        <v>0</v>
      </c>
      <c r="AD731" s="119">
        <v>1</v>
      </c>
      <c r="AE731" s="119" t="s">
        <v>37</v>
      </c>
      <c r="AF731" s="119" t="s">
        <v>43</v>
      </c>
      <c r="AG731" s="119" t="s">
        <v>38</v>
      </c>
      <c r="AH731" s="119" t="s">
        <v>92</v>
      </c>
    </row>
    <row r="732" spans="1:34" x14ac:dyDescent="0.3">
      <c r="A732" s="107" t="s">
        <v>2435</v>
      </c>
      <c r="B732" s="108" t="s">
        <v>2545</v>
      </c>
      <c r="C732" s="108" t="s">
        <v>2546</v>
      </c>
      <c r="D732" s="109">
        <v>45432</v>
      </c>
      <c r="E732" s="110">
        <v>110000</v>
      </c>
      <c r="F732" s="108" t="s">
        <v>32</v>
      </c>
      <c r="G732" s="108" t="s">
        <v>33</v>
      </c>
      <c r="H732" s="110">
        <v>110000</v>
      </c>
      <c r="I732" s="110">
        <v>39700</v>
      </c>
      <c r="J732" s="111">
        <f t="shared" si="78"/>
        <v>36.090909090909093</v>
      </c>
      <c r="K732" s="110">
        <v>94758</v>
      </c>
      <c r="L732" s="110">
        <f>H732-87065</f>
        <v>22935</v>
      </c>
      <c r="M732" s="110">
        <v>7693</v>
      </c>
      <c r="N732" s="112">
        <f t="shared" si="79"/>
        <v>6.993636363636363E-2</v>
      </c>
      <c r="O732" s="113">
        <v>41.58</v>
      </c>
      <c r="P732" s="114">
        <v>140.5</v>
      </c>
      <c r="Q732" s="115">
        <v>0.129</v>
      </c>
      <c r="R732" s="115">
        <v>0.129</v>
      </c>
      <c r="S732" s="110">
        <f t="shared" si="80"/>
        <v>551.58730158730157</v>
      </c>
      <c r="T732" s="110">
        <f t="shared" si="81"/>
        <v>177790.6976744186</v>
      </c>
      <c r="U732" s="116">
        <f t="shared" si="82"/>
        <v>4.0815128024430347</v>
      </c>
      <c r="V732" s="115">
        <v>40</v>
      </c>
      <c r="W732" s="115">
        <f t="shared" si="83"/>
        <v>22000</v>
      </c>
      <c r="X732" s="115">
        <f t="shared" si="84"/>
        <v>550</v>
      </c>
      <c r="Y732" s="117" t="s">
        <v>2434</v>
      </c>
      <c r="Z732" s="108" t="s">
        <v>35</v>
      </c>
      <c r="AA732" s="108" t="s">
        <v>35</v>
      </c>
      <c r="AB732" s="108" t="s">
        <v>2435</v>
      </c>
      <c r="AC732" s="108">
        <v>0</v>
      </c>
      <c r="AD732" s="108">
        <v>1</v>
      </c>
      <c r="AE732" s="108" t="s">
        <v>42</v>
      </c>
      <c r="AF732" s="108" t="s">
        <v>43</v>
      </c>
      <c r="AG732" s="108" t="s">
        <v>38</v>
      </c>
      <c r="AH732" s="108" t="s">
        <v>92</v>
      </c>
    </row>
    <row r="733" spans="1:34" x14ac:dyDescent="0.3">
      <c r="A733" s="107" t="s">
        <v>2435</v>
      </c>
      <c r="B733" s="108" t="s">
        <v>2543</v>
      </c>
      <c r="C733" s="108" t="s">
        <v>2544</v>
      </c>
      <c r="D733" s="109">
        <v>45413</v>
      </c>
      <c r="E733" s="110">
        <v>110000</v>
      </c>
      <c r="F733" s="108" t="s">
        <v>32</v>
      </c>
      <c r="G733" s="108" t="s">
        <v>33</v>
      </c>
      <c r="H733" s="110">
        <v>110000</v>
      </c>
      <c r="I733" s="110">
        <v>38100</v>
      </c>
      <c r="J733" s="111">
        <f t="shared" si="78"/>
        <v>34.63636363636364</v>
      </c>
      <c r="K733" s="110">
        <v>86310</v>
      </c>
      <c r="L733" s="110">
        <f>H733-78602</f>
        <v>31398</v>
      </c>
      <c r="M733" s="110">
        <v>7708</v>
      </c>
      <c r="N733" s="112">
        <f t="shared" si="79"/>
        <v>7.0072727272727273E-2</v>
      </c>
      <c r="O733" s="113">
        <v>41.66</v>
      </c>
      <c r="P733" s="114">
        <v>141.06</v>
      </c>
      <c r="Q733" s="115">
        <v>0.13</v>
      </c>
      <c r="R733" s="115">
        <v>0.13</v>
      </c>
      <c r="S733" s="110">
        <f t="shared" si="80"/>
        <v>753.67258761401831</v>
      </c>
      <c r="T733" s="110">
        <f t="shared" si="81"/>
        <v>241523.07692307691</v>
      </c>
      <c r="U733" s="116">
        <f t="shared" si="82"/>
        <v>5.5446069082432716</v>
      </c>
      <c r="V733" s="115">
        <v>40</v>
      </c>
      <c r="W733" s="115">
        <f t="shared" si="83"/>
        <v>22000</v>
      </c>
      <c r="X733" s="115">
        <f t="shared" si="84"/>
        <v>550</v>
      </c>
      <c r="Y733" s="117" t="s">
        <v>2434</v>
      </c>
      <c r="Z733" s="108" t="s">
        <v>35</v>
      </c>
      <c r="AA733" s="108" t="s">
        <v>35</v>
      </c>
      <c r="AB733" s="108" t="s">
        <v>2435</v>
      </c>
      <c r="AC733" s="108">
        <v>0</v>
      </c>
      <c r="AD733" s="108">
        <v>1</v>
      </c>
      <c r="AE733" s="108" t="s">
        <v>42</v>
      </c>
      <c r="AF733" s="108" t="s">
        <v>43</v>
      </c>
      <c r="AG733" s="108" t="s">
        <v>38</v>
      </c>
      <c r="AH733" s="108" t="s">
        <v>92</v>
      </c>
    </row>
    <row r="734" spans="1:34" x14ac:dyDescent="0.3">
      <c r="A734" s="107" t="s">
        <v>2435</v>
      </c>
      <c r="B734" s="108" t="s">
        <v>2535</v>
      </c>
      <c r="C734" s="108" t="s">
        <v>2536</v>
      </c>
      <c r="D734" s="109">
        <v>45688</v>
      </c>
      <c r="E734" s="110">
        <v>111000</v>
      </c>
      <c r="F734" s="108" t="s">
        <v>32</v>
      </c>
      <c r="G734" s="108" t="s">
        <v>33</v>
      </c>
      <c r="H734" s="110">
        <v>111000</v>
      </c>
      <c r="I734" s="110">
        <v>38700</v>
      </c>
      <c r="J734" s="111">
        <f t="shared" si="78"/>
        <v>34.864864864864863</v>
      </c>
      <c r="K734" s="110">
        <v>89382</v>
      </c>
      <c r="L734" s="110">
        <f>H734-81730</f>
        <v>29270</v>
      </c>
      <c r="M734" s="110">
        <v>7652</v>
      </c>
      <c r="N734" s="112">
        <f t="shared" si="79"/>
        <v>6.8936936936936935E-2</v>
      </c>
      <c r="O734" s="113">
        <v>41.36</v>
      </c>
      <c r="P734" s="114">
        <v>139</v>
      </c>
      <c r="Q734" s="115">
        <v>0.128</v>
      </c>
      <c r="R734" s="115">
        <v>0.128</v>
      </c>
      <c r="S734" s="110">
        <f t="shared" si="80"/>
        <v>707.68858800773694</v>
      </c>
      <c r="T734" s="110">
        <f t="shared" si="81"/>
        <v>228671.875</v>
      </c>
      <c r="U734" s="116">
        <f t="shared" si="82"/>
        <v>5.2495839072543617</v>
      </c>
      <c r="V734" s="115">
        <v>40</v>
      </c>
      <c r="W734" s="115">
        <f t="shared" si="83"/>
        <v>22200</v>
      </c>
      <c r="X734" s="115">
        <f t="shared" si="84"/>
        <v>555</v>
      </c>
      <c r="Y734" s="117" t="s">
        <v>2434</v>
      </c>
      <c r="Z734" s="108" t="s">
        <v>35</v>
      </c>
      <c r="AA734" s="108" t="s">
        <v>35</v>
      </c>
      <c r="AB734" s="108" t="s">
        <v>2435</v>
      </c>
      <c r="AC734" s="108">
        <v>0</v>
      </c>
      <c r="AD734" s="108">
        <v>1</v>
      </c>
      <c r="AE734" s="108" t="s">
        <v>42</v>
      </c>
      <c r="AF734" s="108" t="s">
        <v>35</v>
      </c>
      <c r="AG734" s="108" t="s">
        <v>38</v>
      </c>
      <c r="AH734" s="108" t="s">
        <v>92</v>
      </c>
    </row>
    <row r="735" spans="1:34" x14ac:dyDescent="0.3">
      <c r="A735" s="107" t="s">
        <v>2435</v>
      </c>
      <c r="B735" s="108" t="s">
        <v>2452</v>
      </c>
      <c r="C735" s="108" t="s">
        <v>2453</v>
      </c>
      <c r="D735" s="109">
        <v>45097</v>
      </c>
      <c r="E735" s="110">
        <v>120000</v>
      </c>
      <c r="F735" s="108" t="s">
        <v>32</v>
      </c>
      <c r="G735" s="108" t="s">
        <v>33</v>
      </c>
      <c r="H735" s="110">
        <v>120000</v>
      </c>
      <c r="I735" s="110">
        <v>53200</v>
      </c>
      <c r="J735" s="111">
        <f t="shared" si="78"/>
        <v>44.333333333333336</v>
      </c>
      <c r="K735" s="110">
        <v>136950</v>
      </c>
      <c r="L735" s="110">
        <f>H735-128171</f>
        <v>-8171</v>
      </c>
      <c r="M735" s="110">
        <v>8779</v>
      </c>
      <c r="N735" s="112">
        <f t="shared" si="79"/>
        <v>7.3158333333333339E-2</v>
      </c>
      <c r="O735" s="113">
        <v>47.45</v>
      </c>
      <c r="P735" s="114">
        <v>182.97</v>
      </c>
      <c r="Q735" s="115">
        <v>0.16800000000000001</v>
      </c>
      <c r="R735" s="115">
        <v>0.16800000000000001</v>
      </c>
      <c r="S735" s="110">
        <f t="shared" si="80"/>
        <v>-172.20231822971547</v>
      </c>
      <c r="T735" s="110">
        <f t="shared" si="81"/>
        <v>-48636.904761904756</v>
      </c>
      <c r="U735" s="116">
        <f t="shared" si="82"/>
        <v>-1.1165496960951504</v>
      </c>
      <c r="V735" s="115">
        <v>40</v>
      </c>
      <c r="W735" s="115">
        <f t="shared" si="83"/>
        <v>24000</v>
      </c>
      <c r="X735" s="115">
        <f t="shared" si="84"/>
        <v>600</v>
      </c>
      <c r="Y735" s="117" t="s">
        <v>2434</v>
      </c>
      <c r="Z735" s="108" t="s">
        <v>35</v>
      </c>
      <c r="AA735" s="108" t="s">
        <v>35</v>
      </c>
      <c r="AB735" s="108" t="s">
        <v>2435</v>
      </c>
      <c r="AC735" s="108">
        <v>0</v>
      </c>
      <c r="AD735" s="108">
        <v>1</v>
      </c>
      <c r="AE735" s="108" t="s">
        <v>37</v>
      </c>
      <c r="AF735" s="108" t="s">
        <v>43</v>
      </c>
      <c r="AG735" s="108" t="s">
        <v>38</v>
      </c>
      <c r="AH735" s="108" t="s">
        <v>92</v>
      </c>
    </row>
    <row r="736" spans="1:34" x14ac:dyDescent="0.3">
      <c r="A736" s="118" t="s">
        <v>2435</v>
      </c>
      <c r="B736" s="119" t="s">
        <v>2583</v>
      </c>
      <c r="C736" s="119" t="s">
        <v>2584</v>
      </c>
      <c r="D736" s="120">
        <v>45187</v>
      </c>
      <c r="E736" s="121">
        <v>150000</v>
      </c>
      <c r="F736" s="119" t="s">
        <v>32</v>
      </c>
      <c r="G736" s="119" t="s">
        <v>33</v>
      </c>
      <c r="H736" s="121">
        <v>150000</v>
      </c>
      <c r="I736" s="121">
        <v>50100</v>
      </c>
      <c r="J736" s="122">
        <f t="shared" si="78"/>
        <v>33.4</v>
      </c>
      <c r="K736" s="121">
        <v>133974</v>
      </c>
      <c r="L736" s="121">
        <f>H736-122616</f>
        <v>27384</v>
      </c>
      <c r="M736" s="121">
        <v>11358</v>
      </c>
      <c r="N736" s="123">
        <f t="shared" si="79"/>
        <v>7.5719999999999996E-2</v>
      </c>
      <c r="O736" s="124">
        <v>61.39</v>
      </c>
      <c r="P736" s="125">
        <v>196</v>
      </c>
      <c r="Q736" s="126">
        <v>0.22500000000000001</v>
      </c>
      <c r="R736" s="126">
        <v>0.22500000000000001</v>
      </c>
      <c r="S736" s="121">
        <f t="shared" si="80"/>
        <v>446.06613454960092</v>
      </c>
      <c r="T736" s="121">
        <f t="shared" si="81"/>
        <v>121706.66666666666</v>
      </c>
      <c r="U736" s="127">
        <f t="shared" si="82"/>
        <v>2.7940006121824301</v>
      </c>
      <c r="V736" s="126">
        <v>50</v>
      </c>
      <c r="W736" s="126">
        <f t="shared" si="83"/>
        <v>30000</v>
      </c>
      <c r="X736" s="126">
        <f t="shared" si="84"/>
        <v>600</v>
      </c>
      <c r="Y736" s="128" t="s">
        <v>2434</v>
      </c>
      <c r="Z736" s="119" t="s">
        <v>35</v>
      </c>
      <c r="AA736" s="119" t="s">
        <v>35</v>
      </c>
      <c r="AB736" s="119" t="s">
        <v>2435</v>
      </c>
      <c r="AC736" s="119">
        <v>0</v>
      </c>
      <c r="AD736" s="119">
        <v>1</v>
      </c>
      <c r="AE736" s="119" t="s">
        <v>42</v>
      </c>
      <c r="AF736" s="119" t="s">
        <v>43</v>
      </c>
      <c r="AG736" s="119" t="s">
        <v>38</v>
      </c>
      <c r="AH736" s="119" t="s">
        <v>92</v>
      </c>
    </row>
    <row r="737" spans="1:34" x14ac:dyDescent="0.3">
      <c r="A737" s="118" t="s">
        <v>2435</v>
      </c>
      <c r="B737" s="119" t="s">
        <v>2526</v>
      </c>
      <c r="C737" s="119" t="s">
        <v>2527</v>
      </c>
      <c r="D737" s="120">
        <v>45604</v>
      </c>
      <c r="E737" s="121">
        <v>169000</v>
      </c>
      <c r="F737" s="119" t="s">
        <v>32</v>
      </c>
      <c r="G737" s="119" t="s">
        <v>33</v>
      </c>
      <c r="H737" s="121">
        <v>169000</v>
      </c>
      <c r="I737" s="121">
        <v>72600</v>
      </c>
      <c r="J737" s="122">
        <f t="shared" si="78"/>
        <v>42.958579881656803</v>
      </c>
      <c r="K737" s="121">
        <v>155950</v>
      </c>
      <c r="L737" s="121">
        <f>H737-146203</f>
        <v>22797</v>
      </c>
      <c r="M737" s="121">
        <v>9747</v>
      </c>
      <c r="N737" s="123">
        <f t="shared" si="79"/>
        <v>5.7674556213017751E-2</v>
      </c>
      <c r="O737" s="124">
        <v>52.68</v>
      </c>
      <c r="P737" s="125">
        <v>122</v>
      </c>
      <c r="Q737" s="126">
        <v>0.152</v>
      </c>
      <c r="R737" s="126">
        <v>0.152</v>
      </c>
      <c r="S737" s="121">
        <f t="shared" si="80"/>
        <v>432.74487471526197</v>
      </c>
      <c r="T737" s="121">
        <f t="shared" si="81"/>
        <v>149980.26315789475</v>
      </c>
      <c r="U737" s="127">
        <f t="shared" si="82"/>
        <v>3.4430730752501089</v>
      </c>
      <c r="V737" s="126">
        <v>54.8</v>
      </c>
      <c r="W737" s="126">
        <f t="shared" si="83"/>
        <v>33800</v>
      </c>
      <c r="X737" s="126">
        <f t="shared" si="84"/>
        <v>616.78832116788328</v>
      </c>
      <c r="Y737" s="128" t="s">
        <v>2434</v>
      </c>
      <c r="Z737" s="119" t="s">
        <v>35</v>
      </c>
      <c r="AA737" s="119" t="s">
        <v>35</v>
      </c>
      <c r="AB737" s="119" t="s">
        <v>2435</v>
      </c>
      <c r="AC737" s="119">
        <v>0</v>
      </c>
      <c r="AD737" s="119">
        <v>1</v>
      </c>
      <c r="AE737" s="119" t="s">
        <v>42</v>
      </c>
      <c r="AF737" s="119" t="s">
        <v>35</v>
      </c>
      <c r="AG737" s="119" t="s">
        <v>38</v>
      </c>
      <c r="AH737" s="119" t="s">
        <v>92</v>
      </c>
    </row>
    <row r="738" spans="1:34" x14ac:dyDescent="0.3">
      <c r="A738" s="107" t="s">
        <v>2435</v>
      </c>
      <c r="B738" s="108" t="s">
        <v>2522</v>
      </c>
      <c r="C738" s="108" t="s">
        <v>2523</v>
      </c>
      <c r="D738" s="109">
        <v>45516</v>
      </c>
      <c r="E738" s="110">
        <v>125000</v>
      </c>
      <c r="F738" s="108" t="s">
        <v>32</v>
      </c>
      <c r="G738" s="108" t="s">
        <v>33</v>
      </c>
      <c r="H738" s="110">
        <v>125000</v>
      </c>
      <c r="I738" s="110">
        <v>52900</v>
      </c>
      <c r="J738" s="111">
        <f t="shared" si="78"/>
        <v>42.32</v>
      </c>
      <c r="K738" s="110">
        <v>121182</v>
      </c>
      <c r="L738" s="110">
        <f>H738-114269</f>
        <v>10731</v>
      </c>
      <c r="M738" s="110">
        <v>6913</v>
      </c>
      <c r="N738" s="112">
        <f t="shared" si="79"/>
        <v>5.5303999999999999E-2</v>
      </c>
      <c r="O738" s="113">
        <v>37.36</v>
      </c>
      <c r="P738" s="114">
        <v>113.46</v>
      </c>
      <c r="Q738" s="115">
        <v>0.104</v>
      </c>
      <c r="R738" s="115">
        <v>0.104</v>
      </c>
      <c r="S738" s="110">
        <f t="shared" si="80"/>
        <v>287.23233404710919</v>
      </c>
      <c r="T738" s="110">
        <f t="shared" si="81"/>
        <v>103182.69230769231</v>
      </c>
      <c r="U738" s="116">
        <f t="shared" si="82"/>
        <v>2.3687486755668576</v>
      </c>
      <c r="V738" s="115">
        <v>40</v>
      </c>
      <c r="W738" s="115">
        <f t="shared" si="83"/>
        <v>25000</v>
      </c>
      <c r="X738" s="115">
        <f t="shared" si="84"/>
        <v>625</v>
      </c>
      <c r="Y738" s="117" t="s">
        <v>2434</v>
      </c>
      <c r="Z738" s="108" t="s">
        <v>35</v>
      </c>
      <c r="AA738" s="108" t="s">
        <v>35</v>
      </c>
      <c r="AB738" s="108" t="s">
        <v>2435</v>
      </c>
      <c r="AC738" s="108">
        <v>0</v>
      </c>
      <c r="AD738" s="108">
        <v>1</v>
      </c>
      <c r="AE738" s="108" t="s">
        <v>42</v>
      </c>
      <c r="AF738" s="108" t="s">
        <v>43</v>
      </c>
      <c r="AG738" s="108" t="s">
        <v>38</v>
      </c>
      <c r="AH738" s="108" t="s">
        <v>92</v>
      </c>
    </row>
    <row r="739" spans="1:34" x14ac:dyDescent="0.3">
      <c r="A739" s="107" t="s">
        <v>2435</v>
      </c>
      <c r="B739" s="108" t="s">
        <v>2537</v>
      </c>
      <c r="C739" s="108" t="s">
        <v>2538</v>
      </c>
      <c r="D739" s="109">
        <v>45672</v>
      </c>
      <c r="E739" s="110">
        <v>125000</v>
      </c>
      <c r="F739" s="108" t="s">
        <v>32</v>
      </c>
      <c r="G739" s="108" t="s">
        <v>33</v>
      </c>
      <c r="H739" s="110">
        <v>125000</v>
      </c>
      <c r="I739" s="110">
        <v>22200</v>
      </c>
      <c r="J739" s="111">
        <f t="shared" si="78"/>
        <v>17.760000000000002</v>
      </c>
      <c r="K739" s="110">
        <v>50066</v>
      </c>
      <c r="L739" s="110">
        <f>H739-42414</f>
        <v>82586</v>
      </c>
      <c r="M739" s="110">
        <v>7652</v>
      </c>
      <c r="N739" s="112">
        <f t="shared" si="79"/>
        <v>6.1216E-2</v>
      </c>
      <c r="O739" s="113">
        <v>41.36</v>
      </c>
      <c r="P739" s="114">
        <v>139</v>
      </c>
      <c r="Q739" s="115">
        <v>0.128</v>
      </c>
      <c r="R739" s="115">
        <v>0.128</v>
      </c>
      <c r="S739" s="110">
        <f t="shared" si="80"/>
        <v>1996.7601547388781</v>
      </c>
      <c r="T739" s="110">
        <f t="shared" si="81"/>
        <v>645203.125</v>
      </c>
      <c r="U739" s="116">
        <f t="shared" si="82"/>
        <v>14.811825642791552</v>
      </c>
      <c r="V739" s="115">
        <v>40</v>
      </c>
      <c r="W739" s="115">
        <f t="shared" si="83"/>
        <v>25000</v>
      </c>
      <c r="X739" s="115">
        <f t="shared" si="84"/>
        <v>625</v>
      </c>
      <c r="Y739" s="117" t="s">
        <v>2434</v>
      </c>
      <c r="Z739" s="108" t="s">
        <v>35</v>
      </c>
      <c r="AA739" s="108" t="s">
        <v>35</v>
      </c>
      <c r="AB739" s="108" t="s">
        <v>2435</v>
      </c>
      <c r="AC739" s="108">
        <v>0</v>
      </c>
      <c r="AD739" s="108">
        <v>1</v>
      </c>
      <c r="AE739" s="108" t="s">
        <v>42</v>
      </c>
      <c r="AF739" s="108" t="s">
        <v>35</v>
      </c>
      <c r="AG739" s="108" t="s">
        <v>38</v>
      </c>
      <c r="AH739" s="108" t="s">
        <v>92</v>
      </c>
    </row>
    <row r="740" spans="1:34" x14ac:dyDescent="0.3">
      <c r="A740" s="107" t="s">
        <v>2435</v>
      </c>
      <c r="B740" s="108" t="s">
        <v>2436</v>
      </c>
      <c r="C740" s="108" t="s">
        <v>2437</v>
      </c>
      <c r="D740" s="109">
        <v>45190</v>
      </c>
      <c r="E740" s="110">
        <v>130000</v>
      </c>
      <c r="F740" s="108" t="s">
        <v>32</v>
      </c>
      <c r="G740" s="108" t="s">
        <v>33</v>
      </c>
      <c r="H740" s="110">
        <v>130000</v>
      </c>
      <c r="I740" s="110">
        <v>49800</v>
      </c>
      <c r="J740" s="111">
        <f t="shared" si="78"/>
        <v>38.307692307692307</v>
      </c>
      <c r="K740" s="110">
        <v>127725</v>
      </c>
      <c r="L740" s="110">
        <f>H740-118946</f>
        <v>11054</v>
      </c>
      <c r="M740" s="110">
        <v>8779</v>
      </c>
      <c r="N740" s="112">
        <f t="shared" si="79"/>
        <v>6.7530769230769228E-2</v>
      </c>
      <c r="O740" s="113">
        <v>47.45</v>
      </c>
      <c r="P740" s="114">
        <v>182.97</v>
      </c>
      <c r="Q740" s="115">
        <v>0.16800000000000001</v>
      </c>
      <c r="R740" s="115">
        <v>0.16800000000000001</v>
      </c>
      <c r="S740" s="110">
        <f t="shared" si="80"/>
        <v>232.96101159114858</v>
      </c>
      <c r="T740" s="110">
        <f t="shared" si="81"/>
        <v>65797.619047619039</v>
      </c>
      <c r="U740" s="116">
        <f t="shared" si="82"/>
        <v>1.5105054877782149</v>
      </c>
      <c r="V740" s="115">
        <v>40</v>
      </c>
      <c r="W740" s="115">
        <f t="shared" si="83"/>
        <v>26000</v>
      </c>
      <c r="X740" s="115">
        <f t="shared" si="84"/>
        <v>650</v>
      </c>
      <c r="Y740" s="117" t="s">
        <v>2434</v>
      </c>
      <c r="Z740" s="108" t="s">
        <v>35</v>
      </c>
      <c r="AA740" s="108" t="s">
        <v>35</v>
      </c>
      <c r="AB740" s="108" t="s">
        <v>2435</v>
      </c>
      <c r="AC740" s="108">
        <v>0</v>
      </c>
      <c r="AD740" s="108">
        <v>1</v>
      </c>
      <c r="AE740" s="108" t="s">
        <v>37</v>
      </c>
      <c r="AF740" s="108" t="s">
        <v>43</v>
      </c>
      <c r="AG740" s="108" t="s">
        <v>38</v>
      </c>
      <c r="AH740" s="108" t="s">
        <v>92</v>
      </c>
    </row>
    <row r="741" spans="1:34" x14ac:dyDescent="0.3">
      <c r="A741" s="118" t="s">
        <v>2435</v>
      </c>
      <c r="B741" s="119" t="s">
        <v>2533</v>
      </c>
      <c r="C741" s="119" t="s">
        <v>2534</v>
      </c>
      <c r="D741" s="120">
        <v>45183</v>
      </c>
      <c r="E741" s="121">
        <v>135000</v>
      </c>
      <c r="F741" s="119" t="s">
        <v>32</v>
      </c>
      <c r="G741" s="119" t="s">
        <v>33</v>
      </c>
      <c r="H741" s="121">
        <v>135000</v>
      </c>
      <c r="I741" s="121">
        <v>40700</v>
      </c>
      <c r="J741" s="122">
        <f t="shared" si="78"/>
        <v>30.148148148148145</v>
      </c>
      <c r="K741" s="121">
        <v>110307</v>
      </c>
      <c r="L741" s="121">
        <f>H741-102655</f>
        <v>32345</v>
      </c>
      <c r="M741" s="121">
        <v>7652</v>
      </c>
      <c r="N741" s="123">
        <f t="shared" si="79"/>
        <v>5.6681481481481479E-2</v>
      </c>
      <c r="O741" s="124">
        <v>41.36</v>
      </c>
      <c r="P741" s="125">
        <v>139</v>
      </c>
      <c r="Q741" s="126">
        <v>0.128</v>
      </c>
      <c r="R741" s="126">
        <v>0.128</v>
      </c>
      <c r="S741" s="121">
        <f t="shared" si="80"/>
        <v>782.03578336557064</v>
      </c>
      <c r="T741" s="121">
        <f t="shared" si="81"/>
        <v>252695.3125</v>
      </c>
      <c r="U741" s="127">
        <f t="shared" si="82"/>
        <v>5.8010861455463729</v>
      </c>
      <c r="V741" s="126">
        <v>40</v>
      </c>
      <c r="W741" s="126">
        <f t="shared" si="83"/>
        <v>27000</v>
      </c>
      <c r="X741" s="126">
        <f t="shared" si="84"/>
        <v>675</v>
      </c>
      <c r="Y741" s="128" t="s">
        <v>2434</v>
      </c>
      <c r="Z741" s="119" t="s">
        <v>35</v>
      </c>
      <c r="AA741" s="119" t="s">
        <v>35</v>
      </c>
      <c r="AB741" s="119" t="s">
        <v>2435</v>
      </c>
      <c r="AC741" s="119">
        <v>0</v>
      </c>
      <c r="AD741" s="119">
        <v>1</v>
      </c>
      <c r="AE741" s="119" t="s">
        <v>42</v>
      </c>
      <c r="AF741" s="119" t="s">
        <v>43</v>
      </c>
      <c r="AG741" s="119" t="s">
        <v>38</v>
      </c>
      <c r="AH741" s="119" t="s">
        <v>92</v>
      </c>
    </row>
    <row r="742" spans="1:34" x14ac:dyDescent="0.3">
      <c r="A742" s="118" t="s">
        <v>2435</v>
      </c>
      <c r="B742" s="119" t="s">
        <v>2456</v>
      </c>
      <c r="C742" s="119" t="s">
        <v>2457</v>
      </c>
      <c r="D742" s="120">
        <v>45121</v>
      </c>
      <c r="E742" s="121">
        <v>135000</v>
      </c>
      <c r="F742" s="119" t="s">
        <v>81</v>
      </c>
      <c r="G742" s="119" t="s">
        <v>33</v>
      </c>
      <c r="H742" s="121">
        <v>135000</v>
      </c>
      <c r="I742" s="121">
        <v>52300</v>
      </c>
      <c r="J742" s="122">
        <f t="shared" si="78"/>
        <v>38.74074074074074</v>
      </c>
      <c r="K742" s="121">
        <v>136363</v>
      </c>
      <c r="L742" s="121">
        <f>H742-127162</f>
        <v>7838</v>
      </c>
      <c r="M742" s="121">
        <v>9201</v>
      </c>
      <c r="N742" s="123">
        <f t="shared" si="79"/>
        <v>6.8155555555555553E-2</v>
      </c>
      <c r="O742" s="124">
        <v>49.73</v>
      </c>
      <c r="P742" s="125">
        <v>201</v>
      </c>
      <c r="Q742" s="126">
        <v>0.185</v>
      </c>
      <c r="R742" s="126">
        <v>0.185</v>
      </c>
      <c r="S742" s="121">
        <f t="shared" si="80"/>
        <v>157.61109993967426</v>
      </c>
      <c r="T742" s="121">
        <f t="shared" si="81"/>
        <v>42367.567567567567</v>
      </c>
      <c r="U742" s="127">
        <f t="shared" si="82"/>
        <v>0.97262551808006348</v>
      </c>
      <c r="V742" s="126">
        <v>40</v>
      </c>
      <c r="W742" s="126">
        <f t="shared" si="83"/>
        <v>27000</v>
      </c>
      <c r="X742" s="126">
        <f t="shared" si="84"/>
        <v>675</v>
      </c>
      <c r="Y742" s="128" t="s">
        <v>2434</v>
      </c>
      <c r="Z742" s="119" t="s">
        <v>35</v>
      </c>
      <c r="AA742" s="119" t="s">
        <v>35</v>
      </c>
      <c r="AB742" s="119" t="s">
        <v>2435</v>
      </c>
      <c r="AC742" s="119">
        <v>0</v>
      </c>
      <c r="AD742" s="119">
        <v>1</v>
      </c>
      <c r="AE742" s="119" t="s">
        <v>37</v>
      </c>
      <c r="AF742" s="119" t="s">
        <v>43</v>
      </c>
      <c r="AG742" s="119" t="s">
        <v>38</v>
      </c>
      <c r="AH742" s="119" t="s">
        <v>92</v>
      </c>
    </row>
    <row r="743" spans="1:34" x14ac:dyDescent="0.3">
      <c r="A743" s="107" t="s">
        <v>2435</v>
      </c>
      <c r="B743" s="108" t="s">
        <v>2573</v>
      </c>
      <c r="C743" s="108" t="s">
        <v>2574</v>
      </c>
      <c r="D743" s="109">
        <v>45212</v>
      </c>
      <c r="E743" s="110">
        <v>138000</v>
      </c>
      <c r="F743" s="108" t="s">
        <v>32</v>
      </c>
      <c r="G743" s="108" t="s">
        <v>33</v>
      </c>
      <c r="H743" s="110">
        <v>138000</v>
      </c>
      <c r="I743" s="110">
        <v>56100</v>
      </c>
      <c r="J743" s="111">
        <f t="shared" si="78"/>
        <v>40.652173913043477</v>
      </c>
      <c r="K743" s="110">
        <v>144221</v>
      </c>
      <c r="L743" s="110">
        <f>H743-135571</f>
        <v>2429</v>
      </c>
      <c r="M743" s="110">
        <v>8650</v>
      </c>
      <c r="N743" s="112">
        <f t="shared" si="79"/>
        <v>6.2681159420289859E-2</v>
      </c>
      <c r="O743" s="113">
        <v>46.75</v>
      </c>
      <c r="P743" s="114">
        <v>177.64</v>
      </c>
      <c r="Q743" s="115">
        <v>0.16300000000000001</v>
      </c>
      <c r="R743" s="115">
        <v>0.16300000000000001</v>
      </c>
      <c r="S743" s="110">
        <f t="shared" si="80"/>
        <v>51.957219251336902</v>
      </c>
      <c r="T743" s="110">
        <f t="shared" si="81"/>
        <v>14901.840490797545</v>
      </c>
      <c r="U743" s="116">
        <f t="shared" si="82"/>
        <v>0.34209918482088031</v>
      </c>
      <c r="V743" s="115">
        <v>40</v>
      </c>
      <c r="W743" s="115">
        <f t="shared" si="83"/>
        <v>27600</v>
      </c>
      <c r="X743" s="115">
        <f t="shared" si="84"/>
        <v>690</v>
      </c>
      <c r="Y743" s="117" t="s">
        <v>2434</v>
      </c>
      <c r="Z743" s="108" t="s">
        <v>35</v>
      </c>
      <c r="AA743" s="108" t="s">
        <v>35</v>
      </c>
      <c r="AB743" s="108" t="s">
        <v>2435</v>
      </c>
      <c r="AC743" s="108">
        <v>0</v>
      </c>
      <c r="AD743" s="108">
        <v>1</v>
      </c>
      <c r="AE743" s="108" t="s">
        <v>42</v>
      </c>
      <c r="AF743" s="108" t="s">
        <v>43</v>
      </c>
      <c r="AG743" s="108" t="s">
        <v>38</v>
      </c>
      <c r="AH743" s="108" t="s">
        <v>92</v>
      </c>
    </row>
    <row r="744" spans="1:34" x14ac:dyDescent="0.3">
      <c r="A744" s="118" t="s">
        <v>2435</v>
      </c>
      <c r="B744" s="119" t="s">
        <v>2440</v>
      </c>
      <c r="C744" s="119" t="s">
        <v>2441</v>
      </c>
      <c r="D744" s="120">
        <v>45548</v>
      </c>
      <c r="E744" s="121">
        <v>140000</v>
      </c>
      <c r="F744" s="119" t="s">
        <v>32</v>
      </c>
      <c r="G744" s="119" t="s">
        <v>33</v>
      </c>
      <c r="H744" s="121">
        <v>140000</v>
      </c>
      <c r="I744" s="121">
        <v>64600</v>
      </c>
      <c r="J744" s="122">
        <f t="shared" si="78"/>
        <v>46.142857142857139</v>
      </c>
      <c r="K744" s="121">
        <v>142873</v>
      </c>
      <c r="L744" s="121">
        <f>H744-134190</f>
        <v>5810</v>
      </c>
      <c r="M744" s="121">
        <v>8683</v>
      </c>
      <c r="N744" s="123">
        <f t="shared" si="79"/>
        <v>6.2021428571428575E-2</v>
      </c>
      <c r="O744" s="124">
        <v>46.93</v>
      </c>
      <c r="P744" s="125">
        <v>178.97</v>
      </c>
      <c r="Q744" s="126">
        <v>0.16400000000000001</v>
      </c>
      <c r="R744" s="126">
        <v>0.16400000000000001</v>
      </c>
      <c r="S744" s="121">
        <f t="shared" si="80"/>
        <v>123.80140634988281</v>
      </c>
      <c r="T744" s="121">
        <f t="shared" si="81"/>
        <v>35426.829268292684</v>
      </c>
      <c r="U744" s="127">
        <f t="shared" si="82"/>
        <v>0.8132880915586016</v>
      </c>
      <c r="V744" s="126">
        <v>40</v>
      </c>
      <c r="W744" s="126">
        <f t="shared" si="83"/>
        <v>28000</v>
      </c>
      <c r="X744" s="126">
        <f t="shared" si="84"/>
        <v>700</v>
      </c>
      <c r="Y744" s="128" t="s">
        <v>2434</v>
      </c>
      <c r="Z744" s="119" t="s">
        <v>35</v>
      </c>
      <c r="AA744" s="119" t="s">
        <v>35</v>
      </c>
      <c r="AB744" s="119" t="s">
        <v>2435</v>
      </c>
      <c r="AC744" s="119">
        <v>0</v>
      </c>
      <c r="AD744" s="119">
        <v>1</v>
      </c>
      <c r="AE744" s="119" t="s">
        <v>37</v>
      </c>
      <c r="AF744" s="119" t="s">
        <v>43</v>
      </c>
      <c r="AG744" s="119" t="s">
        <v>38</v>
      </c>
      <c r="AH744" s="119" t="s">
        <v>92</v>
      </c>
    </row>
    <row r="745" spans="1:34" x14ac:dyDescent="0.3">
      <c r="A745" s="118" t="s">
        <v>2435</v>
      </c>
      <c r="B745" s="119" t="s">
        <v>2524</v>
      </c>
      <c r="C745" s="119" t="s">
        <v>2525</v>
      </c>
      <c r="D745" s="120">
        <v>45520</v>
      </c>
      <c r="E745" s="121">
        <v>145000</v>
      </c>
      <c r="F745" s="119" t="s">
        <v>32</v>
      </c>
      <c r="G745" s="119" t="s">
        <v>33</v>
      </c>
      <c r="H745" s="121">
        <v>145000</v>
      </c>
      <c r="I745" s="121">
        <v>60100</v>
      </c>
      <c r="J745" s="122">
        <f t="shared" si="78"/>
        <v>41.448275862068968</v>
      </c>
      <c r="K745" s="121">
        <v>132597</v>
      </c>
      <c r="L745" s="121">
        <f>H745-125056</f>
        <v>19944</v>
      </c>
      <c r="M745" s="121">
        <v>7541</v>
      </c>
      <c r="N745" s="123">
        <f t="shared" si="79"/>
        <v>5.2006896551724136E-2</v>
      </c>
      <c r="O745" s="124">
        <v>40.76</v>
      </c>
      <c r="P745" s="125">
        <v>135</v>
      </c>
      <c r="Q745" s="126">
        <v>0.124</v>
      </c>
      <c r="R745" s="126">
        <v>0.124</v>
      </c>
      <c r="S745" s="121">
        <f t="shared" si="80"/>
        <v>489.30323846908738</v>
      </c>
      <c r="T745" s="121">
        <f t="shared" si="81"/>
        <v>160838.70967741936</v>
      </c>
      <c r="U745" s="127">
        <f t="shared" si="82"/>
        <v>3.692348707011464</v>
      </c>
      <c r="V745" s="126">
        <v>40</v>
      </c>
      <c r="W745" s="126">
        <f t="shared" si="83"/>
        <v>29000</v>
      </c>
      <c r="X745" s="126">
        <f t="shared" si="84"/>
        <v>725</v>
      </c>
      <c r="Y745" s="128" t="s">
        <v>2434</v>
      </c>
      <c r="Z745" s="119" t="s">
        <v>35</v>
      </c>
      <c r="AA745" s="119" t="s">
        <v>35</v>
      </c>
      <c r="AB745" s="119" t="s">
        <v>2435</v>
      </c>
      <c r="AC745" s="119">
        <v>0</v>
      </c>
      <c r="AD745" s="119">
        <v>1</v>
      </c>
      <c r="AE745" s="119" t="s">
        <v>37</v>
      </c>
      <c r="AF745" s="119" t="s">
        <v>43</v>
      </c>
      <c r="AG745" s="119" t="s">
        <v>38</v>
      </c>
      <c r="AH745" s="119" t="s">
        <v>92</v>
      </c>
    </row>
    <row r="746" spans="1:34" x14ac:dyDescent="0.3">
      <c r="A746" s="118" t="s">
        <v>2435</v>
      </c>
      <c r="B746" s="119" t="s">
        <v>2454</v>
      </c>
      <c r="C746" s="119" t="s">
        <v>2455</v>
      </c>
      <c r="D746" s="120">
        <v>45397</v>
      </c>
      <c r="E746" s="121">
        <v>145000</v>
      </c>
      <c r="F746" s="119" t="s">
        <v>32</v>
      </c>
      <c r="G746" s="119" t="s">
        <v>33</v>
      </c>
      <c r="H746" s="121">
        <v>145000</v>
      </c>
      <c r="I746" s="121">
        <v>56400</v>
      </c>
      <c r="J746" s="122">
        <f t="shared" si="78"/>
        <v>38.896551724137929</v>
      </c>
      <c r="K746" s="121">
        <v>125452</v>
      </c>
      <c r="L746" s="121">
        <f>H746-116529</f>
        <v>28471</v>
      </c>
      <c r="M746" s="121">
        <v>8923</v>
      </c>
      <c r="N746" s="123">
        <f t="shared" si="79"/>
        <v>6.1537931034482761E-2</v>
      </c>
      <c r="O746" s="124">
        <v>48.23</v>
      </c>
      <c r="P746" s="125">
        <v>189</v>
      </c>
      <c r="Q746" s="126">
        <v>0.17399999999999999</v>
      </c>
      <c r="R746" s="126">
        <v>0.17399999999999999</v>
      </c>
      <c r="S746" s="121">
        <f t="shared" si="80"/>
        <v>590.31722993987148</v>
      </c>
      <c r="T746" s="121">
        <f t="shared" si="81"/>
        <v>163626.4367816092</v>
      </c>
      <c r="U746" s="127">
        <f t="shared" si="82"/>
        <v>3.7563461152802846</v>
      </c>
      <c r="V746" s="126">
        <v>40</v>
      </c>
      <c r="W746" s="126">
        <f t="shared" si="83"/>
        <v>29000</v>
      </c>
      <c r="X746" s="126">
        <f t="shared" si="84"/>
        <v>725</v>
      </c>
      <c r="Y746" s="128" t="s">
        <v>2434</v>
      </c>
      <c r="Z746" s="119" t="s">
        <v>35</v>
      </c>
      <c r="AA746" s="119" t="s">
        <v>35</v>
      </c>
      <c r="AB746" s="119" t="s">
        <v>2435</v>
      </c>
      <c r="AC746" s="119">
        <v>0</v>
      </c>
      <c r="AD746" s="119">
        <v>1</v>
      </c>
      <c r="AE746" s="119" t="s">
        <v>37</v>
      </c>
      <c r="AF746" s="119" t="s">
        <v>43</v>
      </c>
      <c r="AG746" s="119" t="s">
        <v>38</v>
      </c>
      <c r="AH746" s="119" t="s">
        <v>92</v>
      </c>
    </row>
    <row r="747" spans="1:34" x14ac:dyDescent="0.3">
      <c r="A747" s="107" t="s">
        <v>2435</v>
      </c>
      <c r="B747" s="108" t="s">
        <v>2450</v>
      </c>
      <c r="C747" s="108" t="s">
        <v>2451</v>
      </c>
      <c r="D747" s="109">
        <v>45314</v>
      </c>
      <c r="E747" s="110">
        <v>155000</v>
      </c>
      <c r="F747" s="108" t="s">
        <v>32</v>
      </c>
      <c r="G747" s="108" t="s">
        <v>33</v>
      </c>
      <c r="H747" s="110">
        <v>155000</v>
      </c>
      <c r="I747" s="110">
        <v>60400</v>
      </c>
      <c r="J747" s="111">
        <f t="shared" si="78"/>
        <v>38.967741935483872</v>
      </c>
      <c r="K747" s="110">
        <v>153891</v>
      </c>
      <c r="L747" s="110">
        <f>H747-144657</f>
        <v>10343</v>
      </c>
      <c r="M747" s="110">
        <v>9234</v>
      </c>
      <c r="N747" s="112">
        <f t="shared" si="79"/>
        <v>5.9574193548387097E-2</v>
      </c>
      <c r="O747" s="113">
        <v>49.91</v>
      </c>
      <c r="P747" s="114">
        <v>202.43</v>
      </c>
      <c r="Q747" s="115">
        <v>0.186</v>
      </c>
      <c r="R747" s="115">
        <v>0.186</v>
      </c>
      <c r="S747" s="110">
        <f t="shared" si="80"/>
        <v>207.23301943498299</v>
      </c>
      <c r="T747" s="110">
        <f t="shared" si="81"/>
        <v>55607.526881720427</v>
      </c>
      <c r="U747" s="116">
        <f t="shared" si="82"/>
        <v>1.2765731607373836</v>
      </c>
      <c r="V747" s="115">
        <v>40</v>
      </c>
      <c r="W747" s="115">
        <f t="shared" si="83"/>
        <v>31000</v>
      </c>
      <c r="X747" s="115">
        <f t="shared" si="84"/>
        <v>775</v>
      </c>
      <c r="Y747" s="117" t="s">
        <v>2434</v>
      </c>
      <c r="Z747" s="108" t="s">
        <v>35</v>
      </c>
      <c r="AA747" s="108" t="s">
        <v>35</v>
      </c>
      <c r="AB747" s="108" t="s">
        <v>2435</v>
      </c>
      <c r="AC747" s="108">
        <v>0</v>
      </c>
      <c r="AD747" s="108">
        <v>1</v>
      </c>
      <c r="AE747" s="108" t="s">
        <v>42</v>
      </c>
      <c r="AF747" s="108" t="s">
        <v>43</v>
      </c>
      <c r="AG747" s="108" t="s">
        <v>38</v>
      </c>
      <c r="AH747" s="108" t="s">
        <v>92</v>
      </c>
    </row>
    <row r="748" spans="1:34" x14ac:dyDescent="0.3">
      <c r="A748" s="107" t="s">
        <v>2435</v>
      </c>
      <c r="B748" s="108" t="s">
        <v>2579</v>
      </c>
      <c r="C748" s="108" t="s">
        <v>2580</v>
      </c>
      <c r="D748" s="109">
        <v>45665</v>
      </c>
      <c r="E748" s="110">
        <v>160000</v>
      </c>
      <c r="F748" s="108" t="s">
        <v>32</v>
      </c>
      <c r="G748" s="108" t="s">
        <v>33</v>
      </c>
      <c r="H748" s="110">
        <v>160000</v>
      </c>
      <c r="I748" s="110">
        <v>59400</v>
      </c>
      <c r="J748" s="111">
        <f t="shared" si="78"/>
        <v>37.125</v>
      </c>
      <c r="K748" s="110">
        <v>132523</v>
      </c>
      <c r="L748" s="110">
        <f>H748-123873</f>
        <v>36127</v>
      </c>
      <c r="M748" s="110">
        <v>8650</v>
      </c>
      <c r="N748" s="112">
        <f t="shared" si="79"/>
        <v>5.4062499999999999E-2</v>
      </c>
      <c r="O748" s="113">
        <v>46.75</v>
      </c>
      <c r="P748" s="114">
        <v>177.64</v>
      </c>
      <c r="Q748" s="115">
        <v>0.16300000000000001</v>
      </c>
      <c r="R748" s="115">
        <v>0.16300000000000001</v>
      </c>
      <c r="S748" s="110">
        <f t="shared" si="80"/>
        <v>772.77005347593581</v>
      </c>
      <c r="T748" s="110">
        <f t="shared" si="81"/>
        <v>221638.03680981594</v>
      </c>
      <c r="U748" s="116">
        <f t="shared" si="82"/>
        <v>5.0881092013272715</v>
      </c>
      <c r="V748" s="115">
        <v>40</v>
      </c>
      <c r="W748" s="115">
        <f t="shared" si="83"/>
        <v>32000</v>
      </c>
      <c r="X748" s="115">
        <f t="shared" si="84"/>
        <v>800</v>
      </c>
      <c r="Y748" s="117" t="s">
        <v>2434</v>
      </c>
      <c r="Z748" s="108" t="s">
        <v>35</v>
      </c>
      <c r="AA748" s="108" t="s">
        <v>35</v>
      </c>
      <c r="AB748" s="108" t="s">
        <v>2435</v>
      </c>
      <c r="AC748" s="108">
        <v>0</v>
      </c>
      <c r="AD748" s="108">
        <v>1</v>
      </c>
      <c r="AE748" s="108" t="s">
        <v>37</v>
      </c>
      <c r="AF748" s="108" t="s">
        <v>35</v>
      </c>
      <c r="AG748" s="108" t="s">
        <v>38</v>
      </c>
      <c r="AH748" s="108" t="s">
        <v>92</v>
      </c>
    </row>
    <row r="749" spans="1:34" x14ac:dyDescent="0.3">
      <c r="A749" s="107" t="s">
        <v>2435</v>
      </c>
      <c r="B749" s="108" t="s">
        <v>2458</v>
      </c>
      <c r="C749" s="108" t="s">
        <v>2459</v>
      </c>
      <c r="D749" s="109">
        <v>45597</v>
      </c>
      <c r="E749" s="110">
        <v>160000</v>
      </c>
      <c r="F749" s="108" t="s">
        <v>32</v>
      </c>
      <c r="G749" s="108" t="s">
        <v>33</v>
      </c>
      <c r="H749" s="110">
        <v>160000</v>
      </c>
      <c r="I749" s="110">
        <v>62400</v>
      </c>
      <c r="J749" s="111">
        <f t="shared" si="78"/>
        <v>39</v>
      </c>
      <c r="K749" s="110">
        <v>140396</v>
      </c>
      <c r="L749" s="110">
        <f>H749-131195</f>
        <v>28805</v>
      </c>
      <c r="M749" s="110">
        <v>9201</v>
      </c>
      <c r="N749" s="112">
        <f t="shared" si="79"/>
        <v>5.7506250000000002E-2</v>
      </c>
      <c r="O749" s="113">
        <v>49.73</v>
      </c>
      <c r="P749" s="114">
        <v>201</v>
      </c>
      <c r="Q749" s="115">
        <v>0.185</v>
      </c>
      <c r="R749" s="115">
        <v>0.185</v>
      </c>
      <c r="S749" s="110">
        <f t="shared" si="80"/>
        <v>579.22783028353115</v>
      </c>
      <c r="T749" s="110">
        <f t="shared" si="81"/>
        <v>155702.70270270269</v>
      </c>
      <c r="U749" s="116">
        <f t="shared" si="82"/>
        <v>3.5744422108058469</v>
      </c>
      <c r="V749" s="115">
        <v>40</v>
      </c>
      <c r="W749" s="115">
        <f t="shared" si="83"/>
        <v>32000</v>
      </c>
      <c r="X749" s="115">
        <f t="shared" si="84"/>
        <v>800</v>
      </c>
      <c r="Y749" s="117" t="s">
        <v>2434</v>
      </c>
      <c r="Z749" s="108" t="s">
        <v>35</v>
      </c>
      <c r="AA749" s="108" t="s">
        <v>35</v>
      </c>
      <c r="AB749" s="108" t="s">
        <v>2435</v>
      </c>
      <c r="AC749" s="108">
        <v>0</v>
      </c>
      <c r="AD749" s="108">
        <v>1</v>
      </c>
      <c r="AE749" s="108" t="s">
        <v>37</v>
      </c>
      <c r="AF749" s="108" t="s">
        <v>35</v>
      </c>
      <c r="AG749" s="108" t="s">
        <v>38</v>
      </c>
      <c r="AH749" s="108" t="s">
        <v>92</v>
      </c>
    </row>
    <row r="750" spans="1:34" x14ac:dyDescent="0.3">
      <c r="A750" s="107" t="s">
        <v>2435</v>
      </c>
      <c r="B750" s="108" t="s">
        <v>2520</v>
      </c>
      <c r="C750" s="108" t="s">
        <v>2521</v>
      </c>
      <c r="D750" s="109">
        <v>45044</v>
      </c>
      <c r="E750" s="110">
        <v>165000</v>
      </c>
      <c r="F750" s="108" t="s">
        <v>32</v>
      </c>
      <c r="G750" s="108" t="s">
        <v>33</v>
      </c>
      <c r="H750" s="110">
        <v>165000</v>
      </c>
      <c r="I750" s="110">
        <v>67800</v>
      </c>
      <c r="J750" s="111">
        <f t="shared" si="78"/>
        <v>41.090909090909086</v>
      </c>
      <c r="K750" s="110">
        <v>175395</v>
      </c>
      <c r="L750" s="110">
        <f>H750-168380</f>
        <v>-3380</v>
      </c>
      <c r="M750" s="110">
        <v>7015</v>
      </c>
      <c r="N750" s="112">
        <f t="shared" si="79"/>
        <v>4.2515151515151513E-2</v>
      </c>
      <c r="O750" s="113">
        <v>37.92</v>
      </c>
      <c r="P750" s="114">
        <v>119.65</v>
      </c>
      <c r="Q750" s="115">
        <v>0.108</v>
      </c>
      <c r="R750" s="115">
        <v>0.108</v>
      </c>
      <c r="S750" s="110">
        <f t="shared" si="80"/>
        <v>-89.135021097046405</v>
      </c>
      <c r="T750" s="110">
        <f t="shared" si="81"/>
        <v>-31296.296296296296</v>
      </c>
      <c r="U750" s="116">
        <f t="shared" si="82"/>
        <v>-0.71846410230248614</v>
      </c>
      <c r="V750" s="115">
        <v>39.67</v>
      </c>
      <c r="W750" s="115">
        <f t="shared" si="83"/>
        <v>33000</v>
      </c>
      <c r="X750" s="115">
        <f t="shared" si="84"/>
        <v>831.86286866649857</v>
      </c>
      <c r="Y750" s="117" t="s">
        <v>2434</v>
      </c>
      <c r="Z750" s="108" t="s">
        <v>35</v>
      </c>
      <c r="AA750" s="108" t="s">
        <v>35</v>
      </c>
      <c r="AB750" s="108" t="s">
        <v>2435</v>
      </c>
      <c r="AC750" s="108">
        <v>0</v>
      </c>
      <c r="AD750" s="108">
        <v>1</v>
      </c>
      <c r="AE750" s="108" t="s">
        <v>37</v>
      </c>
      <c r="AF750" s="108" t="s">
        <v>43</v>
      </c>
      <c r="AG750" s="108" t="s">
        <v>38</v>
      </c>
      <c r="AH750" s="108" t="s">
        <v>92</v>
      </c>
    </row>
    <row r="751" spans="1:34" x14ac:dyDescent="0.3">
      <c r="A751" s="107" t="s">
        <v>2435</v>
      </c>
      <c r="B751" s="108" t="s">
        <v>2528</v>
      </c>
      <c r="C751" s="108" t="s">
        <v>2529</v>
      </c>
      <c r="D751" s="109">
        <v>45205</v>
      </c>
      <c r="E751" s="110">
        <v>260000</v>
      </c>
      <c r="F751" s="108" t="s">
        <v>32</v>
      </c>
      <c r="G751" s="108" t="s">
        <v>33</v>
      </c>
      <c r="H751" s="110">
        <v>260000</v>
      </c>
      <c r="I751" s="110">
        <v>106300</v>
      </c>
      <c r="J751" s="111">
        <f t="shared" si="78"/>
        <v>40.884615384615387</v>
      </c>
      <c r="K751" s="110">
        <v>278820</v>
      </c>
      <c r="L751" s="110">
        <f>H751-271651</f>
        <v>-11651</v>
      </c>
      <c r="M751" s="110">
        <v>7169</v>
      </c>
      <c r="N751" s="112">
        <f t="shared" si="79"/>
        <v>2.7573076923076922E-2</v>
      </c>
      <c r="O751" s="113">
        <v>38.74</v>
      </c>
      <c r="P751" s="114">
        <v>122</v>
      </c>
      <c r="Q751" s="115">
        <v>0.112</v>
      </c>
      <c r="R751" s="115">
        <v>0.112</v>
      </c>
      <c r="S751" s="110">
        <f t="shared" si="80"/>
        <v>-300.74858027878162</v>
      </c>
      <c r="T751" s="110">
        <f t="shared" si="81"/>
        <v>-104026.78571428571</v>
      </c>
      <c r="U751" s="116">
        <f t="shared" si="82"/>
        <v>-2.388126393808212</v>
      </c>
      <c r="V751" s="115">
        <v>40</v>
      </c>
      <c r="W751" s="115">
        <f t="shared" si="83"/>
        <v>52000</v>
      </c>
      <c r="X751" s="115">
        <f t="shared" si="84"/>
        <v>1300</v>
      </c>
      <c r="Y751" s="117" t="s">
        <v>2434</v>
      </c>
      <c r="Z751" s="108" t="s">
        <v>35</v>
      </c>
      <c r="AA751" s="108" t="s">
        <v>35</v>
      </c>
      <c r="AB751" s="108" t="s">
        <v>2435</v>
      </c>
      <c r="AC751" s="108">
        <v>0</v>
      </c>
      <c r="AD751" s="108">
        <v>1</v>
      </c>
      <c r="AE751" s="108" t="s">
        <v>2530</v>
      </c>
      <c r="AF751" s="108" t="s">
        <v>43</v>
      </c>
      <c r="AG751" s="108" t="s">
        <v>38</v>
      </c>
      <c r="AH751" s="108" t="s">
        <v>92</v>
      </c>
    </row>
    <row r="752" spans="1:34" x14ac:dyDescent="0.3">
      <c r="A752" s="118" t="s">
        <v>2594</v>
      </c>
      <c r="B752" s="119" t="s">
        <v>2603</v>
      </c>
      <c r="C752" s="119" t="s">
        <v>2604</v>
      </c>
      <c r="D752" s="120">
        <v>45638</v>
      </c>
      <c r="E752" s="121">
        <v>92000</v>
      </c>
      <c r="F752" s="119" t="s">
        <v>32</v>
      </c>
      <c r="G752" s="119" t="s">
        <v>33</v>
      </c>
      <c r="H752" s="121">
        <v>92000</v>
      </c>
      <c r="I752" s="121">
        <v>76000</v>
      </c>
      <c r="J752" s="122">
        <f t="shared" si="78"/>
        <v>82.608695652173907</v>
      </c>
      <c r="K752" s="121">
        <v>174148</v>
      </c>
      <c r="L752" s="121">
        <f>H752-130538</f>
        <v>-38538</v>
      </c>
      <c r="M752" s="121">
        <v>43610</v>
      </c>
      <c r="N752" s="123">
        <f t="shared" si="79"/>
        <v>0.47402173913043477</v>
      </c>
      <c r="O752" s="124">
        <v>192.96</v>
      </c>
      <c r="P752" s="125">
        <v>237.17</v>
      </c>
      <c r="Q752" s="126">
        <v>0.82099999999999995</v>
      </c>
      <c r="R752" s="126">
        <v>0.82099999999999995</v>
      </c>
      <c r="S752" s="121">
        <f t="shared" si="80"/>
        <v>-199.72014925373134</v>
      </c>
      <c r="T752" s="121">
        <f t="shared" si="81"/>
        <v>-46940.316686967119</v>
      </c>
      <c r="U752" s="127">
        <f t="shared" si="82"/>
        <v>-1.0776013931810633</v>
      </c>
      <c r="V752" s="126">
        <v>110.07</v>
      </c>
      <c r="W752" s="126">
        <f t="shared" si="83"/>
        <v>18400</v>
      </c>
      <c r="X752" s="126">
        <f t="shared" si="84"/>
        <v>167.16634868719908</v>
      </c>
      <c r="Y752" s="128" t="s">
        <v>2593</v>
      </c>
      <c r="Z752" s="119" t="s">
        <v>35</v>
      </c>
      <c r="AA752" s="119" t="s">
        <v>35</v>
      </c>
      <c r="AB752" s="119" t="s">
        <v>2594</v>
      </c>
      <c r="AC752" s="119">
        <v>0</v>
      </c>
      <c r="AD752" s="119">
        <v>1</v>
      </c>
      <c r="AE752" s="119" t="s">
        <v>42</v>
      </c>
      <c r="AF752" s="119" t="s">
        <v>35</v>
      </c>
      <c r="AG752" s="119" t="s">
        <v>38</v>
      </c>
      <c r="AH752" s="119" t="s">
        <v>92</v>
      </c>
    </row>
    <row r="753" spans="1:34" x14ac:dyDescent="0.3">
      <c r="A753" s="118" t="s">
        <v>2594</v>
      </c>
      <c r="B753" s="119" t="s">
        <v>2595</v>
      </c>
      <c r="C753" s="119" t="s">
        <v>2596</v>
      </c>
      <c r="D753" s="120">
        <v>45622</v>
      </c>
      <c r="E753" s="121">
        <v>88000</v>
      </c>
      <c r="F753" s="119" t="s">
        <v>32</v>
      </c>
      <c r="G753" s="119" t="s">
        <v>33</v>
      </c>
      <c r="H753" s="121">
        <v>88000</v>
      </c>
      <c r="I753" s="121">
        <v>62700</v>
      </c>
      <c r="J753" s="122">
        <f t="shared" si="78"/>
        <v>71.25</v>
      </c>
      <c r="K753" s="121">
        <v>143094</v>
      </c>
      <c r="L753" s="121">
        <f>H753-129534</f>
        <v>-41534</v>
      </c>
      <c r="M753" s="121">
        <v>13560</v>
      </c>
      <c r="N753" s="123">
        <f t="shared" si="79"/>
        <v>0.15409090909090908</v>
      </c>
      <c r="O753" s="124">
        <v>60</v>
      </c>
      <c r="P753" s="125">
        <v>120</v>
      </c>
      <c r="Q753" s="126">
        <v>0.16500000000000001</v>
      </c>
      <c r="R753" s="126">
        <v>0.16500000000000001</v>
      </c>
      <c r="S753" s="121">
        <f t="shared" si="80"/>
        <v>-692.23333333333335</v>
      </c>
      <c r="T753" s="121">
        <f t="shared" si="81"/>
        <v>-251721.2121212121</v>
      </c>
      <c r="U753" s="127">
        <f t="shared" si="82"/>
        <v>-5.7787238778974315</v>
      </c>
      <c r="V753" s="126">
        <v>60</v>
      </c>
      <c r="W753" s="126">
        <f t="shared" si="83"/>
        <v>17600</v>
      </c>
      <c r="X753" s="126">
        <f t="shared" si="84"/>
        <v>293.33333333333331</v>
      </c>
      <c r="Y753" s="128" t="s">
        <v>2593</v>
      </c>
      <c r="Z753" s="119" t="s">
        <v>35</v>
      </c>
      <c r="AA753" s="119" t="s">
        <v>35</v>
      </c>
      <c r="AB753" s="119" t="s">
        <v>2594</v>
      </c>
      <c r="AC753" s="119">
        <v>0</v>
      </c>
      <c r="AD753" s="119">
        <v>1</v>
      </c>
      <c r="AE753" s="119" t="s">
        <v>42</v>
      </c>
      <c r="AF753" s="119" t="s">
        <v>35</v>
      </c>
      <c r="AG753" s="119" t="s">
        <v>38</v>
      </c>
      <c r="AH753" s="119" t="s">
        <v>92</v>
      </c>
    </row>
    <row r="754" spans="1:34" x14ac:dyDescent="0.3">
      <c r="A754" s="107" t="s">
        <v>2594</v>
      </c>
      <c r="B754" s="108" t="s">
        <v>2655</v>
      </c>
      <c r="C754" s="108" t="s">
        <v>2656</v>
      </c>
      <c r="D754" s="109">
        <v>45597</v>
      </c>
      <c r="E754" s="110">
        <v>90000</v>
      </c>
      <c r="F754" s="108" t="s">
        <v>81</v>
      </c>
      <c r="G754" s="108" t="s">
        <v>33</v>
      </c>
      <c r="H754" s="110">
        <v>90000</v>
      </c>
      <c r="I754" s="110">
        <v>61500</v>
      </c>
      <c r="J754" s="111">
        <f t="shared" si="78"/>
        <v>68.333333333333329</v>
      </c>
      <c r="K754" s="110">
        <v>139035</v>
      </c>
      <c r="L754" s="110">
        <f>H754-125315</f>
        <v>-35315</v>
      </c>
      <c r="M754" s="110">
        <v>13720</v>
      </c>
      <c r="N754" s="112">
        <f t="shared" si="79"/>
        <v>0.15244444444444444</v>
      </c>
      <c r="O754" s="113">
        <v>60.7</v>
      </c>
      <c r="P754" s="114">
        <v>117.03</v>
      </c>
      <c r="Q754" s="115">
        <v>0.16700000000000001</v>
      </c>
      <c r="R754" s="115">
        <v>0.16700000000000001</v>
      </c>
      <c r="S754" s="110">
        <f t="shared" si="80"/>
        <v>-581.79571663920922</v>
      </c>
      <c r="T754" s="110">
        <f t="shared" si="81"/>
        <v>-211467.06586826345</v>
      </c>
      <c r="U754" s="116">
        <f t="shared" si="82"/>
        <v>-4.854615837196131</v>
      </c>
      <c r="V754" s="115">
        <v>60.18</v>
      </c>
      <c r="W754" s="115">
        <f t="shared" si="83"/>
        <v>18000</v>
      </c>
      <c r="X754" s="115">
        <f t="shared" si="84"/>
        <v>299.10269192422732</v>
      </c>
      <c r="Y754" s="117" t="s">
        <v>2593</v>
      </c>
      <c r="Z754" s="108" t="s">
        <v>35</v>
      </c>
      <c r="AA754" s="108" t="s">
        <v>35</v>
      </c>
      <c r="AB754" s="108" t="s">
        <v>2594</v>
      </c>
      <c r="AC754" s="108">
        <v>0</v>
      </c>
      <c r="AD754" s="108">
        <v>1</v>
      </c>
      <c r="AE754" s="108" t="s">
        <v>42</v>
      </c>
      <c r="AF754" s="108" t="s">
        <v>35</v>
      </c>
      <c r="AG754" s="108" t="s">
        <v>38</v>
      </c>
      <c r="AH754" s="108" t="s">
        <v>92</v>
      </c>
    </row>
    <row r="755" spans="1:34" x14ac:dyDescent="0.3">
      <c r="A755" s="107" t="s">
        <v>2594</v>
      </c>
      <c r="B755" s="108" t="s">
        <v>2648</v>
      </c>
      <c r="C755" s="108" t="s">
        <v>2649</v>
      </c>
      <c r="D755" s="109">
        <v>45124</v>
      </c>
      <c r="E755" s="110">
        <v>145000</v>
      </c>
      <c r="F755" s="108" t="s">
        <v>32</v>
      </c>
      <c r="G755" s="108" t="s">
        <v>33</v>
      </c>
      <c r="H755" s="110">
        <v>145000</v>
      </c>
      <c r="I755" s="110">
        <v>49100</v>
      </c>
      <c r="J755" s="111">
        <f t="shared" si="78"/>
        <v>33.862068965517238</v>
      </c>
      <c r="K755" s="110">
        <v>132225</v>
      </c>
      <c r="L755" s="110">
        <f>H755-114647</f>
        <v>30353</v>
      </c>
      <c r="M755" s="110">
        <v>17578</v>
      </c>
      <c r="N755" s="112">
        <f t="shared" si="79"/>
        <v>0.12122758620689655</v>
      </c>
      <c r="O755" s="113">
        <v>77.77</v>
      </c>
      <c r="P755" s="114">
        <v>117.14</v>
      </c>
      <c r="Q755" s="115">
        <v>0.215</v>
      </c>
      <c r="R755" s="115">
        <v>0.215</v>
      </c>
      <c r="S755" s="110">
        <f t="shared" si="80"/>
        <v>390.29188633149033</v>
      </c>
      <c r="T755" s="110">
        <f t="shared" si="81"/>
        <v>141176.7441860465</v>
      </c>
      <c r="U755" s="116">
        <f t="shared" si="82"/>
        <v>3.2409720887522155</v>
      </c>
      <c r="V755" s="115">
        <v>76</v>
      </c>
      <c r="W755" s="115">
        <f t="shared" si="83"/>
        <v>29000</v>
      </c>
      <c r="X755" s="115">
        <f t="shared" si="84"/>
        <v>381.57894736842104</v>
      </c>
      <c r="Y755" s="117" t="s">
        <v>2593</v>
      </c>
      <c r="Z755" s="108" t="s">
        <v>35</v>
      </c>
      <c r="AA755" s="108" t="s">
        <v>35</v>
      </c>
      <c r="AB755" s="108" t="s">
        <v>2594</v>
      </c>
      <c r="AC755" s="108">
        <v>0</v>
      </c>
      <c r="AD755" s="108">
        <v>1</v>
      </c>
      <c r="AE755" s="108" t="s">
        <v>42</v>
      </c>
      <c r="AF755" s="108" t="s">
        <v>43</v>
      </c>
      <c r="AG755" s="108" t="s">
        <v>38</v>
      </c>
      <c r="AH755" s="108" t="s">
        <v>92</v>
      </c>
    </row>
    <row r="756" spans="1:34" x14ac:dyDescent="0.3">
      <c r="A756" s="118" t="s">
        <v>2594</v>
      </c>
      <c r="B756" s="119" t="s">
        <v>2636</v>
      </c>
      <c r="C756" s="119" t="s">
        <v>2637</v>
      </c>
      <c r="D756" s="120">
        <v>45716</v>
      </c>
      <c r="E756" s="121">
        <v>160000</v>
      </c>
      <c r="F756" s="119" t="s">
        <v>32</v>
      </c>
      <c r="G756" s="119" t="s">
        <v>33</v>
      </c>
      <c r="H756" s="121">
        <v>160000</v>
      </c>
      <c r="I756" s="121">
        <v>76300</v>
      </c>
      <c r="J756" s="122">
        <f t="shared" si="78"/>
        <v>47.6875</v>
      </c>
      <c r="K756" s="121">
        <v>172728</v>
      </c>
      <c r="L756" s="121">
        <f>H756-148748</f>
        <v>11252</v>
      </c>
      <c r="M756" s="121">
        <v>23980</v>
      </c>
      <c r="N756" s="123">
        <f t="shared" si="79"/>
        <v>0.14987500000000001</v>
      </c>
      <c r="O756" s="124">
        <v>106.1</v>
      </c>
      <c r="P756" s="125">
        <v>204.74</v>
      </c>
      <c r="Q756" s="126">
        <v>0.38500000000000001</v>
      </c>
      <c r="R756" s="126">
        <v>0.38500000000000001</v>
      </c>
      <c r="S756" s="121">
        <f t="shared" si="80"/>
        <v>106.05089538171536</v>
      </c>
      <c r="T756" s="121">
        <f t="shared" si="81"/>
        <v>29225.974025974025</v>
      </c>
      <c r="U756" s="127">
        <f t="shared" si="82"/>
        <v>0.67093604283686925</v>
      </c>
      <c r="V756" s="126">
        <v>80</v>
      </c>
      <c r="W756" s="126">
        <f t="shared" si="83"/>
        <v>32000</v>
      </c>
      <c r="X756" s="126">
        <f t="shared" si="84"/>
        <v>400</v>
      </c>
      <c r="Y756" s="128" t="s">
        <v>2593</v>
      </c>
      <c r="Z756" s="119" t="s">
        <v>35</v>
      </c>
      <c r="AA756" s="119" t="s">
        <v>35</v>
      </c>
      <c r="AB756" s="119" t="s">
        <v>2594</v>
      </c>
      <c r="AC756" s="119">
        <v>0</v>
      </c>
      <c r="AD756" s="119">
        <v>1</v>
      </c>
      <c r="AE756" s="119" t="s">
        <v>412</v>
      </c>
      <c r="AF756" s="119" t="s">
        <v>35</v>
      </c>
      <c r="AG756" s="119" t="s">
        <v>38</v>
      </c>
      <c r="AH756" s="119" t="s">
        <v>92</v>
      </c>
    </row>
    <row r="757" spans="1:34" x14ac:dyDescent="0.3">
      <c r="A757" s="118" t="s">
        <v>2594</v>
      </c>
      <c r="B757" s="119" t="s">
        <v>2601</v>
      </c>
      <c r="C757" s="119" t="s">
        <v>2602</v>
      </c>
      <c r="D757" s="120">
        <v>45545</v>
      </c>
      <c r="E757" s="121">
        <v>139000</v>
      </c>
      <c r="F757" s="119" t="s">
        <v>81</v>
      </c>
      <c r="G757" s="119" t="s">
        <v>33</v>
      </c>
      <c r="H757" s="121">
        <v>139000</v>
      </c>
      <c r="I757" s="121">
        <v>64200</v>
      </c>
      <c r="J757" s="122">
        <f t="shared" si="78"/>
        <v>46.187050359712231</v>
      </c>
      <c r="K757" s="121">
        <v>146613</v>
      </c>
      <c r="L757" s="121">
        <f>H757-129534</f>
        <v>9466</v>
      </c>
      <c r="M757" s="121">
        <v>17079</v>
      </c>
      <c r="N757" s="123">
        <f t="shared" si="79"/>
        <v>0.1228705035971223</v>
      </c>
      <c r="O757" s="124">
        <v>75.569999999999993</v>
      </c>
      <c r="P757" s="125">
        <v>142.16</v>
      </c>
      <c r="Q757" s="126">
        <v>0.22700000000000001</v>
      </c>
      <c r="R757" s="126">
        <v>0.22700000000000001</v>
      </c>
      <c r="S757" s="121">
        <f t="shared" si="80"/>
        <v>125.26134709540824</v>
      </c>
      <c r="T757" s="121">
        <f t="shared" si="81"/>
        <v>41700.440528634361</v>
      </c>
      <c r="U757" s="127">
        <f t="shared" si="82"/>
        <v>0.95731038862796969</v>
      </c>
      <c r="V757" s="126">
        <v>69.430000000000007</v>
      </c>
      <c r="W757" s="126">
        <f t="shared" si="83"/>
        <v>27800</v>
      </c>
      <c r="X757" s="126">
        <f t="shared" si="84"/>
        <v>400.40328388304761</v>
      </c>
      <c r="Y757" s="128" t="s">
        <v>2593</v>
      </c>
      <c r="Z757" s="119" t="s">
        <v>35</v>
      </c>
      <c r="AA757" s="119" t="s">
        <v>35</v>
      </c>
      <c r="AB757" s="119" t="s">
        <v>2594</v>
      </c>
      <c r="AC757" s="119">
        <v>0</v>
      </c>
      <c r="AD757" s="119">
        <v>1</v>
      </c>
      <c r="AE757" s="119" t="s">
        <v>42</v>
      </c>
      <c r="AF757" s="119" t="s">
        <v>35</v>
      </c>
      <c r="AG757" s="119" t="s">
        <v>38</v>
      </c>
      <c r="AH757" s="119" t="s">
        <v>92</v>
      </c>
    </row>
    <row r="758" spans="1:34" x14ac:dyDescent="0.3">
      <c r="A758" s="118" t="s">
        <v>2594</v>
      </c>
      <c r="B758" s="119" t="s">
        <v>2628</v>
      </c>
      <c r="C758" s="119" t="s">
        <v>2629</v>
      </c>
      <c r="D758" s="120">
        <v>45399</v>
      </c>
      <c r="E758" s="121">
        <v>185000</v>
      </c>
      <c r="F758" s="119" t="s">
        <v>32</v>
      </c>
      <c r="G758" s="119" t="s">
        <v>33</v>
      </c>
      <c r="H758" s="121">
        <v>185000</v>
      </c>
      <c r="I758" s="121">
        <v>72700</v>
      </c>
      <c r="J758" s="122">
        <f t="shared" si="78"/>
        <v>39.297297297297298</v>
      </c>
      <c r="K758" s="121">
        <v>167159</v>
      </c>
      <c r="L758" s="121">
        <f>H758-148114</f>
        <v>36886</v>
      </c>
      <c r="M758" s="121">
        <v>19045</v>
      </c>
      <c r="N758" s="123">
        <f t="shared" si="79"/>
        <v>0.10294594594594594</v>
      </c>
      <c r="O758" s="124">
        <v>84.26</v>
      </c>
      <c r="P758" s="125">
        <v>107.83</v>
      </c>
      <c r="Q758" s="126">
        <v>0.219</v>
      </c>
      <c r="R758" s="126">
        <v>0.219</v>
      </c>
      <c r="S758" s="121">
        <f t="shared" si="80"/>
        <v>437.76406361262758</v>
      </c>
      <c r="T758" s="121">
        <f t="shared" si="81"/>
        <v>168429.22374429225</v>
      </c>
      <c r="U758" s="127">
        <f t="shared" si="82"/>
        <v>3.8666029326054234</v>
      </c>
      <c r="V758" s="126">
        <v>89.91</v>
      </c>
      <c r="W758" s="126">
        <f t="shared" si="83"/>
        <v>37000</v>
      </c>
      <c r="X758" s="126">
        <f t="shared" si="84"/>
        <v>411.52263374485597</v>
      </c>
      <c r="Y758" s="128" t="s">
        <v>2593</v>
      </c>
      <c r="Z758" s="119" t="s">
        <v>35</v>
      </c>
      <c r="AA758" s="119" t="s">
        <v>35</v>
      </c>
      <c r="AB758" s="119" t="s">
        <v>2594</v>
      </c>
      <c r="AC758" s="119">
        <v>0</v>
      </c>
      <c r="AD758" s="119">
        <v>1</v>
      </c>
      <c r="AE758" s="119" t="s">
        <v>42</v>
      </c>
      <c r="AF758" s="119" t="s">
        <v>43</v>
      </c>
      <c r="AG758" s="119" t="s">
        <v>38</v>
      </c>
      <c r="AH758" s="119" t="s">
        <v>92</v>
      </c>
    </row>
    <row r="759" spans="1:34" x14ac:dyDescent="0.3">
      <c r="A759" s="118" t="s">
        <v>2594</v>
      </c>
      <c r="B759" s="119" t="s">
        <v>2659</v>
      </c>
      <c r="C759" s="119" t="s">
        <v>2660</v>
      </c>
      <c r="D759" s="120">
        <v>45243</v>
      </c>
      <c r="E759" s="121">
        <v>139000</v>
      </c>
      <c r="F759" s="119" t="s">
        <v>32</v>
      </c>
      <c r="G759" s="119" t="s">
        <v>33</v>
      </c>
      <c r="H759" s="121">
        <v>139000</v>
      </c>
      <c r="I759" s="121">
        <v>49300</v>
      </c>
      <c r="J759" s="122">
        <f t="shared" si="78"/>
        <v>35.467625899280577</v>
      </c>
      <c r="K759" s="121">
        <v>133010</v>
      </c>
      <c r="L759" s="121">
        <f>H759-118187</f>
        <v>20813</v>
      </c>
      <c r="M759" s="121">
        <v>14823</v>
      </c>
      <c r="N759" s="123">
        <f t="shared" si="79"/>
        <v>0.10664028776978417</v>
      </c>
      <c r="O759" s="124">
        <v>65.58</v>
      </c>
      <c r="P759" s="125">
        <v>115</v>
      </c>
      <c r="Q759" s="126">
        <v>0.17699999999999999</v>
      </c>
      <c r="R759" s="126">
        <v>0.17699999999999999</v>
      </c>
      <c r="S759" s="121">
        <f t="shared" si="80"/>
        <v>317.36810003049709</v>
      </c>
      <c r="T759" s="121">
        <f t="shared" si="81"/>
        <v>117587.57062146893</v>
      </c>
      <c r="U759" s="127">
        <f t="shared" si="82"/>
        <v>2.6994391786379461</v>
      </c>
      <c r="V759" s="126">
        <v>67</v>
      </c>
      <c r="W759" s="126">
        <f t="shared" si="83"/>
        <v>27800</v>
      </c>
      <c r="X759" s="126">
        <f t="shared" si="84"/>
        <v>414.92537313432837</v>
      </c>
      <c r="Y759" s="128" t="s">
        <v>2593</v>
      </c>
      <c r="Z759" s="119" t="s">
        <v>35</v>
      </c>
      <c r="AA759" s="119" t="s">
        <v>35</v>
      </c>
      <c r="AB759" s="119" t="s">
        <v>2594</v>
      </c>
      <c r="AC759" s="119">
        <v>0</v>
      </c>
      <c r="AD759" s="119">
        <v>1</v>
      </c>
      <c r="AE759" s="119" t="s">
        <v>42</v>
      </c>
      <c r="AF759" s="119" t="s">
        <v>43</v>
      </c>
      <c r="AG759" s="119" t="s">
        <v>38</v>
      </c>
      <c r="AH759" s="119" t="s">
        <v>92</v>
      </c>
    </row>
    <row r="760" spans="1:34" x14ac:dyDescent="0.3">
      <c r="A760" s="118" t="s">
        <v>2594</v>
      </c>
      <c r="B760" s="119" t="s">
        <v>2619</v>
      </c>
      <c r="C760" s="119" t="s">
        <v>2620</v>
      </c>
      <c r="D760" s="120">
        <v>45037</v>
      </c>
      <c r="E760" s="121">
        <v>125000</v>
      </c>
      <c r="F760" s="119" t="s">
        <v>32</v>
      </c>
      <c r="G760" s="119" t="s">
        <v>33</v>
      </c>
      <c r="H760" s="121">
        <v>125000</v>
      </c>
      <c r="I760" s="121">
        <v>53400</v>
      </c>
      <c r="J760" s="122">
        <f t="shared" si="78"/>
        <v>42.72</v>
      </c>
      <c r="K760" s="121">
        <v>148242</v>
      </c>
      <c r="L760" s="121">
        <f>H760-134682</f>
        <v>-9682</v>
      </c>
      <c r="M760" s="121">
        <v>13560</v>
      </c>
      <c r="N760" s="123">
        <f t="shared" si="79"/>
        <v>0.10847999999999999</v>
      </c>
      <c r="O760" s="124">
        <v>60</v>
      </c>
      <c r="P760" s="125">
        <v>120</v>
      </c>
      <c r="Q760" s="126">
        <v>0.16500000000000001</v>
      </c>
      <c r="R760" s="126">
        <v>0.16500000000000001</v>
      </c>
      <c r="S760" s="121">
        <f t="shared" si="80"/>
        <v>-161.36666666666667</v>
      </c>
      <c r="T760" s="121">
        <f t="shared" si="81"/>
        <v>-58678.787878787873</v>
      </c>
      <c r="U760" s="127">
        <f t="shared" si="82"/>
        <v>-1.3470796115424213</v>
      </c>
      <c r="V760" s="126">
        <v>60</v>
      </c>
      <c r="W760" s="126">
        <f t="shared" si="83"/>
        <v>25000</v>
      </c>
      <c r="X760" s="126">
        <f t="shared" si="84"/>
        <v>416.66666666666669</v>
      </c>
      <c r="Y760" s="128" t="s">
        <v>2593</v>
      </c>
      <c r="Z760" s="119" t="s">
        <v>35</v>
      </c>
      <c r="AA760" s="119" t="s">
        <v>35</v>
      </c>
      <c r="AB760" s="119" t="s">
        <v>2594</v>
      </c>
      <c r="AC760" s="119">
        <v>0</v>
      </c>
      <c r="AD760" s="119">
        <v>1</v>
      </c>
      <c r="AE760" s="119" t="s">
        <v>42</v>
      </c>
      <c r="AF760" s="119" t="s">
        <v>43</v>
      </c>
      <c r="AG760" s="119" t="s">
        <v>38</v>
      </c>
      <c r="AH760" s="119" t="s">
        <v>92</v>
      </c>
    </row>
    <row r="761" spans="1:34" x14ac:dyDescent="0.3">
      <c r="A761" s="107" t="s">
        <v>2594</v>
      </c>
      <c r="B761" s="108" t="s">
        <v>2630</v>
      </c>
      <c r="C761" s="108" t="s">
        <v>2631</v>
      </c>
      <c r="D761" s="109">
        <v>45128</v>
      </c>
      <c r="E761" s="110">
        <v>125000</v>
      </c>
      <c r="F761" s="108" t="s">
        <v>32</v>
      </c>
      <c r="G761" s="108" t="s">
        <v>33</v>
      </c>
      <c r="H761" s="110">
        <v>125000</v>
      </c>
      <c r="I761" s="110">
        <v>58600</v>
      </c>
      <c r="J761" s="111">
        <f t="shared" si="78"/>
        <v>46.88</v>
      </c>
      <c r="K761" s="110">
        <v>162465</v>
      </c>
      <c r="L761" s="110">
        <f>H761-148658</f>
        <v>-23658</v>
      </c>
      <c r="M761" s="110">
        <v>13807</v>
      </c>
      <c r="N761" s="112">
        <f t="shared" si="79"/>
        <v>0.110456</v>
      </c>
      <c r="O761" s="113">
        <v>61.09</v>
      </c>
      <c r="P761" s="114">
        <v>124.41</v>
      </c>
      <c r="Q761" s="115">
        <v>0.17100000000000001</v>
      </c>
      <c r="R761" s="115">
        <v>0.17100000000000001</v>
      </c>
      <c r="S761" s="110">
        <f t="shared" si="80"/>
        <v>-387.26469143886067</v>
      </c>
      <c r="T761" s="110">
        <f t="shared" si="81"/>
        <v>-138350.87719298244</v>
      </c>
      <c r="U761" s="116">
        <f t="shared" si="82"/>
        <v>-3.1760991091134629</v>
      </c>
      <c r="V761" s="115">
        <v>60</v>
      </c>
      <c r="W761" s="115">
        <f t="shared" si="83"/>
        <v>25000</v>
      </c>
      <c r="X761" s="115">
        <f t="shared" si="84"/>
        <v>416.66666666666669</v>
      </c>
      <c r="Y761" s="117" t="s">
        <v>2593</v>
      </c>
      <c r="Z761" s="108" t="s">
        <v>35</v>
      </c>
      <c r="AA761" s="108" t="s">
        <v>35</v>
      </c>
      <c r="AB761" s="108" t="s">
        <v>2594</v>
      </c>
      <c r="AC761" s="108">
        <v>0</v>
      </c>
      <c r="AD761" s="108">
        <v>1</v>
      </c>
      <c r="AE761" s="108" t="s">
        <v>42</v>
      </c>
      <c r="AF761" s="108" t="s">
        <v>43</v>
      </c>
      <c r="AG761" s="108" t="s">
        <v>38</v>
      </c>
      <c r="AH761" s="108" t="s">
        <v>92</v>
      </c>
    </row>
    <row r="762" spans="1:34" x14ac:dyDescent="0.3">
      <c r="A762" s="107" t="s">
        <v>2594</v>
      </c>
      <c r="B762" s="108" t="s">
        <v>2591</v>
      </c>
      <c r="C762" s="108" t="s">
        <v>2592</v>
      </c>
      <c r="D762" s="109">
        <v>45090</v>
      </c>
      <c r="E762" s="110">
        <v>128000</v>
      </c>
      <c r="F762" s="108" t="s">
        <v>32</v>
      </c>
      <c r="G762" s="108" t="s">
        <v>33</v>
      </c>
      <c r="H762" s="110">
        <v>128000</v>
      </c>
      <c r="I762" s="110">
        <v>52900</v>
      </c>
      <c r="J762" s="111">
        <f t="shared" si="78"/>
        <v>41.328125</v>
      </c>
      <c r="K762" s="110">
        <v>143973</v>
      </c>
      <c r="L762" s="110">
        <f>H762-130413</f>
        <v>-2413</v>
      </c>
      <c r="M762" s="110">
        <v>13560</v>
      </c>
      <c r="N762" s="112">
        <f t="shared" si="79"/>
        <v>0.1059375</v>
      </c>
      <c r="O762" s="113">
        <v>60</v>
      </c>
      <c r="P762" s="114">
        <v>120</v>
      </c>
      <c r="Q762" s="115">
        <v>0.16500000000000001</v>
      </c>
      <c r="R762" s="115">
        <v>0.16500000000000001</v>
      </c>
      <c r="S762" s="110">
        <f t="shared" si="80"/>
        <v>-40.216666666666669</v>
      </c>
      <c r="T762" s="110">
        <f t="shared" si="81"/>
        <v>-14624.242424242424</v>
      </c>
      <c r="U762" s="116">
        <f t="shared" si="82"/>
        <v>-0.33572641010657539</v>
      </c>
      <c r="V762" s="115">
        <v>60</v>
      </c>
      <c r="W762" s="115">
        <f t="shared" si="83"/>
        <v>25600</v>
      </c>
      <c r="X762" s="115">
        <f t="shared" si="84"/>
        <v>426.66666666666669</v>
      </c>
      <c r="Y762" s="117" t="s">
        <v>2593</v>
      </c>
      <c r="Z762" s="108" t="s">
        <v>35</v>
      </c>
      <c r="AA762" s="108" t="s">
        <v>35</v>
      </c>
      <c r="AB762" s="108" t="s">
        <v>2594</v>
      </c>
      <c r="AC762" s="108">
        <v>0</v>
      </c>
      <c r="AD762" s="108">
        <v>1</v>
      </c>
      <c r="AE762" s="108" t="s">
        <v>42</v>
      </c>
      <c r="AF762" s="108" t="s">
        <v>43</v>
      </c>
      <c r="AG762" s="108" t="s">
        <v>38</v>
      </c>
      <c r="AH762" s="108" t="s">
        <v>92</v>
      </c>
    </row>
    <row r="763" spans="1:34" x14ac:dyDescent="0.3">
      <c r="A763" s="118" t="s">
        <v>2594</v>
      </c>
      <c r="B763" s="119" t="s">
        <v>2644</v>
      </c>
      <c r="C763" s="119" t="s">
        <v>2645</v>
      </c>
      <c r="D763" s="120">
        <v>45714</v>
      </c>
      <c r="E763" s="121">
        <v>215000</v>
      </c>
      <c r="F763" s="119" t="s">
        <v>32</v>
      </c>
      <c r="G763" s="119" t="s">
        <v>33</v>
      </c>
      <c r="H763" s="121">
        <v>215000</v>
      </c>
      <c r="I763" s="121">
        <v>79600</v>
      </c>
      <c r="J763" s="122">
        <f t="shared" si="78"/>
        <v>37.02325581395349</v>
      </c>
      <c r="K763" s="121">
        <v>178495</v>
      </c>
      <c r="L763" s="121">
        <f>H763-156754</f>
        <v>58246</v>
      </c>
      <c r="M763" s="121">
        <v>21741</v>
      </c>
      <c r="N763" s="123">
        <f t="shared" si="79"/>
        <v>0.10112093023255814</v>
      </c>
      <c r="O763" s="124">
        <v>96.19</v>
      </c>
      <c r="P763" s="125">
        <v>111.05</v>
      </c>
      <c r="Q763" s="126">
        <v>0.255</v>
      </c>
      <c r="R763" s="126">
        <v>0.255</v>
      </c>
      <c r="S763" s="121">
        <f t="shared" si="80"/>
        <v>605.53072044911119</v>
      </c>
      <c r="T763" s="121">
        <f t="shared" si="81"/>
        <v>228415.68627450979</v>
      </c>
      <c r="U763" s="127">
        <f t="shared" si="82"/>
        <v>5.2437026233817674</v>
      </c>
      <c r="V763" s="126">
        <v>100</v>
      </c>
      <c r="W763" s="126">
        <f t="shared" si="83"/>
        <v>43000</v>
      </c>
      <c r="X763" s="126">
        <f t="shared" si="84"/>
        <v>430</v>
      </c>
      <c r="Y763" s="128" t="s">
        <v>2593</v>
      </c>
      <c r="Z763" s="119" t="s">
        <v>35</v>
      </c>
      <c r="AA763" s="119" t="s">
        <v>35</v>
      </c>
      <c r="AB763" s="119" t="s">
        <v>2594</v>
      </c>
      <c r="AC763" s="119">
        <v>0</v>
      </c>
      <c r="AD763" s="119">
        <v>1</v>
      </c>
      <c r="AE763" s="119" t="s">
        <v>42</v>
      </c>
      <c r="AF763" s="119" t="s">
        <v>35</v>
      </c>
      <c r="AG763" s="119" t="s">
        <v>38</v>
      </c>
      <c r="AH763" s="119" t="s">
        <v>92</v>
      </c>
    </row>
    <row r="764" spans="1:34" x14ac:dyDescent="0.3">
      <c r="A764" s="118" t="s">
        <v>2594</v>
      </c>
      <c r="B764" s="119" t="s">
        <v>2609</v>
      </c>
      <c r="C764" s="119" t="s">
        <v>2610</v>
      </c>
      <c r="D764" s="120">
        <v>45513</v>
      </c>
      <c r="E764" s="121">
        <v>130000</v>
      </c>
      <c r="F764" s="119" t="s">
        <v>32</v>
      </c>
      <c r="G764" s="119" t="s">
        <v>33</v>
      </c>
      <c r="H764" s="121">
        <v>130000</v>
      </c>
      <c r="I764" s="121">
        <v>56900</v>
      </c>
      <c r="J764" s="122">
        <f t="shared" si="78"/>
        <v>43.769230769230774</v>
      </c>
      <c r="K764" s="121">
        <v>129498</v>
      </c>
      <c r="L764" s="121">
        <f>H764-115938</f>
        <v>14062</v>
      </c>
      <c r="M764" s="121">
        <v>13560</v>
      </c>
      <c r="N764" s="123">
        <f t="shared" si="79"/>
        <v>0.10430769230769231</v>
      </c>
      <c r="O764" s="124">
        <v>60</v>
      </c>
      <c r="P764" s="125">
        <v>120</v>
      </c>
      <c r="Q764" s="126">
        <v>0.16500000000000001</v>
      </c>
      <c r="R764" s="126">
        <v>0.16500000000000001</v>
      </c>
      <c r="S764" s="121">
        <f t="shared" si="80"/>
        <v>234.36666666666667</v>
      </c>
      <c r="T764" s="121">
        <f t="shared" si="81"/>
        <v>85224.242424242417</v>
      </c>
      <c r="U764" s="127">
        <f t="shared" si="82"/>
        <v>1.9564793944959233</v>
      </c>
      <c r="V764" s="126">
        <v>60</v>
      </c>
      <c r="W764" s="126">
        <f t="shared" si="83"/>
        <v>26000</v>
      </c>
      <c r="X764" s="126">
        <f t="shared" si="84"/>
        <v>433.33333333333331</v>
      </c>
      <c r="Y764" s="128" t="s">
        <v>2593</v>
      </c>
      <c r="Z764" s="119" t="s">
        <v>35</v>
      </c>
      <c r="AA764" s="119" t="s">
        <v>35</v>
      </c>
      <c r="AB764" s="119" t="s">
        <v>2594</v>
      </c>
      <c r="AC764" s="119">
        <v>0</v>
      </c>
      <c r="AD764" s="119">
        <v>1</v>
      </c>
      <c r="AE764" s="119" t="s">
        <v>42</v>
      </c>
      <c r="AF764" s="119" t="s">
        <v>43</v>
      </c>
      <c r="AG764" s="119" t="s">
        <v>38</v>
      </c>
      <c r="AH764" s="119" t="s">
        <v>92</v>
      </c>
    </row>
    <row r="765" spans="1:34" x14ac:dyDescent="0.3">
      <c r="A765" s="107" t="s">
        <v>2594</v>
      </c>
      <c r="B765" s="108" t="s">
        <v>2605</v>
      </c>
      <c r="C765" s="108" t="s">
        <v>2606</v>
      </c>
      <c r="D765" s="109">
        <v>45379</v>
      </c>
      <c r="E765" s="110">
        <v>130000</v>
      </c>
      <c r="F765" s="108" t="s">
        <v>81</v>
      </c>
      <c r="G765" s="108" t="s">
        <v>33</v>
      </c>
      <c r="H765" s="110">
        <v>130000</v>
      </c>
      <c r="I765" s="110">
        <v>60400</v>
      </c>
      <c r="J765" s="111">
        <f t="shared" si="78"/>
        <v>46.46153846153846</v>
      </c>
      <c r="K765" s="110">
        <v>162710</v>
      </c>
      <c r="L765" s="110">
        <f>H765-146727</f>
        <v>-16727</v>
      </c>
      <c r="M765" s="110">
        <v>15983</v>
      </c>
      <c r="N765" s="112">
        <f t="shared" si="79"/>
        <v>0.12294615384615384</v>
      </c>
      <c r="O765" s="113">
        <v>70.709999999999994</v>
      </c>
      <c r="P765" s="114">
        <v>155.59</v>
      </c>
      <c r="Q765" s="115">
        <v>0.22900000000000001</v>
      </c>
      <c r="R765" s="115">
        <v>0.22900000000000001</v>
      </c>
      <c r="S765" s="110">
        <f t="shared" si="80"/>
        <v>-236.55777117805121</v>
      </c>
      <c r="T765" s="110">
        <f t="shared" si="81"/>
        <v>-73043.668122270741</v>
      </c>
      <c r="U765" s="116">
        <f t="shared" si="82"/>
        <v>-1.6768518852679233</v>
      </c>
      <c r="V765" s="115">
        <v>58.04</v>
      </c>
      <c r="W765" s="115">
        <f t="shared" si="83"/>
        <v>26000</v>
      </c>
      <c r="X765" s="115">
        <f t="shared" si="84"/>
        <v>447.96691936595454</v>
      </c>
      <c r="Y765" s="117" t="s">
        <v>2593</v>
      </c>
      <c r="Z765" s="108" t="s">
        <v>35</v>
      </c>
      <c r="AA765" s="108" t="s">
        <v>35</v>
      </c>
      <c r="AB765" s="108" t="s">
        <v>2594</v>
      </c>
      <c r="AC765" s="108">
        <v>0</v>
      </c>
      <c r="AD765" s="108">
        <v>1</v>
      </c>
      <c r="AE765" s="108" t="s">
        <v>42</v>
      </c>
      <c r="AF765" s="108" t="s">
        <v>43</v>
      </c>
      <c r="AG765" s="108" t="s">
        <v>38</v>
      </c>
      <c r="AH765" s="108" t="s">
        <v>92</v>
      </c>
    </row>
    <row r="766" spans="1:34" x14ac:dyDescent="0.3">
      <c r="A766" s="118" t="s">
        <v>2594</v>
      </c>
      <c r="B766" s="119" t="s">
        <v>2611</v>
      </c>
      <c r="C766" s="119" t="s">
        <v>2612</v>
      </c>
      <c r="D766" s="120">
        <v>45490</v>
      </c>
      <c r="E766" s="121">
        <v>135000</v>
      </c>
      <c r="F766" s="119" t="s">
        <v>32</v>
      </c>
      <c r="G766" s="119" t="s">
        <v>33</v>
      </c>
      <c r="H766" s="121">
        <v>135000</v>
      </c>
      <c r="I766" s="121">
        <v>56500</v>
      </c>
      <c r="J766" s="122">
        <f t="shared" si="78"/>
        <v>41.851851851851848</v>
      </c>
      <c r="K766" s="121">
        <v>128615</v>
      </c>
      <c r="L766" s="121">
        <f>H766-115055</f>
        <v>19945</v>
      </c>
      <c r="M766" s="121">
        <v>13560</v>
      </c>
      <c r="N766" s="123">
        <f t="shared" si="79"/>
        <v>0.10044444444444445</v>
      </c>
      <c r="O766" s="124">
        <v>60</v>
      </c>
      <c r="P766" s="125">
        <v>120</v>
      </c>
      <c r="Q766" s="126">
        <v>0.16500000000000001</v>
      </c>
      <c r="R766" s="126">
        <v>0.16500000000000001</v>
      </c>
      <c r="S766" s="121">
        <f t="shared" si="80"/>
        <v>332.41666666666669</v>
      </c>
      <c r="T766" s="121">
        <f t="shared" si="81"/>
        <v>120878.78787878787</v>
      </c>
      <c r="U766" s="127">
        <f t="shared" si="82"/>
        <v>2.774995130367031</v>
      </c>
      <c r="V766" s="126">
        <v>60</v>
      </c>
      <c r="W766" s="126">
        <f t="shared" si="83"/>
        <v>27000</v>
      </c>
      <c r="X766" s="126">
        <f t="shared" si="84"/>
        <v>450</v>
      </c>
      <c r="Y766" s="128" t="s">
        <v>2593</v>
      </c>
      <c r="Z766" s="119" t="s">
        <v>35</v>
      </c>
      <c r="AA766" s="119" t="s">
        <v>35</v>
      </c>
      <c r="AB766" s="119" t="s">
        <v>2594</v>
      </c>
      <c r="AC766" s="119">
        <v>0</v>
      </c>
      <c r="AD766" s="119">
        <v>1</v>
      </c>
      <c r="AE766" s="119" t="s">
        <v>42</v>
      </c>
      <c r="AF766" s="119" t="s">
        <v>43</v>
      </c>
      <c r="AG766" s="119" t="s">
        <v>38</v>
      </c>
      <c r="AH766" s="119" t="s">
        <v>92</v>
      </c>
    </row>
    <row r="767" spans="1:34" x14ac:dyDescent="0.3">
      <c r="A767" s="118" t="s">
        <v>2594</v>
      </c>
      <c r="B767" s="119" t="s">
        <v>2617</v>
      </c>
      <c r="C767" s="119" t="s">
        <v>2618</v>
      </c>
      <c r="D767" s="120">
        <v>45708</v>
      </c>
      <c r="E767" s="121">
        <v>137000</v>
      </c>
      <c r="F767" s="119" t="s">
        <v>32</v>
      </c>
      <c r="G767" s="119" t="s">
        <v>33</v>
      </c>
      <c r="H767" s="121">
        <v>137000</v>
      </c>
      <c r="I767" s="121">
        <v>57100</v>
      </c>
      <c r="J767" s="122">
        <f t="shared" si="78"/>
        <v>41.678832116788321</v>
      </c>
      <c r="K767" s="121">
        <v>130104</v>
      </c>
      <c r="L767" s="121">
        <f>H767-116544</f>
        <v>20456</v>
      </c>
      <c r="M767" s="121">
        <v>13560</v>
      </c>
      <c r="N767" s="123">
        <f t="shared" si="79"/>
        <v>9.8978102189781023E-2</v>
      </c>
      <c r="O767" s="124">
        <v>60</v>
      </c>
      <c r="P767" s="125">
        <v>120</v>
      </c>
      <c r="Q767" s="126">
        <v>0.16500000000000001</v>
      </c>
      <c r="R767" s="126">
        <v>0.16500000000000001</v>
      </c>
      <c r="S767" s="121">
        <f t="shared" si="80"/>
        <v>340.93333333333334</v>
      </c>
      <c r="T767" s="121">
        <f t="shared" si="81"/>
        <v>123975.75757575757</v>
      </c>
      <c r="U767" s="127">
        <f t="shared" si="82"/>
        <v>2.8460917717116061</v>
      </c>
      <c r="V767" s="126">
        <v>60</v>
      </c>
      <c r="W767" s="126">
        <f t="shared" si="83"/>
        <v>27400</v>
      </c>
      <c r="X767" s="126">
        <f t="shared" si="84"/>
        <v>456.66666666666669</v>
      </c>
      <c r="Y767" s="128" t="s">
        <v>2593</v>
      </c>
      <c r="Z767" s="119" t="s">
        <v>35</v>
      </c>
      <c r="AA767" s="119" t="s">
        <v>35</v>
      </c>
      <c r="AB767" s="119" t="s">
        <v>2594</v>
      </c>
      <c r="AC767" s="119">
        <v>0</v>
      </c>
      <c r="AD767" s="119">
        <v>1</v>
      </c>
      <c r="AE767" s="119" t="s">
        <v>42</v>
      </c>
      <c r="AF767" s="119" t="s">
        <v>35</v>
      </c>
      <c r="AG767" s="119" t="s">
        <v>38</v>
      </c>
      <c r="AH767" s="119" t="s">
        <v>92</v>
      </c>
    </row>
    <row r="768" spans="1:34" x14ac:dyDescent="0.3">
      <c r="A768" s="118" t="s">
        <v>2594</v>
      </c>
      <c r="B768" s="119" t="s">
        <v>2595</v>
      </c>
      <c r="C768" s="119" t="s">
        <v>2596</v>
      </c>
      <c r="D768" s="120">
        <v>45709</v>
      </c>
      <c r="E768" s="121">
        <v>139000</v>
      </c>
      <c r="F768" s="119" t="s">
        <v>32</v>
      </c>
      <c r="G768" s="119" t="s">
        <v>33</v>
      </c>
      <c r="H768" s="121">
        <v>139000</v>
      </c>
      <c r="I768" s="121">
        <v>62700</v>
      </c>
      <c r="J768" s="122">
        <f t="shared" si="78"/>
        <v>45.10791366906475</v>
      </c>
      <c r="K768" s="121">
        <v>143094</v>
      </c>
      <c r="L768" s="121">
        <f>H768-129534</f>
        <v>9466</v>
      </c>
      <c r="M768" s="121">
        <v>13560</v>
      </c>
      <c r="N768" s="123">
        <f t="shared" si="79"/>
        <v>9.7553956834532371E-2</v>
      </c>
      <c r="O768" s="124">
        <v>60</v>
      </c>
      <c r="P768" s="125">
        <v>120</v>
      </c>
      <c r="Q768" s="126">
        <v>0.16500000000000001</v>
      </c>
      <c r="R768" s="126">
        <v>0.16500000000000001</v>
      </c>
      <c r="S768" s="121">
        <f t="shared" si="80"/>
        <v>157.76666666666668</v>
      </c>
      <c r="T768" s="121">
        <f t="shared" si="81"/>
        <v>57369.696969696968</v>
      </c>
      <c r="U768" s="127">
        <f t="shared" si="82"/>
        <v>1.3170270195063583</v>
      </c>
      <c r="V768" s="126">
        <v>60</v>
      </c>
      <c r="W768" s="126">
        <f t="shared" si="83"/>
        <v>27800</v>
      </c>
      <c r="X768" s="126">
        <f t="shared" si="84"/>
        <v>463.33333333333331</v>
      </c>
      <c r="Y768" s="128" t="s">
        <v>2593</v>
      </c>
      <c r="Z768" s="119" t="s">
        <v>35</v>
      </c>
      <c r="AA768" s="119" t="s">
        <v>35</v>
      </c>
      <c r="AB768" s="119" t="s">
        <v>2594</v>
      </c>
      <c r="AC768" s="119">
        <v>0</v>
      </c>
      <c r="AD768" s="119">
        <v>1</v>
      </c>
      <c r="AE768" s="119" t="s">
        <v>42</v>
      </c>
      <c r="AF768" s="119" t="s">
        <v>35</v>
      </c>
      <c r="AG768" s="119" t="s">
        <v>38</v>
      </c>
      <c r="AH768" s="119" t="s">
        <v>92</v>
      </c>
    </row>
    <row r="769" spans="1:34" x14ac:dyDescent="0.3">
      <c r="A769" s="118" t="s">
        <v>2594</v>
      </c>
      <c r="B769" s="119" t="s">
        <v>2653</v>
      </c>
      <c r="C769" s="119" t="s">
        <v>2654</v>
      </c>
      <c r="D769" s="120">
        <v>45642</v>
      </c>
      <c r="E769" s="121">
        <v>158000</v>
      </c>
      <c r="F769" s="119" t="s">
        <v>32</v>
      </c>
      <c r="G769" s="119" t="s">
        <v>33</v>
      </c>
      <c r="H769" s="121">
        <v>158000</v>
      </c>
      <c r="I769" s="121">
        <v>64000</v>
      </c>
      <c r="J769" s="122">
        <f t="shared" si="78"/>
        <v>40.506329113924053</v>
      </c>
      <c r="K769" s="121">
        <v>144441</v>
      </c>
      <c r="L769" s="121">
        <f>H769-130248</f>
        <v>27752</v>
      </c>
      <c r="M769" s="121">
        <v>14193</v>
      </c>
      <c r="N769" s="123">
        <f t="shared" si="79"/>
        <v>8.982911392405063E-2</v>
      </c>
      <c r="O769" s="124">
        <v>62.8</v>
      </c>
      <c r="P769" s="125">
        <v>115.96</v>
      </c>
      <c r="Q769" s="126">
        <v>0.16500000000000001</v>
      </c>
      <c r="R769" s="126">
        <v>0.16500000000000001</v>
      </c>
      <c r="S769" s="121">
        <f t="shared" si="80"/>
        <v>441.91082802547771</v>
      </c>
      <c r="T769" s="121">
        <f t="shared" si="81"/>
        <v>168193.93939393939</v>
      </c>
      <c r="U769" s="127">
        <f t="shared" si="82"/>
        <v>3.8612015471519605</v>
      </c>
      <c r="V769" s="126">
        <v>67.73</v>
      </c>
      <c r="W769" s="126">
        <f t="shared" si="83"/>
        <v>31600</v>
      </c>
      <c r="X769" s="126">
        <f t="shared" si="84"/>
        <v>466.55839362173333</v>
      </c>
      <c r="Y769" s="128" t="s">
        <v>2593</v>
      </c>
      <c r="Z769" s="119" t="s">
        <v>35</v>
      </c>
      <c r="AA769" s="119" t="s">
        <v>35</v>
      </c>
      <c r="AB769" s="119" t="s">
        <v>2594</v>
      </c>
      <c r="AC769" s="119">
        <v>0</v>
      </c>
      <c r="AD769" s="119">
        <v>1</v>
      </c>
      <c r="AE769" s="119" t="s">
        <v>42</v>
      </c>
      <c r="AF769" s="119" t="s">
        <v>35</v>
      </c>
      <c r="AG769" s="119" t="s">
        <v>38</v>
      </c>
      <c r="AH769" s="119" t="s">
        <v>92</v>
      </c>
    </row>
    <row r="770" spans="1:34" x14ac:dyDescent="0.3">
      <c r="A770" s="107" t="s">
        <v>2594</v>
      </c>
      <c r="B770" s="108" t="s">
        <v>2621</v>
      </c>
      <c r="C770" s="108" t="s">
        <v>2622</v>
      </c>
      <c r="D770" s="109">
        <v>45309</v>
      </c>
      <c r="E770" s="110">
        <v>140000</v>
      </c>
      <c r="F770" s="108" t="s">
        <v>32</v>
      </c>
      <c r="G770" s="108" t="s">
        <v>33</v>
      </c>
      <c r="H770" s="110">
        <v>140000</v>
      </c>
      <c r="I770" s="110">
        <v>53700</v>
      </c>
      <c r="J770" s="111">
        <f t="shared" ref="J770:J833" si="85">I770/H770*100</f>
        <v>38.357142857142854</v>
      </c>
      <c r="K770" s="110">
        <v>146489</v>
      </c>
      <c r="L770" s="110">
        <f>H770-133100</f>
        <v>6900</v>
      </c>
      <c r="M770" s="110">
        <v>13389</v>
      </c>
      <c r="N770" s="112">
        <f t="shared" ref="N770:N833" si="86">M770/E770</f>
        <v>9.5635714285714282E-2</v>
      </c>
      <c r="O770" s="113">
        <v>59.24</v>
      </c>
      <c r="P770" s="114">
        <v>117</v>
      </c>
      <c r="Q770" s="115">
        <v>0.161</v>
      </c>
      <c r="R770" s="115">
        <v>0.161</v>
      </c>
      <c r="S770" s="110">
        <f t="shared" ref="S770:S833" si="87">L770/O770</f>
        <v>116.47535449020931</v>
      </c>
      <c r="T770" s="110">
        <f t="shared" ref="T770:T833" si="88">L770/Q770</f>
        <v>42857.142857142855</v>
      </c>
      <c r="U770" s="116">
        <f t="shared" ref="U770:U833" si="89">L770/Q770/43560</f>
        <v>0.98386462022825649</v>
      </c>
      <c r="V770" s="115">
        <v>60</v>
      </c>
      <c r="W770" s="115">
        <f t="shared" ref="W770:W833" si="90">0.2*E770</f>
        <v>28000</v>
      </c>
      <c r="X770" s="115">
        <f t="shared" si="84"/>
        <v>466.66666666666669</v>
      </c>
      <c r="Y770" s="117" t="s">
        <v>2593</v>
      </c>
      <c r="Z770" s="108" t="s">
        <v>35</v>
      </c>
      <c r="AA770" s="108" t="s">
        <v>35</v>
      </c>
      <c r="AB770" s="108" t="s">
        <v>2594</v>
      </c>
      <c r="AC770" s="108">
        <v>0</v>
      </c>
      <c r="AD770" s="108">
        <v>1</v>
      </c>
      <c r="AE770" s="108" t="s">
        <v>42</v>
      </c>
      <c r="AF770" s="108" t="s">
        <v>43</v>
      </c>
      <c r="AG770" s="108" t="s">
        <v>38</v>
      </c>
      <c r="AH770" s="108" t="s">
        <v>92</v>
      </c>
    </row>
    <row r="771" spans="1:34" x14ac:dyDescent="0.3">
      <c r="A771" s="107" t="s">
        <v>2594</v>
      </c>
      <c r="B771" s="108" t="s">
        <v>2607</v>
      </c>
      <c r="C771" s="108" t="s">
        <v>2608</v>
      </c>
      <c r="D771" s="109">
        <v>45397</v>
      </c>
      <c r="E771" s="110">
        <v>143900</v>
      </c>
      <c r="F771" s="108" t="s">
        <v>32</v>
      </c>
      <c r="G771" s="108" t="s">
        <v>33</v>
      </c>
      <c r="H771" s="110">
        <v>143900</v>
      </c>
      <c r="I771" s="110">
        <v>62800</v>
      </c>
      <c r="J771" s="111">
        <f t="shared" si="85"/>
        <v>43.641417651146632</v>
      </c>
      <c r="K771" s="110">
        <v>141569</v>
      </c>
      <c r="L771" s="110">
        <f>H771-128009</f>
        <v>15891</v>
      </c>
      <c r="M771" s="110">
        <v>13560</v>
      </c>
      <c r="N771" s="112">
        <f t="shared" si="86"/>
        <v>9.4232105628908963E-2</v>
      </c>
      <c r="O771" s="113">
        <v>60</v>
      </c>
      <c r="P771" s="114">
        <v>120</v>
      </c>
      <c r="Q771" s="115">
        <v>0.16500000000000001</v>
      </c>
      <c r="R771" s="115">
        <v>0.16500000000000001</v>
      </c>
      <c r="S771" s="110">
        <f t="shared" si="87"/>
        <v>264.85000000000002</v>
      </c>
      <c r="T771" s="110">
        <f t="shared" si="88"/>
        <v>96309.090909090912</v>
      </c>
      <c r="U771" s="116">
        <f t="shared" si="89"/>
        <v>2.2109525002086987</v>
      </c>
      <c r="V771" s="115">
        <v>60</v>
      </c>
      <c r="W771" s="115">
        <f t="shared" si="90"/>
        <v>28780</v>
      </c>
      <c r="X771" s="115">
        <f t="shared" si="84"/>
        <v>479.66666666666669</v>
      </c>
      <c r="Y771" s="117" t="s">
        <v>2593</v>
      </c>
      <c r="Z771" s="108" t="s">
        <v>35</v>
      </c>
      <c r="AA771" s="108" t="s">
        <v>35</v>
      </c>
      <c r="AB771" s="108" t="s">
        <v>2594</v>
      </c>
      <c r="AC771" s="108">
        <v>0</v>
      </c>
      <c r="AD771" s="108">
        <v>1</v>
      </c>
      <c r="AE771" s="108" t="s">
        <v>42</v>
      </c>
      <c r="AF771" s="108" t="s">
        <v>43</v>
      </c>
      <c r="AG771" s="108" t="s">
        <v>38</v>
      </c>
      <c r="AH771" s="108" t="s">
        <v>92</v>
      </c>
    </row>
    <row r="772" spans="1:34" x14ac:dyDescent="0.3">
      <c r="A772" s="107" t="s">
        <v>2594</v>
      </c>
      <c r="B772" s="108" t="s">
        <v>2615</v>
      </c>
      <c r="C772" s="108" t="s">
        <v>2616</v>
      </c>
      <c r="D772" s="109">
        <v>45383</v>
      </c>
      <c r="E772" s="110">
        <v>160000</v>
      </c>
      <c r="F772" s="108" t="s">
        <v>32</v>
      </c>
      <c r="G772" s="108" t="s">
        <v>33</v>
      </c>
      <c r="H772" s="110">
        <v>160000</v>
      </c>
      <c r="I772" s="110">
        <v>51700</v>
      </c>
      <c r="J772" s="111">
        <f t="shared" si="85"/>
        <v>32.3125</v>
      </c>
      <c r="K772" s="110">
        <v>114995</v>
      </c>
      <c r="L772" s="110">
        <f>H772-100980</f>
        <v>59020</v>
      </c>
      <c r="M772" s="110">
        <v>14015</v>
      </c>
      <c r="N772" s="112">
        <f t="shared" si="86"/>
        <v>8.7593749999999998E-2</v>
      </c>
      <c r="O772" s="113">
        <v>62.01</v>
      </c>
      <c r="P772" s="114">
        <v>122.01</v>
      </c>
      <c r="Q772" s="115">
        <v>0.16800000000000001</v>
      </c>
      <c r="R772" s="115">
        <v>0.16800000000000001</v>
      </c>
      <c r="S772" s="110">
        <f t="shared" si="87"/>
        <v>951.78197064989524</v>
      </c>
      <c r="T772" s="110">
        <f t="shared" si="88"/>
        <v>351309.52380952379</v>
      </c>
      <c r="U772" s="116">
        <f t="shared" si="89"/>
        <v>8.0649569285932916</v>
      </c>
      <c r="V772" s="115">
        <v>64.3</v>
      </c>
      <c r="W772" s="115">
        <f t="shared" si="90"/>
        <v>32000</v>
      </c>
      <c r="X772" s="115">
        <f t="shared" si="84"/>
        <v>497.6671850699845</v>
      </c>
      <c r="Y772" s="117" t="s">
        <v>2593</v>
      </c>
      <c r="Z772" s="108" t="s">
        <v>35</v>
      </c>
      <c r="AA772" s="108" t="s">
        <v>35</v>
      </c>
      <c r="AB772" s="108" t="s">
        <v>2594</v>
      </c>
      <c r="AC772" s="108">
        <v>0</v>
      </c>
      <c r="AD772" s="108">
        <v>1</v>
      </c>
      <c r="AE772" s="108" t="s">
        <v>412</v>
      </c>
      <c r="AF772" s="108" t="s">
        <v>43</v>
      </c>
      <c r="AG772" s="108" t="s">
        <v>38</v>
      </c>
      <c r="AH772" s="108" t="s">
        <v>92</v>
      </c>
    </row>
    <row r="773" spans="1:34" x14ac:dyDescent="0.3">
      <c r="A773" s="107" t="s">
        <v>2594</v>
      </c>
      <c r="B773" s="108" t="s">
        <v>2623</v>
      </c>
      <c r="C773" s="108" t="s">
        <v>2624</v>
      </c>
      <c r="D773" s="109">
        <v>45278</v>
      </c>
      <c r="E773" s="110">
        <v>154000</v>
      </c>
      <c r="F773" s="108" t="s">
        <v>32</v>
      </c>
      <c r="G773" s="108" t="s">
        <v>33</v>
      </c>
      <c r="H773" s="110">
        <v>154000</v>
      </c>
      <c r="I773" s="110">
        <v>52800</v>
      </c>
      <c r="J773" s="111">
        <f t="shared" si="85"/>
        <v>34.285714285714285</v>
      </c>
      <c r="K773" s="110">
        <v>143802</v>
      </c>
      <c r="L773" s="110">
        <f>H773-130413</f>
        <v>23587</v>
      </c>
      <c r="M773" s="110">
        <v>13389</v>
      </c>
      <c r="N773" s="112">
        <f t="shared" si="86"/>
        <v>8.6941558441558445E-2</v>
      </c>
      <c r="O773" s="113">
        <v>59.24</v>
      </c>
      <c r="P773" s="114">
        <v>117</v>
      </c>
      <c r="Q773" s="115">
        <v>0.161</v>
      </c>
      <c r="R773" s="115">
        <v>0.161</v>
      </c>
      <c r="S773" s="110">
        <f t="shared" si="87"/>
        <v>398.16002700877783</v>
      </c>
      <c r="T773" s="110">
        <f t="shared" si="88"/>
        <v>146503.1055900621</v>
      </c>
      <c r="U773" s="116">
        <f t="shared" si="89"/>
        <v>3.3632485213512879</v>
      </c>
      <c r="V773" s="115">
        <v>60</v>
      </c>
      <c r="W773" s="115">
        <f t="shared" si="90"/>
        <v>30800</v>
      </c>
      <c r="X773" s="115">
        <f t="shared" si="84"/>
        <v>513.33333333333337</v>
      </c>
      <c r="Y773" s="117" t="s">
        <v>2593</v>
      </c>
      <c r="Z773" s="108" t="s">
        <v>35</v>
      </c>
      <c r="AA773" s="108" t="s">
        <v>35</v>
      </c>
      <c r="AB773" s="108" t="s">
        <v>2594</v>
      </c>
      <c r="AC773" s="108">
        <v>0</v>
      </c>
      <c r="AD773" s="108">
        <v>1</v>
      </c>
      <c r="AE773" s="108" t="s">
        <v>42</v>
      </c>
      <c r="AF773" s="108" t="s">
        <v>43</v>
      </c>
      <c r="AG773" s="108" t="s">
        <v>38</v>
      </c>
      <c r="AH773" s="108" t="s">
        <v>92</v>
      </c>
    </row>
    <row r="774" spans="1:34" x14ac:dyDescent="0.3">
      <c r="A774" s="107" t="s">
        <v>2594</v>
      </c>
      <c r="B774" s="108" t="s">
        <v>2597</v>
      </c>
      <c r="C774" s="108" t="s">
        <v>2598</v>
      </c>
      <c r="D774" s="109">
        <v>45051</v>
      </c>
      <c r="E774" s="110">
        <v>154400</v>
      </c>
      <c r="F774" s="108" t="s">
        <v>32</v>
      </c>
      <c r="G774" s="108" t="s">
        <v>33</v>
      </c>
      <c r="H774" s="110">
        <v>154400</v>
      </c>
      <c r="I774" s="110">
        <v>52800</v>
      </c>
      <c r="J774" s="111">
        <f t="shared" si="85"/>
        <v>34.196891191709845</v>
      </c>
      <c r="K774" s="110">
        <v>146807</v>
      </c>
      <c r="L774" s="110">
        <f>H774-133247</f>
        <v>21153</v>
      </c>
      <c r="M774" s="110">
        <v>13560</v>
      </c>
      <c r="N774" s="112">
        <f t="shared" si="86"/>
        <v>8.7823834196891187E-2</v>
      </c>
      <c r="O774" s="113">
        <v>60</v>
      </c>
      <c r="P774" s="114">
        <v>120</v>
      </c>
      <c r="Q774" s="115">
        <v>0.16500000000000001</v>
      </c>
      <c r="R774" s="115">
        <v>0.16500000000000001</v>
      </c>
      <c r="S774" s="110">
        <f t="shared" si="87"/>
        <v>352.55</v>
      </c>
      <c r="T774" s="110">
        <f t="shared" si="88"/>
        <v>128200</v>
      </c>
      <c r="U774" s="116">
        <f t="shared" si="89"/>
        <v>2.9430670339761247</v>
      </c>
      <c r="V774" s="115">
        <v>60</v>
      </c>
      <c r="W774" s="115">
        <f t="shared" si="90"/>
        <v>30880</v>
      </c>
      <c r="X774" s="115">
        <f t="shared" si="84"/>
        <v>514.66666666666663</v>
      </c>
      <c r="Y774" s="117" t="s">
        <v>2593</v>
      </c>
      <c r="Z774" s="108" t="s">
        <v>35</v>
      </c>
      <c r="AA774" s="108" t="s">
        <v>35</v>
      </c>
      <c r="AB774" s="108" t="s">
        <v>2594</v>
      </c>
      <c r="AC774" s="108">
        <v>0</v>
      </c>
      <c r="AD774" s="108">
        <v>1</v>
      </c>
      <c r="AE774" s="108" t="s">
        <v>42</v>
      </c>
      <c r="AF774" s="108" t="s">
        <v>43</v>
      </c>
      <c r="AG774" s="108" t="s">
        <v>38</v>
      </c>
      <c r="AH774" s="108" t="s">
        <v>92</v>
      </c>
    </row>
    <row r="775" spans="1:34" x14ac:dyDescent="0.3">
      <c r="A775" s="107" t="s">
        <v>2594</v>
      </c>
      <c r="B775" s="108" t="s">
        <v>2613</v>
      </c>
      <c r="C775" s="108" t="s">
        <v>2614</v>
      </c>
      <c r="D775" s="109">
        <v>45023</v>
      </c>
      <c r="E775" s="110">
        <v>144000</v>
      </c>
      <c r="F775" s="108" t="s">
        <v>32</v>
      </c>
      <c r="G775" s="108" t="s">
        <v>33</v>
      </c>
      <c r="H775" s="110">
        <v>144000</v>
      </c>
      <c r="I775" s="110">
        <v>53500</v>
      </c>
      <c r="J775" s="111">
        <f t="shared" si="85"/>
        <v>37.152777777777779</v>
      </c>
      <c r="K775" s="110">
        <v>145456</v>
      </c>
      <c r="L775" s="110">
        <f>H775-131424</f>
        <v>12576</v>
      </c>
      <c r="M775" s="110">
        <v>14032</v>
      </c>
      <c r="N775" s="112">
        <f t="shared" si="86"/>
        <v>9.7444444444444445E-2</v>
      </c>
      <c r="O775" s="113">
        <v>62.08</v>
      </c>
      <c r="P775" s="114">
        <v>118.87</v>
      </c>
      <c r="Q775" s="115">
        <v>0.17899999999999999</v>
      </c>
      <c r="R775" s="115">
        <v>0.17899999999999999</v>
      </c>
      <c r="S775" s="110">
        <f t="shared" si="87"/>
        <v>202.57731958762886</v>
      </c>
      <c r="T775" s="110">
        <f t="shared" si="88"/>
        <v>70256.983240223461</v>
      </c>
      <c r="U775" s="116">
        <f t="shared" si="89"/>
        <v>1.6128784031272603</v>
      </c>
      <c r="V775" s="115">
        <v>55.89</v>
      </c>
      <c r="W775" s="115">
        <f t="shared" si="90"/>
        <v>28800</v>
      </c>
      <c r="X775" s="115">
        <f t="shared" si="84"/>
        <v>515.29790660225444</v>
      </c>
      <c r="Y775" s="117" t="s">
        <v>2593</v>
      </c>
      <c r="Z775" s="108" t="s">
        <v>35</v>
      </c>
      <c r="AA775" s="108" t="s">
        <v>35</v>
      </c>
      <c r="AB775" s="108" t="s">
        <v>2594</v>
      </c>
      <c r="AC775" s="108">
        <v>0</v>
      </c>
      <c r="AD775" s="108">
        <v>1</v>
      </c>
      <c r="AE775" s="108" t="s">
        <v>42</v>
      </c>
      <c r="AF775" s="108" t="s">
        <v>43</v>
      </c>
      <c r="AG775" s="108" t="s">
        <v>38</v>
      </c>
      <c r="AH775" s="108" t="s">
        <v>92</v>
      </c>
    </row>
    <row r="776" spans="1:34" x14ac:dyDescent="0.3">
      <c r="A776" s="107" t="s">
        <v>2594</v>
      </c>
      <c r="B776" s="108" t="s">
        <v>2657</v>
      </c>
      <c r="C776" s="108" t="s">
        <v>2658</v>
      </c>
      <c r="D776" s="109">
        <v>45635</v>
      </c>
      <c r="E776" s="110">
        <v>159000</v>
      </c>
      <c r="F776" s="108" t="s">
        <v>32</v>
      </c>
      <c r="G776" s="108" t="s">
        <v>33</v>
      </c>
      <c r="H776" s="110">
        <v>159000</v>
      </c>
      <c r="I776" s="110">
        <v>61900</v>
      </c>
      <c r="J776" s="111">
        <f t="shared" si="85"/>
        <v>38.930817610062896</v>
      </c>
      <c r="K776" s="110">
        <v>140980</v>
      </c>
      <c r="L776" s="110">
        <f>H776-125261</f>
        <v>33739</v>
      </c>
      <c r="M776" s="110">
        <v>15719</v>
      </c>
      <c r="N776" s="112">
        <f t="shared" si="86"/>
        <v>9.8861635220125782E-2</v>
      </c>
      <c r="O776" s="113">
        <v>69.55</v>
      </c>
      <c r="P776" s="114">
        <v>161.25</v>
      </c>
      <c r="Q776" s="115">
        <v>0.222</v>
      </c>
      <c r="R776" s="115">
        <v>0.222</v>
      </c>
      <c r="S776" s="110">
        <f t="shared" si="87"/>
        <v>485.10424155283971</v>
      </c>
      <c r="T776" s="110">
        <f t="shared" si="88"/>
        <v>151977.47747747749</v>
      </c>
      <c r="U776" s="116">
        <f t="shared" si="89"/>
        <v>3.4889228071046254</v>
      </c>
      <c r="V776" s="115">
        <v>60</v>
      </c>
      <c r="W776" s="115">
        <f t="shared" si="90"/>
        <v>31800</v>
      </c>
      <c r="X776" s="115">
        <f t="shared" si="84"/>
        <v>530</v>
      </c>
      <c r="Y776" s="117" t="s">
        <v>2593</v>
      </c>
      <c r="Z776" s="108" t="s">
        <v>35</v>
      </c>
      <c r="AA776" s="108" t="s">
        <v>35</v>
      </c>
      <c r="AB776" s="108" t="s">
        <v>2594</v>
      </c>
      <c r="AC776" s="108">
        <v>0</v>
      </c>
      <c r="AD776" s="108">
        <v>1</v>
      </c>
      <c r="AE776" s="108" t="s">
        <v>42</v>
      </c>
      <c r="AF776" s="108" t="s">
        <v>35</v>
      </c>
      <c r="AG776" s="108" t="s">
        <v>38</v>
      </c>
      <c r="AH776" s="108" t="s">
        <v>92</v>
      </c>
    </row>
    <row r="777" spans="1:34" x14ac:dyDescent="0.3">
      <c r="A777" s="107" t="s">
        <v>2594</v>
      </c>
      <c r="B777" s="108" t="s">
        <v>2640</v>
      </c>
      <c r="C777" s="108" t="s">
        <v>2641</v>
      </c>
      <c r="D777" s="109">
        <v>45244</v>
      </c>
      <c r="E777" s="110">
        <v>165000</v>
      </c>
      <c r="F777" s="108" t="s">
        <v>32</v>
      </c>
      <c r="G777" s="108" t="s">
        <v>33</v>
      </c>
      <c r="H777" s="110">
        <v>165000</v>
      </c>
      <c r="I777" s="110">
        <v>59200</v>
      </c>
      <c r="J777" s="111">
        <f t="shared" si="85"/>
        <v>35.878787878787875</v>
      </c>
      <c r="K777" s="110">
        <v>159956</v>
      </c>
      <c r="L777" s="110">
        <f>H777-145653</f>
        <v>19347</v>
      </c>
      <c r="M777" s="110">
        <v>14303</v>
      </c>
      <c r="N777" s="112">
        <f t="shared" si="86"/>
        <v>8.668484848484849E-2</v>
      </c>
      <c r="O777" s="113">
        <v>63.28</v>
      </c>
      <c r="P777" s="114">
        <v>132.09</v>
      </c>
      <c r="Q777" s="115">
        <v>0.183</v>
      </c>
      <c r="R777" s="115">
        <v>0.183</v>
      </c>
      <c r="S777" s="110">
        <f t="shared" si="87"/>
        <v>305.73640960809104</v>
      </c>
      <c r="T777" s="110">
        <f t="shared" si="88"/>
        <v>105721.31147540984</v>
      </c>
      <c r="U777" s="116">
        <f t="shared" si="89"/>
        <v>2.4270273525117041</v>
      </c>
      <c r="V777" s="115">
        <v>60</v>
      </c>
      <c r="W777" s="115">
        <f t="shared" si="90"/>
        <v>33000</v>
      </c>
      <c r="X777" s="115">
        <f t="shared" si="84"/>
        <v>550</v>
      </c>
      <c r="Y777" s="117" t="s">
        <v>2593</v>
      </c>
      <c r="Z777" s="108" t="s">
        <v>35</v>
      </c>
      <c r="AA777" s="108" t="s">
        <v>35</v>
      </c>
      <c r="AB777" s="108" t="s">
        <v>2594</v>
      </c>
      <c r="AC777" s="108">
        <v>0</v>
      </c>
      <c r="AD777" s="108">
        <v>1</v>
      </c>
      <c r="AE777" s="108" t="s">
        <v>42</v>
      </c>
      <c r="AF777" s="108" t="s">
        <v>43</v>
      </c>
      <c r="AG777" s="108" t="s">
        <v>38</v>
      </c>
      <c r="AH777" s="108" t="s">
        <v>92</v>
      </c>
    </row>
    <row r="778" spans="1:34" x14ac:dyDescent="0.3">
      <c r="A778" s="118" t="s">
        <v>2594</v>
      </c>
      <c r="B778" s="119" t="s">
        <v>2642</v>
      </c>
      <c r="C778" s="119" t="s">
        <v>2643</v>
      </c>
      <c r="D778" s="120">
        <v>45204</v>
      </c>
      <c r="E778" s="121">
        <v>165000</v>
      </c>
      <c r="F778" s="119" t="s">
        <v>32</v>
      </c>
      <c r="G778" s="119" t="s">
        <v>33</v>
      </c>
      <c r="H778" s="121">
        <v>165000</v>
      </c>
      <c r="I778" s="121">
        <v>58400</v>
      </c>
      <c r="J778" s="122">
        <f t="shared" si="85"/>
        <v>35.393939393939391</v>
      </c>
      <c r="K778" s="121">
        <v>157774</v>
      </c>
      <c r="L778" s="121">
        <f>H778-142868</f>
        <v>22132</v>
      </c>
      <c r="M778" s="121">
        <v>14906</v>
      </c>
      <c r="N778" s="123">
        <f t="shared" si="86"/>
        <v>9.0339393939393942E-2</v>
      </c>
      <c r="O778" s="124">
        <v>65.95</v>
      </c>
      <c r="P778" s="125">
        <v>145</v>
      </c>
      <c r="Q778" s="126">
        <v>0.2</v>
      </c>
      <c r="R778" s="126">
        <v>0.2</v>
      </c>
      <c r="S778" s="121">
        <f t="shared" si="87"/>
        <v>335.58756633813493</v>
      </c>
      <c r="T778" s="121">
        <f t="shared" si="88"/>
        <v>110660</v>
      </c>
      <c r="U778" s="127">
        <f t="shared" si="89"/>
        <v>2.5404040404040402</v>
      </c>
      <c r="V778" s="126">
        <v>60</v>
      </c>
      <c r="W778" s="126">
        <f t="shared" si="90"/>
        <v>33000</v>
      </c>
      <c r="X778" s="126">
        <f t="shared" si="84"/>
        <v>550</v>
      </c>
      <c r="Y778" s="128" t="s">
        <v>2593</v>
      </c>
      <c r="Z778" s="119" t="s">
        <v>35</v>
      </c>
      <c r="AA778" s="119" t="s">
        <v>35</v>
      </c>
      <c r="AB778" s="119" t="s">
        <v>2594</v>
      </c>
      <c r="AC778" s="119">
        <v>0</v>
      </c>
      <c r="AD778" s="119">
        <v>1</v>
      </c>
      <c r="AE778" s="119" t="s">
        <v>42</v>
      </c>
      <c r="AF778" s="119" t="s">
        <v>43</v>
      </c>
      <c r="AG778" s="119" t="s">
        <v>38</v>
      </c>
      <c r="AH778" s="119" t="s">
        <v>92</v>
      </c>
    </row>
    <row r="779" spans="1:34" x14ac:dyDescent="0.3">
      <c r="A779" s="107" t="s">
        <v>2594</v>
      </c>
      <c r="B779" s="108" t="s">
        <v>2632</v>
      </c>
      <c r="C779" s="108" t="s">
        <v>2633</v>
      </c>
      <c r="D779" s="109">
        <v>45667</v>
      </c>
      <c r="E779" s="110">
        <v>170500</v>
      </c>
      <c r="F779" s="108" t="s">
        <v>32</v>
      </c>
      <c r="G779" s="108" t="s">
        <v>33</v>
      </c>
      <c r="H779" s="110">
        <v>170500</v>
      </c>
      <c r="I779" s="110">
        <v>69700</v>
      </c>
      <c r="J779" s="111">
        <f t="shared" si="85"/>
        <v>40.879765395894431</v>
      </c>
      <c r="K779" s="110">
        <v>157773</v>
      </c>
      <c r="L779" s="110">
        <f>H779-140891</f>
        <v>29609</v>
      </c>
      <c r="M779" s="110">
        <v>16882</v>
      </c>
      <c r="N779" s="112">
        <f t="shared" si="86"/>
        <v>9.9014662756598246E-2</v>
      </c>
      <c r="O779" s="113">
        <v>74.69</v>
      </c>
      <c r="P779" s="114">
        <v>186</v>
      </c>
      <c r="Q779" s="115">
        <v>0.25600000000000001</v>
      </c>
      <c r="R779" s="115">
        <v>0.25600000000000001</v>
      </c>
      <c r="S779" s="110">
        <f t="shared" si="87"/>
        <v>396.4252242602758</v>
      </c>
      <c r="T779" s="110">
        <f t="shared" si="88"/>
        <v>115660.15625</v>
      </c>
      <c r="U779" s="116">
        <f t="shared" si="89"/>
        <v>2.6551918331037649</v>
      </c>
      <c r="V779" s="115">
        <v>60</v>
      </c>
      <c r="W779" s="115">
        <f t="shared" si="90"/>
        <v>34100</v>
      </c>
      <c r="X779" s="115">
        <f t="shared" si="84"/>
        <v>568.33333333333337</v>
      </c>
      <c r="Y779" s="117" t="s">
        <v>2593</v>
      </c>
      <c r="Z779" s="108" t="s">
        <v>35</v>
      </c>
      <c r="AA779" s="108" t="s">
        <v>35</v>
      </c>
      <c r="AB779" s="108" t="s">
        <v>2594</v>
      </c>
      <c r="AC779" s="108">
        <v>0</v>
      </c>
      <c r="AD779" s="108">
        <v>1</v>
      </c>
      <c r="AE779" s="108" t="s">
        <v>42</v>
      </c>
      <c r="AF779" s="108" t="s">
        <v>35</v>
      </c>
      <c r="AG779" s="108" t="s">
        <v>38</v>
      </c>
      <c r="AH779" s="108" t="s">
        <v>92</v>
      </c>
    </row>
    <row r="780" spans="1:34" x14ac:dyDescent="0.3">
      <c r="A780" s="118" t="s">
        <v>2594</v>
      </c>
      <c r="B780" s="119" t="s">
        <v>2625</v>
      </c>
      <c r="C780" s="119" t="s">
        <v>2626</v>
      </c>
      <c r="D780" s="120">
        <v>45194</v>
      </c>
      <c r="E780" s="121">
        <v>186189</v>
      </c>
      <c r="F780" s="119" t="s">
        <v>32</v>
      </c>
      <c r="G780" s="119" t="s">
        <v>33</v>
      </c>
      <c r="H780" s="121">
        <v>186189</v>
      </c>
      <c r="I780" s="121">
        <v>62600</v>
      </c>
      <c r="J780" s="122">
        <f t="shared" si="85"/>
        <v>33.621749942262966</v>
      </c>
      <c r="K780" s="121">
        <v>168406</v>
      </c>
      <c r="L780" s="121">
        <f>H780-153839</f>
        <v>32350</v>
      </c>
      <c r="M780" s="121">
        <v>14567</v>
      </c>
      <c r="N780" s="123">
        <f t="shared" si="86"/>
        <v>7.8237704697914481E-2</v>
      </c>
      <c r="O780" s="124">
        <v>64.45</v>
      </c>
      <c r="P780" s="125">
        <v>118</v>
      </c>
      <c r="Q780" s="126">
        <v>0.17599999999999999</v>
      </c>
      <c r="R780" s="126">
        <v>0.17599999999999999</v>
      </c>
      <c r="S780" s="121">
        <f t="shared" si="87"/>
        <v>501.93948797517453</v>
      </c>
      <c r="T780" s="121">
        <f t="shared" si="88"/>
        <v>183806.81818181821</v>
      </c>
      <c r="U780" s="127">
        <f t="shared" si="89"/>
        <v>4.2196239252024386</v>
      </c>
      <c r="V780" s="126">
        <v>65</v>
      </c>
      <c r="W780" s="126">
        <f t="shared" si="90"/>
        <v>37237.800000000003</v>
      </c>
      <c r="X780" s="126">
        <f t="shared" ref="X780:X789" si="91">W780/V780</f>
        <v>572.88923076923083</v>
      </c>
      <c r="Y780" s="128" t="s">
        <v>2593</v>
      </c>
      <c r="Z780" s="119" t="s">
        <v>35</v>
      </c>
      <c r="AA780" s="119" t="s">
        <v>35</v>
      </c>
      <c r="AB780" s="119" t="s">
        <v>2594</v>
      </c>
      <c r="AC780" s="119">
        <v>0</v>
      </c>
      <c r="AD780" s="119">
        <v>1</v>
      </c>
      <c r="AE780" s="119" t="s">
        <v>2627</v>
      </c>
      <c r="AF780" s="119" t="s">
        <v>43</v>
      </c>
      <c r="AG780" s="119" t="s">
        <v>38</v>
      </c>
      <c r="AH780" s="119" t="s">
        <v>92</v>
      </c>
    </row>
    <row r="781" spans="1:34" x14ac:dyDescent="0.3">
      <c r="A781" s="118" t="s">
        <v>2594</v>
      </c>
      <c r="B781" s="119" t="s">
        <v>2634</v>
      </c>
      <c r="C781" s="119" t="s">
        <v>2635</v>
      </c>
      <c r="D781" s="120">
        <v>45569</v>
      </c>
      <c r="E781" s="121">
        <v>165000</v>
      </c>
      <c r="F781" s="119" t="s">
        <v>32</v>
      </c>
      <c r="G781" s="119" t="s">
        <v>33</v>
      </c>
      <c r="H781" s="121">
        <v>165000</v>
      </c>
      <c r="I781" s="121">
        <v>75700</v>
      </c>
      <c r="J781" s="122">
        <f t="shared" si="85"/>
        <v>45.878787878787882</v>
      </c>
      <c r="K781" s="121">
        <v>170804</v>
      </c>
      <c r="L781" s="121">
        <f>H781-152759</f>
        <v>12241</v>
      </c>
      <c r="M781" s="121">
        <v>18045</v>
      </c>
      <c r="N781" s="123">
        <f t="shared" si="86"/>
        <v>0.10936363636363636</v>
      </c>
      <c r="O781" s="124">
        <v>79.84</v>
      </c>
      <c r="P781" s="125">
        <v>183.88</v>
      </c>
      <c r="Q781" s="126">
        <v>0.28799999999999998</v>
      </c>
      <c r="R781" s="126">
        <v>0.28799999999999998</v>
      </c>
      <c r="S781" s="121">
        <f t="shared" si="87"/>
        <v>153.3191382765531</v>
      </c>
      <c r="T781" s="121">
        <f t="shared" si="88"/>
        <v>42503.472222222226</v>
      </c>
      <c r="U781" s="127">
        <f t="shared" si="89"/>
        <v>0.9757454596469749</v>
      </c>
      <c r="V781" s="126">
        <v>56.91</v>
      </c>
      <c r="W781" s="126">
        <f t="shared" si="90"/>
        <v>33000</v>
      </c>
      <c r="X781" s="126">
        <f t="shared" si="91"/>
        <v>579.8629414865577</v>
      </c>
      <c r="Y781" s="128" t="s">
        <v>2593</v>
      </c>
      <c r="Z781" s="119" t="s">
        <v>35</v>
      </c>
      <c r="AA781" s="119" t="s">
        <v>35</v>
      </c>
      <c r="AB781" s="119" t="s">
        <v>2594</v>
      </c>
      <c r="AC781" s="119">
        <v>0</v>
      </c>
      <c r="AD781" s="119">
        <v>1</v>
      </c>
      <c r="AE781" s="119" t="s">
        <v>2530</v>
      </c>
      <c r="AF781" s="119" t="s">
        <v>43</v>
      </c>
      <c r="AG781" s="119" t="s">
        <v>38</v>
      </c>
      <c r="AH781" s="119" t="s">
        <v>92</v>
      </c>
    </row>
    <row r="782" spans="1:34" x14ac:dyDescent="0.3">
      <c r="A782" s="107" t="s">
        <v>2594</v>
      </c>
      <c r="B782" s="108" t="s">
        <v>2599</v>
      </c>
      <c r="C782" s="108" t="s">
        <v>2600</v>
      </c>
      <c r="D782" s="109">
        <v>45630</v>
      </c>
      <c r="E782" s="110">
        <v>170000</v>
      </c>
      <c r="F782" s="108" t="s">
        <v>32</v>
      </c>
      <c r="G782" s="108" t="s">
        <v>33</v>
      </c>
      <c r="H782" s="110">
        <v>170000</v>
      </c>
      <c r="I782" s="110">
        <v>34600</v>
      </c>
      <c r="J782" s="111">
        <f t="shared" si="85"/>
        <v>20.352941176470587</v>
      </c>
      <c r="K782" s="110">
        <v>146442</v>
      </c>
      <c r="L782" s="110">
        <f>H782-132843</f>
        <v>37157</v>
      </c>
      <c r="M782" s="110">
        <v>13599</v>
      </c>
      <c r="N782" s="112">
        <f t="shared" si="86"/>
        <v>7.9994117647058827E-2</v>
      </c>
      <c r="O782" s="113">
        <v>60.17</v>
      </c>
      <c r="P782" s="114">
        <v>120.36</v>
      </c>
      <c r="Q782" s="115">
        <v>0.16800000000000001</v>
      </c>
      <c r="R782" s="115">
        <v>0.16800000000000001</v>
      </c>
      <c r="S782" s="110">
        <f t="shared" si="87"/>
        <v>617.53365464517196</v>
      </c>
      <c r="T782" s="110">
        <f t="shared" si="88"/>
        <v>221172.61904761902</v>
      </c>
      <c r="U782" s="116">
        <f t="shared" si="89"/>
        <v>5.0774246796974065</v>
      </c>
      <c r="V782" s="115">
        <v>58.3</v>
      </c>
      <c r="W782" s="115">
        <f t="shared" si="90"/>
        <v>34000</v>
      </c>
      <c r="X782" s="115">
        <f t="shared" si="91"/>
        <v>583.19039451114929</v>
      </c>
      <c r="Y782" s="117" t="s">
        <v>2593</v>
      </c>
      <c r="Z782" s="108" t="s">
        <v>35</v>
      </c>
      <c r="AA782" s="108" t="s">
        <v>35</v>
      </c>
      <c r="AB782" s="108" t="s">
        <v>2594</v>
      </c>
      <c r="AC782" s="108">
        <v>0</v>
      </c>
      <c r="AD782" s="108">
        <v>1</v>
      </c>
      <c r="AE782" s="108" t="s">
        <v>42</v>
      </c>
      <c r="AF782" s="108" t="s">
        <v>35</v>
      </c>
      <c r="AG782" s="108" t="s">
        <v>38</v>
      </c>
      <c r="AH782" s="108" t="s">
        <v>92</v>
      </c>
    </row>
    <row r="783" spans="1:34" x14ac:dyDescent="0.3">
      <c r="A783" s="107" t="s">
        <v>2594</v>
      </c>
      <c r="B783" s="108" t="s">
        <v>2638</v>
      </c>
      <c r="C783" s="108" t="s">
        <v>2639</v>
      </c>
      <c r="D783" s="109">
        <v>45688</v>
      </c>
      <c r="E783" s="110">
        <v>205000</v>
      </c>
      <c r="F783" s="108" t="s">
        <v>32</v>
      </c>
      <c r="G783" s="108" t="s">
        <v>33</v>
      </c>
      <c r="H783" s="110">
        <v>205000</v>
      </c>
      <c r="I783" s="110">
        <v>81400</v>
      </c>
      <c r="J783" s="111">
        <f t="shared" si="85"/>
        <v>39.707317073170735</v>
      </c>
      <c r="K783" s="110">
        <v>180853</v>
      </c>
      <c r="L783" s="110">
        <f>H783-164603</f>
        <v>40397</v>
      </c>
      <c r="M783" s="110">
        <v>16250</v>
      </c>
      <c r="N783" s="112">
        <f t="shared" si="86"/>
        <v>7.926829268292683E-2</v>
      </c>
      <c r="O783" s="113">
        <v>71.900000000000006</v>
      </c>
      <c r="P783" s="114">
        <v>167.76</v>
      </c>
      <c r="Q783" s="115">
        <v>0.23599999999999999</v>
      </c>
      <c r="R783" s="115">
        <v>0.23599999999999999</v>
      </c>
      <c r="S783" s="110">
        <f t="shared" si="87"/>
        <v>561.84979137691232</v>
      </c>
      <c r="T783" s="110">
        <f t="shared" si="88"/>
        <v>171173.72881355934</v>
      </c>
      <c r="U783" s="116">
        <f t="shared" si="89"/>
        <v>3.9296080994848333</v>
      </c>
      <c r="V783" s="115">
        <v>60</v>
      </c>
      <c r="W783" s="115">
        <f t="shared" si="90"/>
        <v>41000</v>
      </c>
      <c r="X783" s="115">
        <f t="shared" si="91"/>
        <v>683.33333333333337</v>
      </c>
      <c r="Y783" s="117" t="s">
        <v>2593</v>
      </c>
      <c r="Z783" s="108" t="s">
        <v>35</v>
      </c>
      <c r="AA783" s="108" t="s">
        <v>35</v>
      </c>
      <c r="AB783" s="108" t="s">
        <v>2594</v>
      </c>
      <c r="AC783" s="108">
        <v>0</v>
      </c>
      <c r="AD783" s="108">
        <v>1</v>
      </c>
      <c r="AE783" s="108" t="s">
        <v>412</v>
      </c>
      <c r="AF783" s="108" t="s">
        <v>35</v>
      </c>
      <c r="AG783" s="108" t="s">
        <v>38</v>
      </c>
      <c r="AH783" s="108" t="s">
        <v>92</v>
      </c>
    </row>
    <row r="784" spans="1:34" x14ac:dyDescent="0.3">
      <c r="A784" s="118" t="s">
        <v>2594</v>
      </c>
      <c r="B784" s="119" t="s">
        <v>2650</v>
      </c>
      <c r="C784" s="119" t="s">
        <v>2651</v>
      </c>
      <c r="D784" s="120">
        <v>45485</v>
      </c>
      <c r="E784" s="121">
        <v>151000</v>
      </c>
      <c r="F784" s="119" t="s">
        <v>32</v>
      </c>
      <c r="G784" s="119" t="s">
        <v>33</v>
      </c>
      <c r="H784" s="121">
        <v>151000</v>
      </c>
      <c r="I784" s="121">
        <v>54000</v>
      </c>
      <c r="J784" s="122">
        <f t="shared" si="85"/>
        <v>35.76158940397351</v>
      </c>
      <c r="K784" s="121">
        <v>122990</v>
      </c>
      <c r="L784" s="121">
        <f>H784-114557</f>
        <v>36443</v>
      </c>
      <c r="M784" s="121">
        <v>8433</v>
      </c>
      <c r="N784" s="123">
        <f t="shared" si="86"/>
        <v>5.5847682119205301E-2</v>
      </c>
      <c r="O784" s="124">
        <v>37.31</v>
      </c>
      <c r="P784" s="125">
        <v>110.37</v>
      </c>
      <c r="Q784" s="126">
        <v>9.9000000000000005E-2</v>
      </c>
      <c r="R784" s="126">
        <v>9.9000000000000005E-2</v>
      </c>
      <c r="S784" s="121">
        <f t="shared" si="87"/>
        <v>976.76226212811571</v>
      </c>
      <c r="T784" s="121">
        <f t="shared" si="88"/>
        <v>368111.11111111107</v>
      </c>
      <c r="U784" s="127">
        <f t="shared" si="89"/>
        <v>8.450668299153147</v>
      </c>
      <c r="V784" s="126">
        <v>38.909999999999997</v>
      </c>
      <c r="W784" s="126">
        <f t="shared" si="90"/>
        <v>30200</v>
      </c>
      <c r="X784" s="126">
        <f t="shared" si="91"/>
        <v>776.15008995116943</v>
      </c>
      <c r="Y784" s="128" t="s">
        <v>2593</v>
      </c>
      <c r="Z784" s="119" t="s">
        <v>35</v>
      </c>
      <c r="AA784" s="119" t="s">
        <v>35</v>
      </c>
      <c r="AB784" s="119" t="s">
        <v>2594</v>
      </c>
      <c r="AC784" s="119">
        <v>0</v>
      </c>
      <c r="AD784" s="119">
        <v>1</v>
      </c>
      <c r="AE784" s="119" t="s">
        <v>42</v>
      </c>
      <c r="AF784" s="119" t="s">
        <v>2652</v>
      </c>
      <c r="AG784" s="119" t="s">
        <v>38</v>
      </c>
      <c r="AH784" s="119" t="s">
        <v>92</v>
      </c>
    </row>
    <row r="785" spans="1:34" x14ac:dyDescent="0.3">
      <c r="A785" s="107" t="s">
        <v>2594</v>
      </c>
      <c r="B785" s="108" t="s">
        <v>2646</v>
      </c>
      <c r="C785" s="108" t="s">
        <v>2647</v>
      </c>
      <c r="D785" s="109">
        <v>45386</v>
      </c>
      <c r="E785" s="110">
        <v>200000</v>
      </c>
      <c r="F785" s="108" t="s">
        <v>32</v>
      </c>
      <c r="G785" s="108" t="s">
        <v>33</v>
      </c>
      <c r="H785" s="110">
        <v>200000</v>
      </c>
      <c r="I785" s="110">
        <v>81900</v>
      </c>
      <c r="J785" s="111">
        <f t="shared" si="85"/>
        <v>40.949999999999996</v>
      </c>
      <c r="K785" s="110">
        <v>184744</v>
      </c>
      <c r="L785" s="110">
        <f>H785-170127</f>
        <v>29873</v>
      </c>
      <c r="M785" s="110">
        <v>14617</v>
      </c>
      <c r="N785" s="112">
        <f t="shared" si="86"/>
        <v>7.3084999999999997E-2</v>
      </c>
      <c r="O785" s="113">
        <v>64.67</v>
      </c>
      <c r="P785" s="114">
        <v>115</v>
      </c>
      <c r="Q785" s="115">
        <v>0.19800000000000001</v>
      </c>
      <c r="R785" s="115">
        <v>0.19800000000000001</v>
      </c>
      <c r="S785" s="110">
        <f t="shared" si="87"/>
        <v>461.92979743312202</v>
      </c>
      <c r="T785" s="110">
        <f t="shared" si="88"/>
        <v>150873.73737373736</v>
      </c>
      <c r="U785" s="116">
        <f t="shared" si="89"/>
        <v>3.463584420884696</v>
      </c>
      <c r="V785" s="115">
        <v>48</v>
      </c>
      <c r="W785" s="115">
        <f t="shared" si="90"/>
        <v>40000</v>
      </c>
      <c r="X785" s="115">
        <f t="shared" si="91"/>
        <v>833.33333333333337</v>
      </c>
      <c r="Y785" s="117" t="s">
        <v>2593</v>
      </c>
      <c r="Z785" s="108" t="s">
        <v>35</v>
      </c>
      <c r="AA785" s="108" t="s">
        <v>35</v>
      </c>
      <c r="AB785" s="108" t="s">
        <v>2594</v>
      </c>
      <c r="AC785" s="108">
        <v>0</v>
      </c>
      <c r="AD785" s="108">
        <v>1</v>
      </c>
      <c r="AE785" s="108" t="s">
        <v>412</v>
      </c>
      <c r="AF785" s="108" t="s">
        <v>43</v>
      </c>
      <c r="AG785" s="108" t="s">
        <v>38</v>
      </c>
      <c r="AH785" s="108" t="s">
        <v>92</v>
      </c>
    </row>
    <row r="786" spans="1:34" x14ac:dyDescent="0.3">
      <c r="A786" s="107" t="s">
        <v>2664</v>
      </c>
      <c r="B786" s="108" t="s">
        <v>2773</v>
      </c>
      <c r="C786" s="108" t="s">
        <v>2774</v>
      </c>
      <c r="D786" s="109">
        <v>45637</v>
      </c>
      <c r="E786" s="110">
        <v>135000</v>
      </c>
      <c r="F786" s="108" t="s">
        <v>32</v>
      </c>
      <c r="G786" s="108" t="s">
        <v>33</v>
      </c>
      <c r="H786" s="110">
        <v>135000</v>
      </c>
      <c r="I786" s="110">
        <v>45300</v>
      </c>
      <c r="J786" s="111">
        <f t="shared" si="85"/>
        <v>33.555555555555557</v>
      </c>
      <c r="K786" s="110">
        <v>80633</v>
      </c>
      <c r="L786" s="110">
        <f>H786-60233</f>
        <v>74767</v>
      </c>
      <c r="M786" s="110">
        <v>20400</v>
      </c>
      <c r="N786" s="112">
        <f t="shared" si="86"/>
        <v>0.15111111111111111</v>
      </c>
      <c r="O786" s="113">
        <v>100</v>
      </c>
      <c r="P786" s="114">
        <v>379</v>
      </c>
      <c r="Q786" s="115">
        <v>0.87</v>
      </c>
      <c r="R786" s="115">
        <v>0.87</v>
      </c>
      <c r="S786" s="110">
        <f t="shared" si="87"/>
        <v>747.67</v>
      </c>
      <c r="T786" s="110">
        <f t="shared" si="88"/>
        <v>85939.080459770121</v>
      </c>
      <c r="U786" s="116">
        <f t="shared" si="89"/>
        <v>1.9728898177174041</v>
      </c>
      <c r="V786" s="115">
        <v>100</v>
      </c>
      <c r="W786" s="115">
        <f t="shared" si="90"/>
        <v>27000</v>
      </c>
      <c r="X786" s="115">
        <f t="shared" si="91"/>
        <v>270</v>
      </c>
      <c r="Y786" s="117" t="s">
        <v>2663</v>
      </c>
      <c r="Z786" s="108" t="s">
        <v>35</v>
      </c>
      <c r="AA786" s="108" t="s">
        <v>35</v>
      </c>
      <c r="AB786" s="108" t="s">
        <v>2664</v>
      </c>
      <c r="AC786" s="108">
        <v>0</v>
      </c>
      <c r="AD786" s="108">
        <v>0</v>
      </c>
      <c r="AE786" s="108" t="s">
        <v>37</v>
      </c>
      <c r="AF786" s="108" t="s">
        <v>35</v>
      </c>
      <c r="AG786" s="108" t="s">
        <v>38</v>
      </c>
      <c r="AH786" s="108" t="s">
        <v>1830</v>
      </c>
    </row>
    <row r="787" spans="1:34" x14ac:dyDescent="0.3">
      <c r="A787" s="118" t="s">
        <v>2664</v>
      </c>
      <c r="B787" s="119" t="s">
        <v>2778</v>
      </c>
      <c r="C787" s="119" t="s">
        <v>2779</v>
      </c>
      <c r="D787" s="120">
        <v>45560</v>
      </c>
      <c r="E787" s="121">
        <v>237500</v>
      </c>
      <c r="F787" s="119" t="s">
        <v>32</v>
      </c>
      <c r="G787" s="119" t="s">
        <v>33</v>
      </c>
      <c r="H787" s="121">
        <v>237500</v>
      </c>
      <c r="I787" s="121">
        <v>61500</v>
      </c>
      <c r="J787" s="122">
        <f t="shared" si="85"/>
        <v>25.894736842105264</v>
      </c>
      <c r="K787" s="121">
        <v>107604</v>
      </c>
      <c r="L787" s="121">
        <f>H787-83893</f>
        <v>153607</v>
      </c>
      <c r="M787" s="121">
        <v>23711</v>
      </c>
      <c r="N787" s="123">
        <f t="shared" si="86"/>
        <v>9.9835789473684211E-2</v>
      </c>
      <c r="O787" s="124">
        <v>116.22</v>
      </c>
      <c r="P787" s="125">
        <v>200</v>
      </c>
      <c r="Q787" s="126">
        <v>0.76</v>
      </c>
      <c r="R787" s="126">
        <v>0.73499999999999999</v>
      </c>
      <c r="S787" s="121">
        <f t="shared" si="87"/>
        <v>1321.6916193426262</v>
      </c>
      <c r="T787" s="121">
        <f t="shared" si="88"/>
        <v>202114.47368421053</v>
      </c>
      <c r="U787" s="127">
        <f t="shared" si="89"/>
        <v>4.6399098641921608</v>
      </c>
      <c r="V787" s="126">
        <v>160</v>
      </c>
      <c r="W787" s="126">
        <f t="shared" si="90"/>
        <v>47500</v>
      </c>
      <c r="X787" s="126">
        <f t="shared" si="91"/>
        <v>296.875</v>
      </c>
      <c r="Y787" s="128" t="s">
        <v>2663</v>
      </c>
      <c r="Z787" s="119" t="s">
        <v>35</v>
      </c>
      <c r="AA787" s="119" t="s">
        <v>35</v>
      </c>
      <c r="AB787" s="119" t="s">
        <v>2664</v>
      </c>
      <c r="AC787" s="119">
        <v>0</v>
      </c>
      <c r="AD787" s="119">
        <v>0</v>
      </c>
      <c r="AE787" s="119" t="s">
        <v>37</v>
      </c>
      <c r="AF787" s="119" t="s">
        <v>43</v>
      </c>
      <c r="AG787" s="119" t="s">
        <v>38</v>
      </c>
      <c r="AH787" s="119" t="s">
        <v>1830</v>
      </c>
    </row>
    <row r="788" spans="1:34" x14ac:dyDescent="0.3">
      <c r="A788" s="118" t="s">
        <v>2664</v>
      </c>
      <c r="B788" s="119" t="s">
        <v>2780</v>
      </c>
      <c r="C788" s="119" t="s">
        <v>2781</v>
      </c>
      <c r="D788" s="120">
        <v>45401</v>
      </c>
      <c r="E788" s="121">
        <v>172000</v>
      </c>
      <c r="F788" s="119" t="s">
        <v>32</v>
      </c>
      <c r="G788" s="119" t="s">
        <v>33</v>
      </c>
      <c r="H788" s="121">
        <v>172000</v>
      </c>
      <c r="I788" s="121">
        <v>52100</v>
      </c>
      <c r="J788" s="122">
        <f t="shared" si="85"/>
        <v>30.290697674418603</v>
      </c>
      <c r="K788" s="121">
        <v>92869</v>
      </c>
      <c r="L788" s="121">
        <f>H788-72030</f>
        <v>99970</v>
      </c>
      <c r="M788" s="121">
        <v>20839</v>
      </c>
      <c r="N788" s="123">
        <f t="shared" si="86"/>
        <v>0.12115697674418605</v>
      </c>
      <c r="O788" s="124">
        <v>102.14</v>
      </c>
      <c r="P788" s="125">
        <v>403.5</v>
      </c>
      <c r="Q788" s="126">
        <v>0.91700000000000004</v>
      </c>
      <c r="R788" s="126">
        <v>0.91700000000000004</v>
      </c>
      <c r="S788" s="121">
        <f t="shared" si="87"/>
        <v>978.75465047973364</v>
      </c>
      <c r="T788" s="121">
        <f t="shared" si="88"/>
        <v>109018.5387131952</v>
      </c>
      <c r="U788" s="127">
        <f t="shared" si="89"/>
        <v>2.5027212744076035</v>
      </c>
      <c r="V788" s="126">
        <v>99</v>
      </c>
      <c r="W788" s="126">
        <f t="shared" si="90"/>
        <v>34400</v>
      </c>
      <c r="X788" s="126">
        <f t="shared" si="91"/>
        <v>347.47474747474746</v>
      </c>
      <c r="Y788" s="128" t="s">
        <v>2663</v>
      </c>
      <c r="Z788" s="119" t="s">
        <v>35</v>
      </c>
      <c r="AA788" s="119" t="s">
        <v>35</v>
      </c>
      <c r="AB788" s="119" t="s">
        <v>2664</v>
      </c>
      <c r="AC788" s="119">
        <v>0</v>
      </c>
      <c r="AD788" s="119">
        <v>1</v>
      </c>
      <c r="AE788" s="119" t="s">
        <v>412</v>
      </c>
      <c r="AF788" s="119" t="s">
        <v>43</v>
      </c>
      <c r="AG788" s="119" t="s">
        <v>38</v>
      </c>
      <c r="AH788" s="119" t="s">
        <v>1830</v>
      </c>
    </row>
    <row r="789" spans="1:34" x14ac:dyDescent="0.3">
      <c r="A789" s="107" t="s">
        <v>2664</v>
      </c>
      <c r="B789" s="108" t="s">
        <v>2775</v>
      </c>
      <c r="C789" s="108" t="s">
        <v>2776</v>
      </c>
      <c r="D789" s="109">
        <v>45475</v>
      </c>
      <c r="E789" s="110">
        <v>315000</v>
      </c>
      <c r="F789" s="108" t="s">
        <v>32</v>
      </c>
      <c r="G789" s="108" t="s">
        <v>33</v>
      </c>
      <c r="H789" s="110">
        <v>315000</v>
      </c>
      <c r="I789" s="110">
        <v>57400</v>
      </c>
      <c r="J789" s="111">
        <f t="shared" si="85"/>
        <v>18.222222222222221</v>
      </c>
      <c r="K789" s="110">
        <v>153731</v>
      </c>
      <c r="L789" s="110">
        <f>H789-128566</f>
        <v>186434</v>
      </c>
      <c r="M789" s="110">
        <v>25165</v>
      </c>
      <c r="N789" s="112">
        <f t="shared" si="86"/>
        <v>7.9888888888888884E-2</v>
      </c>
      <c r="O789" s="113">
        <v>100.08</v>
      </c>
      <c r="P789" s="114">
        <v>379.62</v>
      </c>
      <c r="Q789" s="115">
        <v>1.31</v>
      </c>
      <c r="R789" s="115">
        <v>0.871</v>
      </c>
      <c r="S789" s="110">
        <f t="shared" si="87"/>
        <v>1862.8497202238209</v>
      </c>
      <c r="T789" s="110">
        <f t="shared" si="88"/>
        <v>142316.03053435113</v>
      </c>
      <c r="U789" s="116">
        <f t="shared" si="89"/>
        <v>3.2671265044616882</v>
      </c>
      <c r="V789" s="115">
        <v>100</v>
      </c>
      <c r="W789" s="115">
        <f t="shared" si="90"/>
        <v>63000</v>
      </c>
      <c r="X789" s="115">
        <f t="shared" si="91"/>
        <v>630</v>
      </c>
      <c r="Y789" s="117" t="s">
        <v>2663</v>
      </c>
      <c r="Z789" s="108" t="s">
        <v>35</v>
      </c>
      <c r="AA789" s="108" t="s">
        <v>2777</v>
      </c>
      <c r="AB789" s="108" t="s">
        <v>2664</v>
      </c>
      <c r="AC789" s="108">
        <v>0</v>
      </c>
      <c r="AD789" s="108">
        <v>0</v>
      </c>
      <c r="AE789" s="108" t="s">
        <v>42</v>
      </c>
      <c r="AF789" s="108" t="s">
        <v>43</v>
      </c>
      <c r="AG789" s="108" t="s">
        <v>38</v>
      </c>
      <c r="AH789" s="108" t="s">
        <v>1830</v>
      </c>
    </row>
    <row r="790" spans="1:34" x14ac:dyDescent="0.3">
      <c r="A790" s="107" t="s">
        <v>2664</v>
      </c>
      <c r="B790" s="108" t="s">
        <v>2665</v>
      </c>
      <c r="C790" s="108" t="s">
        <v>2666</v>
      </c>
      <c r="D790" s="109">
        <v>45181</v>
      </c>
      <c r="E790" s="110">
        <v>300000</v>
      </c>
      <c r="F790" s="108" t="s">
        <v>32</v>
      </c>
      <c r="G790" s="108" t="s">
        <v>33</v>
      </c>
      <c r="H790" s="110">
        <v>300000</v>
      </c>
      <c r="I790" s="110">
        <v>69500</v>
      </c>
      <c r="J790" s="111">
        <f t="shared" si="85"/>
        <v>23.166666666666664</v>
      </c>
      <c r="K790" s="110">
        <v>136661</v>
      </c>
      <c r="L790" s="110">
        <f>H790-96461</f>
        <v>203539</v>
      </c>
      <c r="M790" s="110">
        <v>40200</v>
      </c>
      <c r="N790" s="112">
        <f t="shared" si="86"/>
        <v>0.13400000000000001</v>
      </c>
      <c r="O790" s="113">
        <v>0</v>
      </c>
      <c r="P790" s="114">
        <v>0</v>
      </c>
      <c r="Q790" s="115">
        <v>2.0099999999999998</v>
      </c>
      <c r="R790" s="115">
        <v>2.0099999999999998</v>
      </c>
      <c r="S790" s="110" t="e">
        <f t="shared" si="87"/>
        <v>#DIV/0!</v>
      </c>
      <c r="T790" s="110">
        <f t="shared" si="88"/>
        <v>101263.184079602</v>
      </c>
      <c r="U790" s="116">
        <f t="shared" si="89"/>
        <v>2.3246828301102385</v>
      </c>
      <c r="V790" s="115">
        <v>0</v>
      </c>
      <c r="W790" s="115">
        <f t="shared" si="90"/>
        <v>60000</v>
      </c>
      <c r="X790" s="115"/>
      <c r="Y790" s="117" t="s">
        <v>2663</v>
      </c>
      <c r="Z790" s="108" t="s">
        <v>35</v>
      </c>
      <c r="AA790" s="108" t="s">
        <v>35</v>
      </c>
      <c r="AB790" s="108" t="s">
        <v>2664</v>
      </c>
      <c r="AC790" s="108">
        <v>0</v>
      </c>
      <c r="AD790" s="108">
        <v>0</v>
      </c>
      <c r="AE790" s="108" t="s">
        <v>42</v>
      </c>
      <c r="AF790" s="108" t="s">
        <v>43</v>
      </c>
      <c r="AG790" s="108" t="s">
        <v>38</v>
      </c>
      <c r="AH790" s="108"/>
    </row>
    <row r="791" spans="1:34" x14ac:dyDescent="0.3">
      <c r="A791" s="118" t="s">
        <v>2664</v>
      </c>
      <c r="B791" s="119" t="s">
        <v>2661</v>
      </c>
      <c r="C791" s="119" t="s">
        <v>2662</v>
      </c>
      <c r="D791" s="120">
        <v>45048</v>
      </c>
      <c r="E791" s="121">
        <v>65000</v>
      </c>
      <c r="F791" s="119" t="s">
        <v>32</v>
      </c>
      <c r="G791" s="119" t="s">
        <v>33</v>
      </c>
      <c r="H791" s="121">
        <v>65000</v>
      </c>
      <c r="I791" s="121">
        <v>35800</v>
      </c>
      <c r="J791" s="122">
        <f t="shared" si="85"/>
        <v>55.07692307692308</v>
      </c>
      <c r="K791" s="121">
        <v>95400</v>
      </c>
      <c r="L791" s="121">
        <f>H791-0</f>
        <v>65000</v>
      </c>
      <c r="M791" s="121">
        <v>95400</v>
      </c>
      <c r="N791" s="123">
        <f t="shared" si="86"/>
        <v>1.4676923076923076</v>
      </c>
      <c r="O791" s="124">
        <v>0</v>
      </c>
      <c r="P791" s="125">
        <v>0</v>
      </c>
      <c r="Q791" s="126">
        <v>4.7699999999999996</v>
      </c>
      <c r="R791" s="126">
        <v>4.7699999999999996</v>
      </c>
      <c r="S791" s="121" t="e">
        <f t="shared" si="87"/>
        <v>#DIV/0!</v>
      </c>
      <c r="T791" s="121">
        <f t="shared" si="88"/>
        <v>13626.834381551364</v>
      </c>
      <c r="U791" s="127">
        <f t="shared" si="89"/>
        <v>0.31282907212009559</v>
      </c>
      <c r="V791" s="126">
        <v>0</v>
      </c>
      <c r="W791" s="126">
        <f t="shared" si="90"/>
        <v>13000</v>
      </c>
      <c r="X791" s="126"/>
      <c r="Y791" s="128" t="s">
        <v>2663</v>
      </c>
      <c r="Z791" s="119" t="s">
        <v>35</v>
      </c>
      <c r="AA791" s="119" t="s">
        <v>35</v>
      </c>
      <c r="AB791" s="119" t="s">
        <v>2664</v>
      </c>
      <c r="AC791" s="119">
        <v>0</v>
      </c>
      <c r="AD791" s="119">
        <v>0</v>
      </c>
      <c r="AE791" s="119" t="s">
        <v>37</v>
      </c>
      <c r="AF791" s="119" t="s">
        <v>43</v>
      </c>
      <c r="AG791" s="119" t="s">
        <v>61</v>
      </c>
      <c r="AH791" s="119"/>
    </row>
    <row r="792" spans="1:34" x14ac:dyDescent="0.3">
      <c r="A792" s="107" t="s">
        <v>2846</v>
      </c>
      <c r="B792" s="108" t="s">
        <v>2863</v>
      </c>
      <c r="C792" s="108" t="s">
        <v>2864</v>
      </c>
      <c r="D792" s="109">
        <v>45441</v>
      </c>
      <c r="E792" s="110">
        <v>12000</v>
      </c>
      <c r="F792" s="108" t="s">
        <v>32</v>
      </c>
      <c r="G792" s="108" t="s">
        <v>66</v>
      </c>
      <c r="H792" s="110">
        <v>12000</v>
      </c>
      <c r="I792" s="110">
        <v>10000</v>
      </c>
      <c r="J792" s="111">
        <f t="shared" si="85"/>
        <v>83.333333333333343</v>
      </c>
      <c r="K792" s="110">
        <v>19954</v>
      </c>
      <c r="L792" s="110">
        <f>H792-0</f>
        <v>12000</v>
      </c>
      <c r="M792" s="110">
        <v>19954</v>
      </c>
      <c r="N792" s="112">
        <f t="shared" si="86"/>
        <v>1.6628333333333334</v>
      </c>
      <c r="O792" s="113">
        <v>124.7</v>
      </c>
      <c r="P792" s="114">
        <v>270</v>
      </c>
      <c r="Q792" s="115">
        <v>0.372</v>
      </c>
      <c r="R792" s="115">
        <v>0.186</v>
      </c>
      <c r="S792" s="110">
        <f t="shared" si="87"/>
        <v>96.230954290296708</v>
      </c>
      <c r="T792" s="110">
        <f t="shared" si="88"/>
        <v>32258.064516129034</v>
      </c>
      <c r="U792" s="116">
        <f t="shared" si="89"/>
        <v>0.74054326253739744</v>
      </c>
      <c r="V792" s="115">
        <v>120</v>
      </c>
      <c r="W792" s="115">
        <f t="shared" si="90"/>
        <v>2400</v>
      </c>
      <c r="X792" s="115">
        <f t="shared" ref="X792:X846" si="92">W792/V792</f>
        <v>20</v>
      </c>
      <c r="Y792" s="117" t="s">
        <v>2845</v>
      </c>
      <c r="Z792" s="108" t="s">
        <v>35</v>
      </c>
      <c r="AA792" s="108" t="s">
        <v>2865</v>
      </c>
      <c r="AB792" s="108" t="s">
        <v>2846</v>
      </c>
      <c r="AC792" s="108">
        <v>0</v>
      </c>
      <c r="AD792" s="108">
        <v>0</v>
      </c>
      <c r="AE792" s="108" t="s">
        <v>2866</v>
      </c>
      <c r="AF792" s="108" t="s">
        <v>43</v>
      </c>
      <c r="AG792" s="108" t="s">
        <v>61</v>
      </c>
      <c r="AH792" s="108" t="s">
        <v>92</v>
      </c>
    </row>
    <row r="793" spans="1:34" x14ac:dyDescent="0.3">
      <c r="A793" s="118" t="s">
        <v>2846</v>
      </c>
      <c r="B793" s="119" t="s">
        <v>2871</v>
      </c>
      <c r="C793" s="119" t="s">
        <v>2872</v>
      </c>
      <c r="D793" s="120">
        <v>45538</v>
      </c>
      <c r="E793" s="121">
        <v>197000</v>
      </c>
      <c r="F793" s="119" t="s">
        <v>32</v>
      </c>
      <c r="G793" s="119" t="s">
        <v>33</v>
      </c>
      <c r="H793" s="121">
        <v>197000</v>
      </c>
      <c r="I793" s="121">
        <v>75300</v>
      </c>
      <c r="J793" s="122">
        <f t="shared" si="85"/>
        <v>38.223350253807112</v>
      </c>
      <c r="K793" s="121">
        <v>161957</v>
      </c>
      <c r="L793" s="121">
        <f>H793-135353</f>
        <v>61647</v>
      </c>
      <c r="M793" s="121">
        <v>26604</v>
      </c>
      <c r="N793" s="123">
        <f t="shared" si="86"/>
        <v>0.13504568527918781</v>
      </c>
      <c r="O793" s="124">
        <v>166.27</v>
      </c>
      <c r="P793" s="125">
        <v>135</v>
      </c>
      <c r="Q793" s="126">
        <v>0.496</v>
      </c>
      <c r="R793" s="126">
        <v>0.496</v>
      </c>
      <c r="S793" s="121">
        <f t="shared" si="87"/>
        <v>370.76441931797677</v>
      </c>
      <c r="T793" s="121">
        <f t="shared" si="88"/>
        <v>124288.30645161291</v>
      </c>
      <c r="U793" s="127">
        <f t="shared" si="89"/>
        <v>2.8532669066026837</v>
      </c>
      <c r="V793" s="126">
        <v>160</v>
      </c>
      <c r="W793" s="126">
        <f t="shared" si="90"/>
        <v>39400</v>
      </c>
      <c r="X793" s="126">
        <f t="shared" si="92"/>
        <v>246.25</v>
      </c>
      <c r="Y793" s="128" t="s">
        <v>2845</v>
      </c>
      <c r="Z793" s="119" t="s">
        <v>35</v>
      </c>
      <c r="AA793" s="119" t="s">
        <v>35</v>
      </c>
      <c r="AB793" s="119" t="s">
        <v>2846</v>
      </c>
      <c r="AC793" s="119">
        <v>0</v>
      </c>
      <c r="AD793" s="119">
        <v>1</v>
      </c>
      <c r="AE793" s="119" t="s">
        <v>1968</v>
      </c>
      <c r="AF793" s="119" t="s">
        <v>43</v>
      </c>
      <c r="AG793" s="119" t="s">
        <v>38</v>
      </c>
      <c r="AH793" s="119" t="s">
        <v>92</v>
      </c>
    </row>
    <row r="794" spans="1:34" x14ac:dyDescent="0.3">
      <c r="A794" s="107" t="s">
        <v>2846</v>
      </c>
      <c r="B794" s="108" t="s">
        <v>2847</v>
      </c>
      <c r="C794" s="108" t="s">
        <v>2848</v>
      </c>
      <c r="D794" s="109">
        <v>45209</v>
      </c>
      <c r="E794" s="110">
        <v>80000</v>
      </c>
      <c r="F794" s="108" t="s">
        <v>32</v>
      </c>
      <c r="G794" s="108" t="s">
        <v>33</v>
      </c>
      <c r="H794" s="110">
        <v>80000</v>
      </c>
      <c r="I794" s="110">
        <v>40300</v>
      </c>
      <c r="J794" s="111">
        <f t="shared" si="85"/>
        <v>50.375</v>
      </c>
      <c r="K794" s="110">
        <v>112511</v>
      </c>
      <c r="L794" s="110">
        <f>H794-103505</f>
        <v>-23505</v>
      </c>
      <c r="M794" s="110">
        <v>9006</v>
      </c>
      <c r="N794" s="112">
        <f t="shared" si="86"/>
        <v>0.11257499999999999</v>
      </c>
      <c r="O794" s="113">
        <v>56.28</v>
      </c>
      <c r="P794" s="114">
        <v>110</v>
      </c>
      <c r="Q794" s="115">
        <v>0.152</v>
      </c>
      <c r="R794" s="115">
        <v>0.152</v>
      </c>
      <c r="S794" s="110">
        <f t="shared" si="87"/>
        <v>-417.64392324093814</v>
      </c>
      <c r="T794" s="110">
        <f t="shared" si="88"/>
        <v>-154638.15789473685</v>
      </c>
      <c r="U794" s="116">
        <f t="shared" si="89"/>
        <v>-3.5500036247643907</v>
      </c>
      <c r="V794" s="115">
        <v>60</v>
      </c>
      <c r="W794" s="115">
        <f t="shared" si="90"/>
        <v>16000</v>
      </c>
      <c r="X794" s="115">
        <f t="shared" si="92"/>
        <v>266.66666666666669</v>
      </c>
      <c r="Y794" s="117" t="s">
        <v>2845</v>
      </c>
      <c r="Z794" s="108" t="s">
        <v>35</v>
      </c>
      <c r="AA794" s="108" t="s">
        <v>35</v>
      </c>
      <c r="AB794" s="108" t="s">
        <v>2846</v>
      </c>
      <c r="AC794" s="108">
        <v>0</v>
      </c>
      <c r="AD794" s="108">
        <v>0</v>
      </c>
      <c r="AE794" s="108" t="s">
        <v>2730</v>
      </c>
      <c r="AF794" s="108" t="s">
        <v>43</v>
      </c>
      <c r="AG794" s="108" t="s">
        <v>38</v>
      </c>
      <c r="AH794" s="108" t="s">
        <v>92</v>
      </c>
    </row>
    <row r="795" spans="1:34" x14ac:dyDescent="0.3">
      <c r="A795" s="118" t="s">
        <v>2846</v>
      </c>
      <c r="B795" s="119" t="s">
        <v>2851</v>
      </c>
      <c r="C795" s="119" t="s">
        <v>2852</v>
      </c>
      <c r="D795" s="120">
        <v>45565</v>
      </c>
      <c r="E795" s="121">
        <v>212500</v>
      </c>
      <c r="F795" s="119" t="s">
        <v>32</v>
      </c>
      <c r="G795" s="119" t="s">
        <v>33</v>
      </c>
      <c r="H795" s="121">
        <v>212500</v>
      </c>
      <c r="I795" s="121">
        <v>90700</v>
      </c>
      <c r="J795" s="122">
        <f t="shared" si="85"/>
        <v>42.682352941176468</v>
      </c>
      <c r="K795" s="121">
        <v>190977</v>
      </c>
      <c r="L795" s="121">
        <f>H795-171397</f>
        <v>41103</v>
      </c>
      <c r="M795" s="121">
        <v>19580</v>
      </c>
      <c r="N795" s="123">
        <f t="shared" si="86"/>
        <v>9.214117647058824E-2</v>
      </c>
      <c r="O795" s="124">
        <v>122.37</v>
      </c>
      <c r="P795" s="125">
        <v>130</v>
      </c>
      <c r="Q795" s="126">
        <v>0.35799999999999998</v>
      </c>
      <c r="R795" s="126">
        <v>0.35799999999999998</v>
      </c>
      <c r="S795" s="121">
        <f t="shared" si="87"/>
        <v>335.89114979161559</v>
      </c>
      <c r="T795" s="121">
        <f t="shared" si="88"/>
        <v>114812.84916201117</v>
      </c>
      <c r="U795" s="127">
        <f t="shared" si="89"/>
        <v>2.6357403388891454</v>
      </c>
      <c r="V795" s="126">
        <v>120</v>
      </c>
      <c r="W795" s="126">
        <f t="shared" si="90"/>
        <v>42500</v>
      </c>
      <c r="X795" s="126">
        <f t="shared" si="92"/>
        <v>354.16666666666669</v>
      </c>
      <c r="Y795" s="128" t="s">
        <v>2845</v>
      </c>
      <c r="Z795" s="119" t="s">
        <v>35</v>
      </c>
      <c r="AA795" s="119" t="s">
        <v>35</v>
      </c>
      <c r="AB795" s="119" t="s">
        <v>2846</v>
      </c>
      <c r="AC795" s="119">
        <v>0</v>
      </c>
      <c r="AD795" s="119">
        <v>1</v>
      </c>
      <c r="AE795" s="119" t="s">
        <v>42</v>
      </c>
      <c r="AF795" s="119" t="s">
        <v>43</v>
      </c>
      <c r="AG795" s="119" t="s">
        <v>38</v>
      </c>
      <c r="AH795" s="119" t="s">
        <v>92</v>
      </c>
    </row>
    <row r="796" spans="1:34" x14ac:dyDescent="0.3">
      <c r="A796" s="107" t="s">
        <v>2846</v>
      </c>
      <c r="B796" s="108" t="s">
        <v>2849</v>
      </c>
      <c r="C796" s="108" t="s">
        <v>2850</v>
      </c>
      <c r="D796" s="109">
        <v>45244</v>
      </c>
      <c r="E796" s="110">
        <v>162000</v>
      </c>
      <c r="F796" s="108" t="s">
        <v>81</v>
      </c>
      <c r="G796" s="108" t="s">
        <v>33</v>
      </c>
      <c r="H796" s="110">
        <v>162000</v>
      </c>
      <c r="I796" s="110">
        <v>53200</v>
      </c>
      <c r="J796" s="111">
        <f t="shared" si="85"/>
        <v>32.839506172839506</v>
      </c>
      <c r="K796" s="110">
        <v>143084</v>
      </c>
      <c r="L796" s="110">
        <f>H796-130031</f>
        <v>31969</v>
      </c>
      <c r="M796" s="110">
        <v>13053</v>
      </c>
      <c r="N796" s="112">
        <f t="shared" si="86"/>
        <v>8.0574074074074076E-2</v>
      </c>
      <c r="O796" s="113">
        <v>81.58</v>
      </c>
      <c r="P796" s="114">
        <v>130</v>
      </c>
      <c r="Q796" s="115">
        <v>0.23899999999999999</v>
      </c>
      <c r="R796" s="115">
        <v>0.23899999999999999</v>
      </c>
      <c r="S796" s="110">
        <f t="shared" si="87"/>
        <v>391.87300809021821</v>
      </c>
      <c r="T796" s="110">
        <f t="shared" si="88"/>
        <v>133761.50627615064</v>
      </c>
      <c r="U796" s="116">
        <f t="shared" si="89"/>
        <v>3.0707416500493721</v>
      </c>
      <c r="V796" s="115">
        <v>80</v>
      </c>
      <c r="W796" s="115">
        <f t="shared" si="90"/>
        <v>32400</v>
      </c>
      <c r="X796" s="115">
        <f t="shared" si="92"/>
        <v>405</v>
      </c>
      <c r="Y796" s="117" t="s">
        <v>2845</v>
      </c>
      <c r="Z796" s="108" t="s">
        <v>35</v>
      </c>
      <c r="AA796" s="108" t="s">
        <v>35</v>
      </c>
      <c r="AB796" s="108" t="s">
        <v>2846</v>
      </c>
      <c r="AC796" s="108">
        <v>0</v>
      </c>
      <c r="AD796" s="108">
        <v>1</v>
      </c>
      <c r="AE796" s="108" t="s">
        <v>42</v>
      </c>
      <c r="AF796" s="108" t="s">
        <v>43</v>
      </c>
      <c r="AG796" s="108" t="s">
        <v>38</v>
      </c>
      <c r="AH796" s="108" t="s">
        <v>92</v>
      </c>
    </row>
    <row r="797" spans="1:34" x14ac:dyDescent="0.3">
      <c r="A797" s="107" t="s">
        <v>2846</v>
      </c>
      <c r="B797" s="108" t="s">
        <v>2857</v>
      </c>
      <c r="C797" s="108" t="s">
        <v>2858</v>
      </c>
      <c r="D797" s="109">
        <v>45663</v>
      </c>
      <c r="E797" s="110">
        <v>174900</v>
      </c>
      <c r="F797" s="108" t="s">
        <v>32</v>
      </c>
      <c r="G797" s="108" t="s">
        <v>33</v>
      </c>
      <c r="H797" s="110">
        <v>174900</v>
      </c>
      <c r="I797" s="110">
        <v>71500</v>
      </c>
      <c r="J797" s="111">
        <f t="shared" si="85"/>
        <v>40.880503144654092</v>
      </c>
      <c r="K797" s="110">
        <v>156143</v>
      </c>
      <c r="L797" s="110">
        <f>H797-142841</f>
        <v>32059</v>
      </c>
      <c r="M797" s="110">
        <v>13302</v>
      </c>
      <c r="N797" s="112">
        <f t="shared" si="86"/>
        <v>7.6054888507718701E-2</v>
      </c>
      <c r="O797" s="113">
        <v>83.13</v>
      </c>
      <c r="P797" s="114">
        <v>135</v>
      </c>
      <c r="Q797" s="115">
        <v>0.248</v>
      </c>
      <c r="R797" s="115">
        <v>0.248</v>
      </c>
      <c r="S797" s="110">
        <f t="shared" si="87"/>
        <v>385.64898351978832</v>
      </c>
      <c r="T797" s="110">
        <f t="shared" si="88"/>
        <v>129270.16129032258</v>
      </c>
      <c r="U797" s="116">
        <f t="shared" si="89"/>
        <v>2.9676345567108031</v>
      </c>
      <c r="V797" s="115">
        <v>80</v>
      </c>
      <c r="W797" s="115">
        <f t="shared" si="90"/>
        <v>34980</v>
      </c>
      <c r="X797" s="115">
        <f t="shared" si="92"/>
        <v>437.25</v>
      </c>
      <c r="Y797" s="117" t="s">
        <v>2845</v>
      </c>
      <c r="Z797" s="108" t="s">
        <v>35</v>
      </c>
      <c r="AA797" s="108" t="s">
        <v>35</v>
      </c>
      <c r="AB797" s="108" t="s">
        <v>2846</v>
      </c>
      <c r="AC797" s="108">
        <v>0</v>
      </c>
      <c r="AD797" s="108">
        <v>1</v>
      </c>
      <c r="AE797" s="108" t="s">
        <v>42</v>
      </c>
      <c r="AF797" s="108" t="s">
        <v>35</v>
      </c>
      <c r="AG797" s="108" t="s">
        <v>38</v>
      </c>
      <c r="AH797" s="108" t="s">
        <v>92</v>
      </c>
    </row>
    <row r="798" spans="1:34" x14ac:dyDescent="0.3">
      <c r="A798" s="118" t="s">
        <v>2846</v>
      </c>
      <c r="B798" s="119" t="s">
        <v>2843</v>
      </c>
      <c r="C798" s="119" t="s">
        <v>2844</v>
      </c>
      <c r="D798" s="120">
        <v>45674</v>
      </c>
      <c r="E798" s="121">
        <v>95000</v>
      </c>
      <c r="F798" s="119" t="s">
        <v>32</v>
      </c>
      <c r="G798" s="119" t="s">
        <v>33</v>
      </c>
      <c r="H798" s="121">
        <v>95000</v>
      </c>
      <c r="I798" s="121">
        <v>41700</v>
      </c>
      <c r="J798" s="122">
        <f t="shared" si="85"/>
        <v>43.894736842105267</v>
      </c>
      <c r="K798" s="121">
        <v>90238</v>
      </c>
      <c r="L798" s="121">
        <f>H798-83147</f>
        <v>11853</v>
      </c>
      <c r="M798" s="121">
        <v>7091</v>
      </c>
      <c r="N798" s="123">
        <f t="shared" si="86"/>
        <v>7.4642105263157899E-2</v>
      </c>
      <c r="O798" s="124">
        <v>44.31</v>
      </c>
      <c r="P798" s="125">
        <v>110</v>
      </c>
      <c r="Q798" s="126">
        <v>0.124</v>
      </c>
      <c r="R798" s="126">
        <v>0.124</v>
      </c>
      <c r="S798" s="121">
        <f t="shared" si="87"/>
        <v>267.50169262017602</v>
      </c>
      <c r="T798" s="121">
        <f t="shared" si="88"/>
        <v>95588.709677419349</v>
      </c>
      <c r="U798" s="127">
        <f t="shared" si="89"/>
        <v>2.1944148227139428</v>
      </c>
      <c r="V798" s="126">
        <v>43.35</v>
      </c>
      <c r="W798" s="126">
        <f t="shared" si="90"/>
        <v>19000</v>
      </c>
      <c r="X798" s="126">
        <f t="shared" si="92"/>
        <v>438.29296424452133</v>
      </c>
      <c r="Y798" s="128" t="s">
        <v>2845</v>
      </c>
      <c r="Z798" s="119" t="s">
        <v>35</v>
      </c>
      <c r="AA798" s="119" t="s">
        <v>35</v>
      </c>
      <c r="AB798" s="119" t="s">
        <v>2846</v>
      </c>
      <c r="AC798" s="119">
        <v>0</v>
      </c>
      <c r="AD798" s="119">
        <v>0</v>
      </c>
      <c r="AE798" s="119" t="s">
        <v>42</v>
      </c>
      <c r="AF798" s="119" t="s">
        <v>35</v>
      </c>
      <c r="AG798" s="119" t="s">
        <v>38</v>
      </c>
      <c r="AH798" s="119" t="s">
        <v>92</v>
      </c>
    </row>
    <row r="799" spans="1:34" x14ac:dyDescent="0.3">
      <c r="A799" s="107" t="s">
        <v>2846</v>
      </c>
      <c r="B799" s="108" t="s">
        <v>2855</v>
      </c>
      <c r="C799" s="108" t="s">
        <v>2856</v>
      </c>
      <c r="D799" s="109">
        <v>45692</v>
      </c>
      <c r="E799" s="110">
        <v>100000</v>
      </c>
      <c r="F799" s="108" t="s">
        <v>32</v>
      </c>
      <c r="G799" s="108" t="s">
        <v>33</v>
      </c>
      <c r="H799" s="110">
        <v>100000</v>
      </c>
      <c r="I799" s="110">
        <v>53700</v>
      </c>
      <c r="J799" s="111">
        <f t="shared" si="85"/>
        <v>53.7</v>
      </c>
      <c r="K799" s="110">
        <v>113231</v>
      </c>
      <c r="L799" s="110">
        <f>H799-106580</f>
        <v>-6580</v>
      </c>
      <c r="M799" s="110">
        <v>6651</v>
      </c>
      <c r="N799" s="112">
        <f t="shared" si="86"/>
        <v>6.651E-2</v>
      </c>
      <c r="O799" s="113">
        <v>41.56</v>
      </c>
      <c r="P799" s="114">
        <v>135</v>
      </c>
      <c r="Q799" s="115">
        <v>0.124</v>
      </c>
      <c r="R799" s="115">
        <v>0.124</v>
      </c>
      <c r="S799" s="110">
        <f t="shared" si="87"/>
        <v>-158.32531280076995</v>
      </c>
      <c r="T799" s="110">
        <f t="shared" si="88"/>
        <v>-53064.516129032258</v>
      </c>
      <c r="U799" s="116">
        <f t="shared" si="89"/>
        <v>-1.2181936668740188</v>
      </c>
      <c r="V799" s="115">
        <v>40</v>
      </c>
      <c r="W799" s="115">
        <f t="shared" si="90"/>
        <v>20000</v>
      </c>
      <c r="X799" s="115">
        <f t="shared" si="92"/>
        <v>500</v>
      </c>
      <c r="Y799" s="117" t="s">
        <v>2845</v>
      </c>
      <c r="Z799" s="108" t="s">
        <v>35</v>
      </c>
      <c r="AA799" s="108" t="s">
        <v>35</v>
      </c>
      <c r="AB799" s="108" t="s">
        <v>2846</v>
      </c>
      <c r="AC799" s="108">
        <v>0</v>
      </c>
      <c r="AD799" s="108">
        <v>1</v>
      </c>
      <c r="AE799" s="108" t="s">
        <v>37</v>
      </c>
      <c r="AF799" s="108" t="s">
        <v>35</v>
      </c>
      <c r="AG799" s="108" t="s">
        <v>38</v>
      </c>
      <c r="AH799" s="108" t="s">
        <v>92</v>
      </c>
    </row>
    <row r="800" spans="1:34" x14ac:dyDescent="0.3">
      <c r="A800" s="107" t="s">
        <v>2846</v>
      </c>
      <c r="B800" s="108" t="s">
        <v>2867</v>
      </c>
      <c r="C800" s="108" t="s">
        <v>2868</v>
      </c>
      <c r="D800" s="109">
        <v>45029</v>
      </c>
      <c r="E800" s="110">
        <v>105000</v>
      </c>
      <c r="F800" s="108" t="s">
        <v>32</v>
      </c>
      <c r="G800" s="108" t="s">
        <v>33</v>
      </c>
      <c r="H800" s="110">
        <v>105000</v>
      </c>
      <c r="I800" s="110">
        <v>57500</v>
      </c>
      <c r="J800" s="111">
        <f t="shared" si="85"/>
        <v>54.761904761904766</v>
      </c>
      <c r="K800" s="110">
        <v>148164</v>
      </c>
      <c r="L800" s="110">
        <f>H800-141513</f>
        <v>-36513</v>
      </c>
      <c r="M800" s="110">
        <v>6651</v>
      </c>
      <c r="N800" s="112">
        <f t="shared" si="86"/>
        <v>6.3342857142857145E-2</v>
      </c>
      <c r="O800" s="113">
        <v>41.56</v>
      </c>
      <c r="P800" s="114">
        <v>135</v>
      </c>
      <c r="Q800" s="115">
        <v>0.124</v>
      </c>
      <c r="R800" s="115">
        <v>0.124</v>
      </c>
      <c r="S800" s="110">
        <f t="shared" si="87"/>
        <v>-878.5611164581328</v>
      </c>
      <c r="T800" s="110">
        <f t="shared" si="88"/>
        <v>-294459.67741935485</v>
      </c>
      <c r="U800" s="116">
        <f t="shared" si="89"/>
        <v>-6.7598640362569986</v>
      </c>
      <c r="V800" s="115">
        <v>40</v>
      </c>
      <c r="W800" s="115">
        <f t="shared" si="90"/>
        <v>21000</v>
      </c>
      <c r="X800" s="115">
        <f t="shared" si="92"/>
        <v>525</v>
      </c>
      <c r="Y800" s="117" t="s">
        <v>2845</v>
      </c>
      <c r="Z800" s="108" t="s">
        <v>35</v>
      </c>
      <c r="AA800" s="108" t="s">
        <v>35</v>
      </c>
      <c r="AB800" s="108" t="s">
        <v>2846</v>
      </c>
      <c r="AC800" s="108">
        <v>0</v>
      </c>
      <c r="AD800" s="108">
        <v>1</v>
      </c>
      <c r="AE800" s="108" t="s">
        <v>37</v>
      </c>
      <c r="AF800" s="108" t="s">
        <v>43</v>
      </c>
      <c r="AG800" s="108" t="s">
        <v>38</v>
      </c>
      <c r="AH800" s="108" t="s">
        <v>92</v>
      </c>
    </row>
    <row r="801" spans="1:34" x14ac:dyDescent="0.3">
      <c r="A801" s="118" t="s">
        <v>2846</v>
      </c>
      <c r="B801" s="119" t="s">
        <v>2869</v>
      </c>
      <c r="C801" s="119" t="s">
        <v>2870</v>
      </c>
      <c r="D801" s="120">
        <v>45351</v>
      </c>
      <c r="E801" s="121">
        <v>138000</v>
      </c>
      <c r="F801" s="119" t="s">
        <v>32</v>
      </c>
      <c r="G801" s="119" t="s">
        <v>33</v>
      </c>
      <c r="H801" s="121">
        <v>138000</v>
      </c>
      <c r="I801" s="121">
        <v>50500</v>
      </c>
      <c r="J801" s="122">
        <f t="shared" si="85"/>
        <v>36.594202898550726</v>
      </c>
      <c r="K801" s="121">
        <v>130008</v>
      </c>
      <c r="L801" s="121">
        <f>H801-123357</f>
        <v>14643</v>
      </c>
      <c r="M801" s="121">
        <v>6651</v>
      </c>
      <c r="N801" s="123">
        <f t="shared" si="86"/>
        <v>4.8195652173913042E-2</v>
      </c>
      <c r="O801" s="124">
        <v>41.56</v>
      </c>
      <c r="P801" s="125">
        <v>135</v>
      </c>
      <c r="Q801" s="126">
        <v>0.124</v>
      </c>
      <c r="R801" s="126">
        <v>0.124</v>
      </c>
      <c r="S801" s="121">
        <f t="shared" si="87"/>
        <v>352.33397497593836</v>
      </c>
      <c r="T801" s="121">
        <f t="shared" si="88"/>
        <v>118088.70967741935</v>
      </c>
      <c r="U801" s="127">
        <f t="shared" si="89"/>
        <v>2.7109437483337775</v>
      </c>
      <c r="V801" s="126">
        <v>40</v>
      </c>
      <c r="W801" s="126">
        <f t="shared" si="90"/>
        <v>27600</v>
      </c>
      <c r="X801" s="126">
        <f t="shared" si="92"/>
        <v>690</v>
      </c>
      <c r="Y801" s="128" t="s">
        <v>2845</v>
      </c>
      <c r="Z801" s="119" t="s">
        <v>35</v>
      </c>
      <c r="AA801" s="119" t="s">
        <v>35</v>
      </c>
      <c r="AB801" s="119" t="s">
        <v>2846</v>
      </c>
      <c r="AC801" s="119">
        <v>0</v>
      </c>
      <c r="AD801" s="119">
        <v>1</v>
      </c>
      <c r="AE801" s="119" t="s">
        <v>37</v>
      </c>
      <c r="AF801" s="119" t="s">
        <v>43</v>
      </c>
      <c r="AG801" s="119" t="s">
        <v>38</v>
      </c>
      <c r="AH801" s="119" t="s">
        <v>92</v>
      </c>
    </row>
    <row r="802" spans="1:34" x14ac:dyDescent="0.3">
      <c r="A802" s="118" t="s">
        <v>2846</v>
      </c>
      <c r="B802" s="119" t="s">
        <v>2859</v>
      </c>
      <c r="C802" s="119" t="s">
        <v>2860</v>
      </c>
      <c r="D802" s="120">
        <v>45502</v>
      </c>
      <c r="E802" s="121">
        <v>140000</v>
      </c>
      <c r="F802" s="119" t="s">
        <v>32</v>
      </c>
      <c r="G802" s="119" t="s">
        <v>33</v>
      </c>
      <c r="H802" s="121">
        <v>140000</v>
      </c>
      <c r="I802" s="121">
        <v>70600</v>
      </c>
      <c r="J802" s="122">
        <f t="shared" si="85"/>
        <v>50.428571428571431</v>
      </c>
      <c r="K802" s="121">
        <v>148689</v>
      </c>
      <c r="L802" s="121">
        <f>H802-142038</f>
        <v>-2038</v>
      </c>
      <c r="M802" s="121">
        <v>6651</v>
      </c>
      <c r="N802" s="123">
        <f t="shared" si="86"/>
        <v>4.7507142857142859E-2</v>
      </c>
      <c r="O802" s="124">
        <v>41.56</v>
      </c>
      <c r="P802" s="125">
        <v>135</v>
      </c>
      <c r="Q802" s="126">
        <v>0.124</v>
      </c>
      <c r="R802" s="126">
        <v>0.124</v>
      </c>
      <c r="S802" s="121">
        <f t="shared" si="87"/>
        <v>-49.037536092396536</v>
      </c>
      <c r="T802" s="121">
        <f t="shared" si="88"/>
        <v>-16435.483870967742</v>
      </c>
      <c r="U802" s="127">
        <f t="shared" si="89"/>
        <v>-0.377306792262804</v>
      </c>
      <c r="V802" s="126">
        <v>40</v>
      </c>
      <c r="W802" s="126">
        <f t="shared" si="90"/>
        <v>28000</v>
      </c>
      <c r="X802" s="126">
        <f t="shared" si="92"/>
        <v>700</v>
      </c>
      <c r="Y802" s="128" t="s">
        <v>2845</v>
      </c>
      <c r="Z802" s="119" t="s">
        <v>35</v>
      </c>
      <c r="AA802" s="119" t="s">
        <v>35</v>
      </c>
      <c r="AB802" s="119" t="s">
        <v>2846</v>
      </c>
      <c r="AC802" s="119">
        <v>0</v>
      </c>
      <c r="AD802" s="119">
        <v>1</v>
      </c>
      <c r="AE802" s="119" t="s">
        <v>42</v>
      </c>
      <c r="AF802" s="119" t="s">
        <v>43</v>
      </c>
      <c r="AG802" s="119" t="s">
        <v>38</v>
      </c>
      <c r="AH802" s="119" t="s">
        <v>92</v>
      </c>
    </row>
    <row r="803" spans="1:34" x14ac:dyDescent="0.3">
      <c r="A803" s="107" t="s">
        <v>2846</v>
      </c>
      <c r="B803" s="108" t="s">
        <v>2873</v>
      </c>
      <c r="C803" s="108" t="s">
        <v>2874</v>
      </c>
      <c r="D803" s="109">
        <v>45149</v>
      </c>
      <c r="E803" s="110">
        <v>245000</v>
      </c>
      <c r="F803" s="108" t="s">
        <v>32</v>
      </c>
      <c r="G803" s="108" t="s">
        <v>33</v>
      </c>
      <c r="H803" s="110">
        <v>245000</v>
      </c>
      <c r="I803" s="110">
        <v>119900</v>
      </c>
      <c r="J803" s="111">
        <f t="shared" si="85"/>
        <v>48.938775510204081</v>
      </c>
      <c r="K803" s="110">
        <v>317721</v>
      </c>
      <c r="L803" s="110">
        <f>H803-303161</f>
        <v>-58161</v>
      </c>
      <c r="M803" s="110">
        <v>14560</v>
      </c>
      <c r="N803" s="112">
        <f t="shared" si="86"/>
        <v>5.9428571428571428E-2</v>
      </c>
      <c r="O803" s="113">
        <v>91</v>
      </c>
      <c r="P803" s="114">
        <v>211.25</v>
      </c>
      <c r="Q803" s="115">
        <v>0.33900000000000002</v>
      </c>
      <c r="R803" s="115">
        <v>0.33900000000000002</v>
      </c>
      <c r="S803" s="110">
        <f t="shared" si="87"/>
        <v>-639.13186813186815</v>
      </c>
      <c r="T803" s="110">
        <f t="shared" si="88"/>
        <v>-171566.37168141591</v>
      </c>
      <c r="U803" s="116">
        <f t="shared" si="89"/>
        <v>-3.9386219394264441</v>
      </c>
      <c r="V803" s="115">
        <v>70</v>
      </c>
      <c r="W803" s="115">
        <f t="shared" si="90"/>
        <v>49000</v>
      </c>
      <c r="X803" s="115">
        <f t="shared" si="92"/>
        <v>700</v>
      </c>
      <c r="Y803" s="117" t="s">
        <v>2845</v>
      </c>
      <c r="Z803" s="108" t="s">
        <v>35</v>
      </c>
      <c r="AA803" s="108" t="s">
        <v>35</v>
      </c>
      <c r="AB803" s="108" t="s">
        <v>2846</v>
      </c>
      <c r="AC803" s="108">
        <v>0</v>
      </c>
      <c r="AD803" s="108">
        <v>1</v>
      </c>
      <c r="AE803" s="108" t="s">
        <v>2875</v>
      </c>
      <c r="AF803" s="108" t="s">
        <v>43</v>
      </c>
      <c r="AG803" s="108" t="s">
        <v>38</v>
      </c>
      <c r="AH803" s="108" t="s">
        <v>92</v>
      </c>
    </row>
    <row r="804" spans="1:34" x14ac:dyDescent="0.3">
      <c r="A804" s="118" t="s">
        <v>2846</v>
      </c>
      <c r="B804" s="119" t="s">
        <v>2861</v>
      </c>
      <c r="C804" s="119" t="s">
        <v>2862</v>
      </c>
      <c r="D804" s="120">
        <v>45128</v>
      </c>
      <c r="E804" s="121">
        <v>142500</v>
      </c>
      <c r="F804" s="119" t="s">
        <v>32</v>
      </c>
      <c r="G804" s="119" t="s">
        <v>33</v>
      </c>
      <c r="H804" s="121">
        <v>142500</v>
      </c>
      <c r="I804" s="121">
        <v>49800</v>
      </c>
      <c r="J804" s="122">
        <f t="shared" si="85"/>
        <v>34.94736842105263</v>
      </c>
      <c r="K804" s="121">
        <v>126513</v>
      </c>
      <c r="L804" s="121">
        <f>H804-119862</f>
        <v>22638</v>
      </c>
      <c r="M804" s="121">
        <v>6651</v>
      </c>
      <c r="N804" s="123">
        <f t="shared" si="86"/>
        <v>4.6673684210526319E-2</v>
      </c>
      <c r="O804" s="124">
        <v>41.56</v>
      </c>
      <c r="P804" s="125">
        <v>135</v>
      </c>
      <c r="Q804" s="126">
        <v>0.124</v>
      </c>
      <c r="R804" s="126">
        <v>0.124</v>
      </c>
      <c r="S804" s="121">
        <f t="shared" si="87"/>
        <v>544.70644850818087</v>
      </c>
      <c r="T804" s="121">
        <f t="shared" si="88"/>
        <v>182564.51612903227</v>
      </c>
      <c r="U804" s="127">
        <f t="shared" si="89"/>
        <v>4.1911045943304011</v>
      </c>
      <c r="V804" s="126">
        <v>40</v>
      </c>
      <c r="W804" s="126">
        <f t="shared" si="90"/>
        <v>28500</v>
      </c>
      <c r="X804" s="126">
        <f t="shared" si="92"/>
        <v>712.5</v>
      </c>
      <c r="Y804" s="128" t="s">
        <v>2845</v>
      </c>
      <c r="Z804" s="119" t="s">
        <v>35</v>
      </c>
      <c r="AA804" s="119" t="s">
        <v>35</v>
      </c>
      <c r="AB804" s="119" t="s">
        <v>2846</v>
      </c>
      <c r="AC804" s="119">
        <v>0</v>
      </c>
      <c r="AD804" s="119">
        <v>1</v>
      </c>
      <c r="AE804" s="119" t="s">
        <v>37</v>
      </c>
      <c r="AF804" s="119" t="s">
        <v>43</v>
      </c>
      <c r="AG804" s="119" t="s">
        <v>38</v>
      </c>
      <c r="AH804" s="119" t="s">
        <v>92</v>
      </c>
    </row>
    <row r="805" spans="1:34" x14ac:dyDescent="0.3">
      <c r="A805" s="118" t="s">
        <v>2846</v>
      </c>
      <c r="B805" s="119" t="s">
        <v>2853</v>
      </c>
      <c r="C805" s="119" t="s">
        <v>2854</v>
      </c>
      <c r="D805" s="120">
        <v>45672</v>
      </c>
      <c r="E805" s="121">
        <v>145000</v>
      </c>
      <c r="F805" s="119" t="s">
        <v>32</v>
      </c>
      <c r="G805" s="119" t="s">
        <v>33</v>
      </c>
      <c r="H805" s="121">
        <v>145000</v>
      </c>
      <c r="I805" s="121">
        <v>60000</v>
      </c>
      <c r="J805" s="122">
        <f t="shared" si="85"/>
        <v>41.379310344827587</v>
      </c>
      <c r="K805" s="121">
        <v>126851</v>
      </c>
      <c r="L805" s="121">
        <f>H805-120324</f>
        <v>24676</v>
      </c>
      <c r="M805" s="121">
        <v>6527</v>
      </c>
      <c r="N805" s="123">
        <f t="shared" si="86"/>
        <v>4.5013793103448274E-2</v>
      </c>
      <c r="O805" s="124">
        <v>40.79</v>
      </c>
      <c r="P805" s="125">
        <v>130</v>
      </c>
      <c r="Q805" s="126">
        <v>0.11899999999999999</v>
      </c>
      <c r="R805" s="126">
        <v>0.11899999999999999</v>
      </c>
      <c r="S805" s="121">
        <f t="shared" si="87"/>
        <v>604.95219416523662</v>
      </c>
      <c r="T805" s="121">
        <f t="shared" si="88"/>
        <v>207361.34453781514</v>
      </c>
      <c r="U805" s="127">
        <f t="shared" si="89"/>
        <v>4.7603614448534239</v>
      </c>
      <c r="V805" s="126">
        <v>40</v>
      </c>
      <c r="W805" s="126">
        <f t="shared" si="90"/>
        <v>29000</v>
      </c>
      <c r="X805" s="126">
        <f t="shared" si="92"/>
        <v>725</v>
      </c>
      <c r="Y805" s="128" t="s">
        <v>2845</v>
      </c>
      <c r="Z805" s="119" t="s">
        <v>35</v>
      </c>
      <c r="AA805" s="119" t="s">
        <v>35</v>
      </c>
      <c r="AB805" s="119" t="s">
        <v>2846</v>
      </c>
      <c r="AC805" s="119">
        <v>0</v>
      </c>
      <c r="AD805" s="119">
        <v>1</v>
      </c>
      <c r="AE805" s="119" t="s">
        <v>37</v>
      </c>
      <c r="AF805" s="119" t="s">
        <v>35</v>
      </c>
      <c r="AG805" s="119" t="s">
        <v>38</v>
      </c>
      <c r="AH805" s="119" t="s">
        <v>92</v>
      </c>
    </row>
    <row r="806" spans="1:34" x14ac:dyDescent="0.3">
      <c r="A806" s="107" t="s">
        <v>2737</v>
      </c>
      <c r="B806" s="108" t="s">
        <v>2735</v>
      </c>
      <c r="C806" s="108" t="s">
        <v>2736</v>
      </c>
      <c r="D806" s="109">
        <v>45037</v>
      </c>
      <c r="E806" s="110">
        <v>225000</v>
      </c>
      <c r="F806" s="108" t="s">
        <v>32</v>
      </c>
      <c r="G806" s="108" t="s">
        <v>33</v>
      </c>
      <c r="H806" s="110">
        <v>225000</v>
      </c>
      <c r="I806" s="110">
        <v>69200</v>
      </c>
      <c r="J806" s="111">
        <f t="shared" si="85"/>
        <v>30.75555555555556</v>
      </c>
      <c r="K806" s="110">
        <v>183397</v>
      </c>
      <c r="L806" s="110">
        <f>H806-176197</f>
        <v>48803</v>
      </c>
      <c r="M806" s="110">
        <v>7200</v>
      </c>
      <c r="N806" s="112">
        <f t="shared" si="86"/>
        <v>3.2000000000000001E-2</v>
      </c>
      <c r="O806" s="113">
        <v>50</v>
      </c>
      <c r="P806" s="114">
        <v>135</v>
      </c>
      <c r="Q806" s="115">
        <v>0.155</v>
      </c>
      <c r="R806" s="115">
        <v>0.155</v>
      </c>
      <c r="S806" s="110">
        <f t="shared" si="87"/>
        <v>976.06</v>
      </c>
      <c r="T806" s="110">
        <f t="shared" si="88"/>
        <v>314858.06451612903</v>
      </c>
      <c r="U806" s="116">
        <f t="shared" si="89"/>
        <v>7.2281465683225212</v>
      </c>
      <c r="V806" s="115">
        <v>50</v>
      </c>
      <c r="W806" s="115">
        <f t="shared" si="90"/>
        <v>45000</v>
      </c>
      <c r="X806" s="115">
        <f t="shared" si="92"/>
        <v>900</v>
      </c>
      <c r="Y806" s="117" t="s">
        <v>2708</v>
      </c>
      <c r="Z806" s="108" t="s">
        <v>35</v>
      </c>
      <c r="AA806" s="108" t="s">
        <v>35</v>
      </c>
      <c r="AB806" s="108" t="s">
        <v>2737</v>
      </c>
      <c r="AC806" s="108">
        <v>0</v>
      </c>
      <c r="AD806" s="108">
        <v>1</v>
      </c>
      <c r="AE806" s="108" t="s">
        <v>37</v>
      </c>
      <c r="AF806" s="108" t="s">
        <v>43</v>
      </c>
      <c r="AG806" s="108" t="s">
        <v>38</v>
      </c>
      <c r="AH806" s="108" t="s">
        <v>92</v>
      </c>
    </row>
    <row r="807" spans="1:34" x14ac:dyDescent="0.3">
      <c r="A807" s="107" t="s">
        <v>2727</v>
      </c>
      <c r="B807" s="108" t="s">
        <v>2733</v>
      </c>
      <c r="C807" s="108" t="s">
        <v>2734</v>
      </c>
      <c r="D807" s="109">
        <v>45047</v>
      </c>
      <c r="E807" s="110">
        <v>153000</v>
      </c>
      <c r="F807" s="108" t="s">
        <v>32</v>
      </c>
      <c r="G807" s="108" t="s">
        <v>33</v>
      </c>
      <c r="H807" s="110">
        <v>153000</v>
      </c>
      <c r="I807" s="110">
        <v>73400</v>
      </c>
      <c r="J807" s="111">
        <f t="shared" si="85"/>
        <v>47.973856209150327</v>
      </c>
      <c r="K807" s="110">
        <v>189349</v>
      </c>
      <c r="L807" s="110">
        <f>H807-165732</f>
        <v>-12732</v>
      </c>
      <c r="M807" s="110">
        <v>23617</v>
      </c>
      <c r="N807" s="112">
        <f t="shared" si="86"/>
        <v>0.15435947712418302</v>
      </c>
      <c r="O807" s="113">
        <v>77.94</v>
      </c>
      <c r="P807" s="114">
        <v>135</v>
      </c>
      <c r="Q807" s="115">
        <v>0.23200000000000001</v>
      </c>
      <c r="R807" s="115">
        <v>0.23200000000000001</v>
      </c>
      <c r="S807" s="110">
        <f t="shared" si="87"/>
        <v>-163.35642802155505</v>
      </c>
      <c r="T807" s="110">
        <f t="shared" si="88"/>
        <v>-54879.310344827587</v>
      </c>
      <c r="U807" s="116">
        <f t="shared" si="89"/>
        <v>-1.2598556093853899</v>
      </c>
      <c r="V807" s="115">
        <v>75</v>
      </c>
      <c r="W807" s="115">
        <f t="shared" si="90"/>
        <v>30600</v>
      </c>
      <c r="X807" s="115">
        <f t="shared" si="92"/>
        <v>408</v>
      </c>
      <c r="Y807" s="117" t="s">
        <v>2726</v>
      </c>
      <c r="Z807" s="108" t="s">
        <v>35</v>
      </c>
      <c r="AA807" s="108" t="s">
        <v>35</v>
      </c>
      <c r="AB807" s="108" t="s">
        <v>2727</v>
      </c>
      <c r="AC807" s="108">
        <v>0</v>
      </c>
      <c r="AD807" s="108">
        <v>1</v>
      </c>
      <c r="AE807" s="108" t="s">
        <v>42</v>
      </c>
      <c r="AF807" s="108" t="s">
        <v>43</v>
      </c>
      <c r="AG807" s="108" t="s">
        <v>38</v>
      </c>
      <c r="AH807" s="108" t="s">
        <v>92</v>
      </c>
    </row>
    <row r="808" spans="1:34" x14ac:dyDescent="0.3">
      <c r="A808" s="107" t="s">
        <v>2727</v>
      </c>
      <c r="B808" s="108" t="s">
        <v>2764</v>
      </c>
      <c r="C808" s="108" t="s">
        <v>2765</v>
      </c>
      <c r="D808" s="109">
        <v>45481</v>
      </c>
      <c r="E808" s="110">
        <v>135000</v>
      </c>
      <c r="F808" s="108" t="s">
        <v>32</v>
      </c>
      <c r="G808" s="108" t="s">
        <v>33</v>
      </c>
      <c r="H808" s="110">
        <v>135000</v>
      </c>
      <c r="I808" s="110">
        <v>103700</v>
      </c>
      <c r="J808" s="111">
        <f t="shared" si="85"/>
        <v>76.81481481481481</v>
      </c>
      <c r="K808" s="110">
        <v>221919</v>
      </c>
      <c r="L808" s="110">
        <f>H808-202909</f>
        <v>-67909</v>
      </c>
      <c r="M808" s="110">
        <v>19010</v>
      </c>
      <c r="N808" s="112">
        <f t="shared" si="86"/>
        <v>0.14081481481481481</v>
      </c>
      <c r="O808" s="113">
        <v>62.74</v>
      </c>
      <c r="P808" s="114">
        <v>136.68</v>
      </c>
      <c r="Q808" s="115">
        <v>0.188</v>
      </c>
      <c r="R808" s="115">
        <v>0.188</v>
      </c>
      <c r="S808" s="110">
        <f t="shared" si="87"/>
        <v>-1082.3876314950589</v>
      </c>
      <c r="T808" s="110">
        <f t="shared" si="88"/>
        <v>-361218.08510638296</v>
      </c>
      <c r="U808" s="116">
        <f t="shared" si="89"/>
        <v>-8.2924261961979564</v>
      </c>
      <c r="V808" s="115">
        <v>60</v>
      </c>
      <c r="W808" s="115">
        <f t="shared" si="90"/>
        <v>27000</v>
      </c>
      <c r="X808" s="115">
        <f t="shared" si="92"/>
        <v>450</v>
      </c>
      <c r="Y808" s="117" t="s">
        <v>2726</v>
      </c>
      <c r="Z808" s="108" t="s">
        <v>35</v>
      </c>
      <c r="AA808" s="108" t="s">
        <v>35</v>
      </c>
      <c r="AB808" s="108" t="s">
        <v>2727</v>
      </c>
      <c r="AC808" s="108">
        <v>0</v>
      </c>
      <c r="AD808" s="108">
        <v>1</v>
      </c>
      <c r="AE808" s="108" t="s">
        <v>42</v>
      </c>
      <c r="AF808" s="108" t="s">
        <v>43</v>
      </c>
      <c r="AG808" s="108" t="s">
        <v>38</v>
      </c>
      <c r="AH808" s="108" t="s">
        <v>92</v>
      </c>
    </row>
    <row r="809" spans="1:34" x14ac:dyDescent="0.3">
      <c r="A809" s="107" t="s">
        <v>2727</v>
      </c>
      <c r="B809" s="108" t="s">
        <v>2750</v>
      </c>
      <c r="C809" s="108" t="s">
        <v>2751</v>
      </c>
      <c r="D809" s="109">
        <v>45492</v>
      </c>
      <c r="E809" s="110">
        <v>160000</v>
      </c>
      <c r="F809" s="108" t="s">
        <v>32</v>
      </c>
      <c r="G809" s="108" t="s">
        <v>33</v>
      </c>
      <c r="H809" s="110">
        <v>160000</v>
      </c>
      <c r="I809" s="110">
        <v>83400</v>
      </c>
      <c r="J809" s="111">
        <f t="shared" si="85"/>
        <v>52.125</v>
      </c>
      <c r="K809" s="110">
        <v>176437</v>
      </c>
      <c r="L809" s="110">
        <f>H809-158624</f>
        <v>1376</v>
      </c>
      <c r="M809" s="110">
        <v>17813</v>
      </c>
      <c r="N809" s="112">
        <f t="shared" si="86"/>
        <v>0.11133125000000001</v>
      </c>
      <c r="O809" s="113">
        <v>58.78</v>
      </c>
      <c r="P809" s="114">
        <v>120</v>
      </c>
      <c r="Q809" s="115">
        <v>0.16500000000000001</v>
      </c>
      <c r="R809" s="115">
        <v>0.16500000000000001</v>
      </c>
      <c r="S809" s="110">
        <f t="shared" si="87"/>
        <v>23.40932289894522</v>
      </c>
      <c r="T809" s="110">
        <f t="shared" si="88"/>
        <v>8339.3939393939381</v>
      </c>
      <c r="U809" s="116">
        <f t="shared" si="89"/>
        <v>0.19144614185936498</v>
      </c>
      <c r="V809" s="115">
        <v>60</v>
      </c>
      <c r="W809" s="115">
        <f t="shared" si="90"/>
        <v>32000</v>
      </c>
      <c r="X809" s="115">
        <f t="shared" si="92"/>
        <v>533.33333333333337</v>
      </c>
      <c r="Y809" s="117" t="s">
        <v>2726</v>
      </c>
      <c r="Z809" s="108" t="s">
        <v>35</v>
      </c>
      <c r="AA809" s="108" t="s">
        <v>35</v>
      </c>
      <c r="AB809" s="108" t="s">
        <v>2727</v>
      </c>
      <c r="AC809" s="108">
        <v>0</v>
      </c>
      <c r="AD809" s="108">
        <v>1</v>
      </c>
      <c r="AE809" s="108" t="s">
        <v>42</v>
      </c>
      <c r="AF809" s="108" t="s">
        <v>43</v>
      </c>
      <c r="AG809" s="108" t="s">
        <v>38</v>
      </c>
      <c r="AH809" s="108" t="s">
        <v>92</v>
      </c>
    </row>
    <row r="810" spans="1:34" x14ac:dyDescent="0.3">
      <c r="A810" s="118" t="s">
        <v>2727</v>
      </c>
      <c r="B810" s="119" t="s">
        <v>2731</v>
      </c>
      <c r="C810" s="119" t="s">
        <v>2732</v>
      </c>
      <c r="D810" s="120">
        <v>45590</v>
      </c>
      <c r="E810" s="121">
        <v>135000</v>
      </c>
      <c r="F810" s="119" t="s">
        <v>32</v>
      </c>
      <c r="G810" s="119" t="s">
        <v>33</v>
      </c>
      <c r="H810" s="121">
        <v>135000</v>
      </c>
      <c r="I810" s="121">
        <v>49000</v>
      </c>
      <c r="J810" s="122">
        <f t="shared" si="85"/>
        <v>36.296296296296298</v>
      </c>
      <c r="K810" s="121">
        <v>117889</v>
      </c>
      <c r="L810" s="121">
        <f>H810-102145</f>
        <v>32855</v>
      </c>
      <c r="M810" s="121">
        <v>15744</v>
      </c>
      <c r="N810" s="123">
        <f t="shared" si="86"/>
        <v>0.11662222222222222</v>
      </c>
      <c r="O810" s="124">
        <v>51.96</v>
      </c>
      <c r="P810" s="125">
        <v>135</v>
      </c>
      <c r="Q810" s="126">
        <v>0.155</v>
      </c>
      <c r="R810" s="126">
        <v>0.155</v>
      </c>
      <c r="S810" s="121">
        <f t="shared" si="87"/>
        <v>632.31331793687445</v>
      </c>
      <c r="T810" s="121">
        <f t="shared" si="88"/>
        <v>211967.74193548388</v>
      </c>
      <c r="U810" s="127">
        <f t="shared" si="89"/>
        <v>4.8661097781332385</v>
      </c>
      <c r="V810" s="126">
        <v>50</v>
      </c>
      <c r="W810" s="126">
        <f t="shared" si="90"/>
        <v>27000</v>
      </c>
      <c r="X810" s="126">
        <f t="shared" si="92"/>
        <v>540</v>
      </c>
      <c r="Y810" s="128" t="s">
        <v>2708</v>
      </c>
      <c r="Z810" s="119" t="s">
        <v>35</v>
      </c>
      <c r="AA810" s="119" t="s">
        <v>35</v>
      </c>
      <c r="AB810" s="119" t="s">
        <v>2727</v>
      </c>
      <c r="AC810" s="119">
        <v>0</v>
      </c>
      <c r="AD810" s="119">
        <v>1</v>
      </c>
      <c r="AE810" s="119" t="s">
        <v>37</v>
      </c>
      <c r="AF810" s="119" t="s">
        <v>35</v>
      </c>
      <c r="AG810" s="119" t="s">
        <v>38</v>
      </c>
      <c r="AH810" s="119" t="s">
        <v>92</v>
      </c>
    </row>
    <row r="811" spans="1:34" x14ac:dyDescent="0.3">
      <c r="A811" s="107" t="s">
        <v>2727</v>
      </c>
      <c r="B811" s="108" t="s">
        <v>2744</v>
      </c>
      <c r="C811" s="108" t="s">
        <v>2745</v>
      </c>
      <c r="D811" s="109">
        <v>45485</v>
      </c>
      <c r="E811" s="110">
        <v>185000</v>
      </c>
      <c r="F811" s="108" t="s">
        <v>32</v>
      </c>
      <c r="G811" s="108" t="s">
        <v>33</v>
      </c>
      <c r="H811" s="110">
        <v>185000</v>
      </c>
      <c r="I811" s="110">
        <v>105400</v>
      </c>
      <c r="J811" s="111">
        <f t="shared" si="85"/>
        <v>56.972972972972968</v>
      </c>
      <c r="K811" s="110">
        <v>226457</v>
      </c>
      <c r="L811" s="110">
        <f>H811-208644</f>
        <v>-23644</v>
      </c>
      <c r="M811" s="110">
        <v>17813</v>
      </c>
      <c r="N811" s="112">
        <f t="shared" si="86"/>
        <v>9.6286486486486481E-2</v>
      </c>
      <c r="O811" s="113">
        <v>58.78</v>
      </c>
      <c r="P811" s="114">
        <v>120</v>
      </c>
      <c r="Q811" s="115">
        <v>0.16500000000000001</v>
      </c>
      <c r="R811" s="115">
        <v>0.16500000000000001</v>
      </c>
      <c r="S811" s="110">
        <f t="shared" si="87"/>
        <v>-402.24566178972441</v>
      </c>
      <c r="T811" s="110">
        <f t="shared" si="88"/>
        <v>-143296.9696969697</v>
      </c>
      <c r="U811" s="116">
        <f t="shared" si="89"/>
        <v>-3.2896457689846121</v>
      </c>
      <c r="V811" s="115">
        <v>60</v>
      </c>
      <c r="W811" s="115">
        <f t="shared" si="90"/>
        <v>37000</v>
      </c>
      <c r="X811" s="115">
        <f t="shared" si="92"/>
        <v>616.66666666666663</v>
      </c>
      <c r="Y811" s="117" t="s">
        <v>2726</v>
      </c>
      <c r="Z811" s="108" t="s">
        <v>35</v>
      </c>
      <c r="AA811" s="108" t="s">
        <v>35</v>
      </c>
      <c r="AB811" s="108" t="s">
        <v>2727</v>
      </c>
      <c r="AC811" s="108">
        <v>0</v>
      </c>
      <c r="AD811" s="108">
        <v>1</v>
      </c>
      <c r="AE811" s="108" t="s">
        <v>42</v>
      </c>
      <c r="AF811" s="108" t="s">
        <v>43</v>
      </c>
      <c r="AG811" s="108" t="s">
        <v>38</v>
      </c>
      <c r="AH811" s="108" t="s">
        <v>92</v>
      </c>
    </row>
    <row r="812" spans="1:34" x14ac:dyDescent="0.3">
      <c r="A812" s="118" t="s">
        <v>2727</v>
      </c>
      <c r="B812" s="119" t="s">
        <v>2748</v>
      </c>
      <c r="C812" s="119" t="s">
        <v>2749</v>
      </c>
      <c r="D812" s="120">
        <v>45126</v>
      </c>
      <c r="E812" s="121">
        <v>220000</v>
      </c>
      <c r="F812" s="119" t="s">
        <v>32</v>
      </c>
      <c r="G812" s="119" t="s">
        <v>33</v>
      </c>
      <c r="H812" s="121">
        <v>220000</v>
      </c>
      <c r="I812" s="121">
        <v>75500</v>
      </c>
      <c r="J812" s="122">
        <f t="shared" si="85"/>
        <v>34.31818181818182</v>
      </c>
      <c r="K812" s="121">
        <v>193247</v>
      </c>
      <c r="L812" s="121">
        <f>H812-175434</f>
        <v>44566</v>
      </c>
      <c r="M812" s="121">
        <v>17813</v>
      </c>
      <c r="N812" s="123">
        <f t="shared" si="86"/>
        <v>8.0968181818181814E-2</v>
      </c>
      <c r="O812" s="124">
        <v>58.78</v>
      </c>
      <c r="P812" s="125">
        <v>120</v>
      </c>
      <c r="Q812" s="126">
        <v>0.16500000000000001</v>
      </c>
      <c r="R812" s="126">
        <v>0.16500000000000001</v>
      </c>
      <c r="S812" s="121">
        <f t="shared" si="87"/>
        <v>758.18305546104114</v>
      </c>
      <c r="T812" s="121">
        <f t="shared" si="88"/>
        <v>270096.96969696967</v>
      </c>
      <c r="U812" s="127">
        <f t="shared" si="89"/>
        <v>6.2005732253666128</v>
      </c>
      <c r="V812" s="126">
        <v>60</v>
      </c>
      <c r="W812" s="126">
        <f t="shared" si="90"/>
        <v>44000</v>
      </c>
      <c r="X812" s="126">
        <f t="shared" si="92"/>
        <v>733.33333333333337</v>
      </c>
      <c r="Y812" s="128" t="s">
        <v>2726</v>
      </c>
      <c r="Z812" s="119" t="s">
        <v>35</v>
      </c>
      <c r="AA812" s="119" t="s">
        <v>35</v>
      </c>
      <c r="AB812" s="119" t="s">
        <v>2727</v>
      </c>
      <c r="AC812" s="119">
        <v>0</v>
      </c>
      <c r="AD812" s="119">
        <v>1</v>
      </c>
      <c r="AE812" s="119" t="s">
        <v>42</v>
      </c>
      <c r="AF812" s="119" t="s">
        <v>43</v>
      </c>
      <c r="AG812" s="119" t="s">
        <v>38</v>
      </c>
      <c r="AH812" s="119" t="s">
        <v>92</v>
      </c>
    </row>
    <row r="813" spans="1:34" x14ac:dyDescent="0.3">
      <c r="A813" s="107" t="s">
        <v>2727</v>
      </c>
      <c r="B813" s="108" t="s">
        <v>2750</v>
      </c>
      <c r="C813" s="108" t="s">
        <v>2751</v>
      </c>
      <c r="D813" s="109">
        <v>45716</v>
      </c>
      <c r="E813" s="110">
        <v>224500</v>
      </c>
      <c r="F813" s="108" t="s">
        <v>32</v>
      </c>
      <c r="G813" s="108" t="s">
        <v>33</v>
      </c>
      <c r="H813" s="110">
        <v>224500</v>
      </c>
      <c r="I813" s="110">
        <v>83400</v>
      </c>
      <c r="J813" s="111">
        <f t="shared" si="85"/>
        <v>37.149220489977729</v>
      </c>
      <c r="K813" s="110">
        <v>176437</v>
      </c>
      <c r="L813" s="110">
        <f>H813-158624</f>
        <v>65876</v>
      </c>
      <c r="M813" s="110">
        <v>17813</v>
      </c>
      <c r="N813" s="112">
        <f t="shared" si="86"/>
        <v>7.9345211581291764E-2</v>
      </c>
      <c r="O813" s="113">
        <v>58.78</v>
      </c>
      <c r="P813" s="114">
        <v>120</v>
      </c>
      <c r="Q813" s="115">
        <v>0.16500000000000001</v>
      </c>
      <c r="R813" s="115">
        <v>0.16500000000000001</v>
      </c>
      <c r="S813" s="110">
        <f t="shared" si="87"/>
        <v>1120.7213337870023</v>
      </c>
      <c r="T813" s="110">
        <f t="shared" si="88"/>
        <v>399248.4848484848</v>
      </c>
      <c r="U813" s="116">
        <f t="shared" si="89"/>
        <v>9.1654840415170984</v>
      </c>
      <c r="V813" s="115">
        <v>60</v>
      </c>
      <c r="W813" s="115">
        <f t="shared" si="90"/>
        <v>44900</v>
      </c>
      <c r="X813" s="115">
        <f t="shared" si="92"/>
        <v>748.33333333333337</v>
      </c>
      <c r="Y813" s="117" t="s">
        <v>2726</v>
      </c>
      <c r="Z813" s="108" t="s">
        <v>35</v>
      </c>
      <c r="AA813" s="108" t="s">
        <v>35</v>
      </c>
      <c r="AB813" s="108" t="s">
        <v>2727</v>
      </c>
      <c r="AC813" s="108">
        <v>0</v>
      </c>
      <c r="AD813" s="108">
        <v>1</v>
      </c>
      <c r="AE813" s="108" t="s">
        <v>42</v>
      </c>
      <c r="AF813" s="108" t="s">
        <v>35</v>
      </c>
      <c r="AG813" s="108" t="s">
        <v>38</v>
      </c>
      <c r="AH813" s="108" t="s">
        <v>92</v>
      </c>
    </row>
    <row r="814" spans="1:34" x14ac:dyDescent="0.3">
      <c r="A814" s="118" t="s">
        <v>2727</v>
      </c>
      <c r="B814" s="119" t="s">
        <v>2752</v>
      </c>
      <c r="C814" s="119" t="s">
        <v>2753</v>
      </c>
      <c r="D814" s="120">
        <v>45128</v>
      </c>
      <c r="E814" s="121">
        <v>225000</v>
      </c>
      <c r="F814" s="119" t="s">
        <v>32</v>
      </c>
      <c r="G814" s="119" t="s">
        <v>33</v>
      </c>
      <c r="H814" s="121">
        <v>225000</v>
      </c>
      <c r="I814" s="121">
        <v>75200</v>
      </c>
      <c r="J814" s="122">
        <f t="shared" si="85"/>
        <v>33.422222222222217</v>
      </c>
      <c r="K814" s="121">
        <v>194674</v>
      </c>
      <c r="L814" s="121">
        <f>H814-176570</f>
        <v>48430</v>
      </c>
      <c r="M814" s="121">
        <v>18104</v>
      </c>
      <c r="N814" s="123">
        <f t="shared" si="86"/>
        <v>8.0462222222222227E-2</v>
      </c>
      <c r="O814" s="124">
        <v>59.74</v>
      </c>
      <c r="P814" s="125">
        <v>123.96</v>
      </c>
      <c r="Q814" s="126">
        <v>0.17100000000000001</v>
      </c>
      <c r="R814" s="126">
        <v>0.17100000000000001</v>
      </c>
      <c r="S814" s="121">
        <f t="shared" si="87"/>
        <v>810.67961165048541</v>
      </c>
      <c r="T814" s="121">
        <f t="shared" si="88"/>
        <v>283216.37426900584</v>
      </c>
      <c r="U814" s="127">
        <f t="shared" si="89"/>
        <v>6.5017533119606483</v>
      </c>
      <c r="V814" s="126">
        <v>60</v>
      </c>
      <c r="W814" s="126">
        <f t="shared" si="90"/>
        <v>45000</v>
      </c>
      <c r="X814" s="126">
        <f t="shared" si="92"/>
        <v>750</v>
      </c>
      <c r="Y814" s="128" t="s">
        <v>2726</v>
      </c>
      <c r="Z814" s="119" t="s">
        <v>35</v>
      </c>
      <c r="AA814" s="119" t="s">
        <v>35</v>
      </c>
      <c r="AB814" s="119" t="s">
        <v>2727</v>
      </c>
      <c r="AC814" s="119">
        <v>0</v>
      </c>
      <c r="AD814" s="119">
        <v>1</v>
      </c>
      <c r="AE814" s="119" t="s">
        <v>37</v>
      </c>
      <c r="AF814" s="119" t="s">
        <v>43</v>
      </c>
      <c r="AG814" s="119" t="s">
        <v>38</v>
      </c>
      <c r="AH814" s="119" t="s">
        <v>92</v>
      </c>
    </row>
    <row r="815" spans="1:34" x14ac:dyDescent="0.3">
      <c r="A815" s="118" t="s">
        <v>2727</v>
      </c>
      <c r="B815" s="119" t="s">
        <v>2762</v>
      </c>
      <c r="C815" s="119" t="s">
        <v>2763</v>
      </c>
      <c r="D815" s="120">
        <v>45187</v>
      </c>
      <c r="E815" s="121">
        <v>255000</v>
      </c>
      <c r="F815" s="119" t="s">
        <v>32</v>
      </c>
      <c r="G815" s="119" t="s">
        <v>33</v>
      </c>
      <c r="H815" s="121">
        <v>255000</v>
      </c>
      <c r="I815" s="121">
        <v>107700</v>
      </c>
      <c r="J815" s="122">
        <f t="shared" si="85"/>
        <v>42.235294117647058</v>
      </c>
      <c r="K815" s="121">
        <v>286194</v>
      </c>
      <c r="L815" s="121">
        <f>H815-262962</f>
        <v>-7962</v>
      </c>
      <c r="M815" s="121">
        <v>23232</v>
      </c>
      <c r="N815" s="123">
        <f t="shared" si="86"/>
        <v>9.1105882352941175E-2</v>
      </c>
      <c r="O815" s="124">
        <v>76.67</v>
      </c>
      <c r="P815" s="125">
        <v>162.63</v>
      </c>
      <c r="Q815" s="126">
        <v>0.251</v>
      </c>
      <c r="R815" s="126">
        <v>0.251</v>
      </c>
      <c r="S815" s="121">
        <f t="shared" si="87"/>
        <v>-103.84765879744359</v>
      </c>
      <c r="T815" s="121">
        <f t="shared" si="88"/>
        <v>-31721.115537848604</v>
      </c>
      <c r="U815" s="127">
        <f t="shared" si="89"/>
        <v>-0.72821661014344818</v>
      </c>
      <c r="V815" s="126">
        <v>67.22</v>
      </c>
      <c r="W815" s="126">
        <f t="shared" si="90"/>
        <v>51000</v>
      </c>
      <c r="X815" s="126">
        <f t="shared" si="92"/>
        <v>758.70276703362094</v>
      </c>
      <c r="Y815" s="128" t="s">
        <v>2726</v>
      </c>
      <c r="Z815" s="119" t="s">
        <v>35</v>
      </c>
      <c r="AA815" s="119" t="s">
        <v>35</v>
      </c>
      <c r="AB815" s="119" t="s">
        <v>2727</v>
      </c>
      <c r="AC815" s="119">
        <v>0</v>
      </c>
      <c r="AD815" s="119">
        <v>1</v>
      </c>
      <c r="AE815" s="119" t="s">
        <v>412</v>
      </c>
      <c r="AF815" s="119" t="s">
        <v>43</v>
      </c>
      <c r="AG815" s="119" t="s">
        <v>38</v>
      </c>
      <c r="AH815" s="119" t="s">
        <v>92</v>
      </c>
    </row>
    <row r="816" spans="1:34" x14ac:dyDescent="0.3">
      <c r="A816" s="107" t="s">
        <v>2727</v>
      </c>
      <c r="B816" s="108" t="s">
        <v>2756</v>
      </c>
      <c r="C816" s="108" t="s">
        <v>2757</v>
      </c>
      <c r="D816" s="109">
        <v>45320</v>
      </c>
      <c r="E816" s="110">
        <v>227500</v>
      </c>
      <c r="F816" s="108" t="s">
        <v>32</v>
      </c>
      <c r="G816" s="108" t="s">
        <v>33</v>
      </c>
      <c r="H816" s="110">
        <v>227500</v>
      </c>
      <c r="I816" s="110">
        <v>86200</v>
      </c>
      <c r="J816" s="111">
        <f t="shared" si="85"/>
        <v>37.890109890109891</v>
      </c>
      <c r="K816" s="110">
        <v>221836</v>
      </c>
      <c r="L816" s="110">
        <f>H816-203573</f>
        <v>23927</v>
      </c>
      <c r="M816" s="110">
        <v>18263</v>
      </c>
      <c r="N816" s="112">
        <f t="shared" si="86"/>
        <v>8.0276923076923079E-2</v>
      </c>
      <c r="O816" s="113">
        <v>60.27</v>
      </c>
      <c r="P816" s="114">
        <v>122.51</v>
      </c>
      <c r="Q816" s="115">
        <v>0.17399999999999999</v>
      </c>
      <c r="R816" s="115">
        <v>0.17399999999999999</v>
      </c>
      <c r="S816" s="110">
        <f t="shared" si="87"/>
        <v>396.99684751949559</v>
      </c>
      <c r="T816" s="110">
        <f t="shared" si="88"/>
        <v>137511.49425287358</v>
      </c>
      <c r="U816" s="116">
        <f t="shared" si="89"/>
        <v>3.1568295283028829</v>
      </c>
      <c r="V816" s="115">
        <v>58.57</v>
      </c>
      <c r="W816" s="115">
        <f t="shared" si="90"/>
        <v>45500</v>
      </c>
      <c r="X816" s="115">
        <f t="shared" si="92"/>
        <v>776.84821581014171</v>
      </c>
      <c r="Y816" s="117" t="s">
        <v>2726</v>
      </c>
      <c r="Z816" s="108" t="s">
        <v>35</v>
      </c>
      <c r="AA816" s="108" t="s">
        <v>35</v>
      </c>
      <c r="AB816" s="108" t="s">
        <v>2727</v>
      </c>
      <c r="AC816" s="108">
        <v>0</v>
      </c>
      <c r="AD816" s="108">
        <v>1</v>
      </c>
      <c r="AE816" s="108" t="s">
        <v>37</v>
      </c>
      <c r="AF816" s="108" t="s">
        <v>43</v>
      </c>
      <c r="AG816" s="108" t="s">
        <v>38</v>
      </c>
      <c r="AH816" s="108" t="s">
        <v>92</v>
      </c>
    </row>
    <row r="817" spans="1:34" x14ac:dyDescent="0.3">
      <c r="A817" s="107" t="s">
        <v>2727</v>
      </c>
      <c r="B817" s="108" t="s">
        <v>2742</v>
      </c>
      <c r="C817" s="108" t="s">
        <v>2743</v>
      </c>
      <c r="D817" s="109">
        <v>45454</v>
      </c>
      <c r="E817" s="110">
        <v>243000</v>
      </c>
      <c r="F817" s="108" t="s">
        <v>32</v>
      </c>
      <c r="G817" s="108" t="s">
        <v>33</v>
      </c>
      <c r="H817" s="110">
        <v>243000</v>
      </c>
      <c r="I817" s="110">
        <v>109700</v>
      </c>
      <c r="J817" s="111">
        <f t="shared" si="85"/>
        <v>45.144032921810698</v>
      </c>
      <c r="K817" s="110">
        <v>235477</v>
      </c>
      <c r="L817" s="110">
        <f>H817-216984</f>
        <v>26016</v>
      </c>
      <c r="M817" s="110">
        <v>18493</v>
      </c>
      <c r="N817" s="112">
        <f t="shared" si="86"/>
        <v>7.610288065843622E-2</v>
      </c>
      <c r="O817" s="113">
        <v>61.03</v>
      </c>
      <c r="P817" s="114">
        <v>121.11</v>
      </c>
      <c r="Q817" s="115">
        <v>0.17199999999999999</v>
      </c>
      <c r="R817" s="115">
        <v>0.17199999999999999</v>
      </c>
      <c r="S817" s="110">
        <f t="shared" si="87"/>
        <v>426.28215631656559</v>
      </c>
      <c r="T817" s="110">
        <f t="shared" si="88"/>
        <v>151255.8139534884</v>
      </c>
      <c r="U817" s="116">
        <f t="shared" si="89"/>
        <v>3.472355692228843</v>
      </c>
      <c r="V817" s="115">
        <v>62</v>
      </c>
      <c r="W817" s="115">
        <f t="shared" si="90"/>
        <v>48600</v>
      </c>
      <c r="X817" s="115">
        <f t="shared" si="92"/>
        <v>783.87096774193549</v>
      </c>
      <c r="Y817" s="117" t="s">
        <v>2726</v>
      </c>
      <c r="Z817" s="108" t="s">
        <v>35</v>
      </c>
      <c r="AA817" s="108" t="s">
        <v>35</v>
      </c>
      <c r="AB817" s="108" t="s">
        <v>2727</v>
      </c>
      <c r="AC817" s="108">
        <v>0</v>
      </c>
      <c r="AD817" s="108">
        <v>1</v>
      </c>
      <c r="AE817" s="108" t="s">
        <v>42</v>
      </c>
      <c r="AF817" s="108" t="s">
        <v>43</v>
      </c>
      <c r="AG817" s="108" t="s">
        <v>38</v>
      </c>
      <c r="AH817" s="108" t="s">
        <v>92</v>
      </c>
    </row>
    <row r="818" spans="1:34" x14ac:dyDescent="0.3">
      <c r="A818" s="118" t="s">
        <v>2727</v>
      </c>
      <c r="B818" s="119" t="s">
        <v>2740</v>
      </c>
      <c r="C818" s="119" t="s">
        <v>2741</v>
      </c>
      <c r="D818" s="120">
        <v>45639</v>
      </c>
      <c r="E818" s="121">
        <v>237000</v>
      </c>
      <c r="F818" s="119" t="s">
        <v>32</v>
      </c>
      <c r="G818" s="119" t="s">
        <v>33</v>
      </c>
      <c r="H818" s="121">
        <v>237000</v>
      </c>
      <c r="I818" s="121">
        <v>85700</v>
      </c>
      <c r="J818" s="122">
        <f t="shared" si="85"/>
        <v>36.160337552742618</v>
      </c>
      <c r="K818" s="121">
        <v>184830</v>
      </c>
      <c r="L818" s="121">
        <f>H818-167017</f>
        <v>69983</v>
      </c>
      <c r="M818" s="121">
        <v>17813</v>
      </c>
      <c r="N818" s="123">
        <f t="shared" si="86"/>
        <v>7.5160337552742609E-2</v>
      </c>
      <c r="O818" s="124">
        <v>58.78</v>
      </c>
      <c r="P818" s="125">
        <v>120</v>
      </c>
      <c r="Q818" s="126">
        <v>0.16500000000000001</v>
      </c>
      <c r="R818" s="126">
        <v>0.16500000000000001</v>
      </c>
      <c r="S818" s="121">
        <f t="shared" si="87"/>
        <v>1190.5920381082001</v>
      </c>
      <c r="T818" s="121">
        <f t="shared" si="88"/>
        <v>424139.39393939392</v>
      </c>
      <c r="U818" s="127">
        <f t="shared" si="89"/>
        <v>9.7369006873139092</v>
      </c>
      <c r="V818" s="126">
        <v>60</v>
      </c>
      <c r="W818" s="126">
        <f t="shared" si="90"/>
        <v>47400</v>
      </c>
      <c r="X818" s="126">
        <f t="shared" si="92"/>
        <v>790</v>
      </c>
      <c r="Y818" s="128" t="s">
        <v>2726</v>
      </c>
      <c r="Z818" s="119" t="s">
        <v>35</v>
      </c>
      <c r="AA818" s="119" t="s">
        <v>35</v>
      </c>
      <c r="AB818" s="119" t="s">
        <v>2727</v>
      </c>
      <c r="AC818" s="119">
        <v>0</v>
      </c>
      <c r="AD818" s="119">
        <v>1</v>
      </c>
      <c r="AE818" s="119" t="s">
        <v>42</v>
      </c>
      <c r="AF818" s="119" t="s">
        <v>35</v>
      </c>
      <c r="AG818" s="119" t="s">
        <v>38</v>
      </c>
      <c r="AH818" s="119" t="s">
        <v>92</v>
      </c>
    </row>
    <row r="819" spans="1:34" x14ac:dyDescent="0.3">
      <c r="A819" s="118" t="s">
        <v>2727</v>
      </c>
      <c r="B819" s="119" t="s">
        <v>2738</v>
      </c>
      <c r="C819" s="119" t="s">
        <v>2739</v>
      </c>
      <c r="D819" s="120">
        <v>45526</v>
      </c>
      <c r="E819" s="121">
        <v>240000</v>
      </c>
      <c r="F819" s="119" t="s">
        <v>32</v>
      </c>
      <c r="G819" s="119" t="s">
        <v>33</v>
      </c>
      <c r="H819" s="121">
        <v>240000</v>
      </c>
      <c r="I819" s="121">
        <v>94700</v>
      </c>
      <c r="J819" s="122">
        <f t="shared" si="85"/>
        <v>39.458333333333336</v>
      </c>
      <c r="K819" s="121">
        <v>203907</v>
      </c>
      <c r="L819" s="121">
        <f>H819-186094</f>
        <v>53906</v>
      </c>
      <c r="M819" s="121">
        <v>17813</v>
      </c>
      <c r="N819" s="123">
        <f t="shared" si="86"/>
        <v>7.4220833333333333E-2</v>
      </c>
      <c r="O819" s="124">
        <v>58.78</v>
      </c>
      <c r="P819" s="125">
        <v>120</v>
      </c>
      <c r="Q819" s="126">
        <v>0.16500000000000001</v>
      </c>
      <c r="R819" s="126">
        <v>0.16500000000000001</v>
      </c>
      <c r="S819" s="121">
        <f t="shared" si="87"/>
        <v>917.08063967335829</v>
      </c>
      <c r="T819" s="121">
        <f t="shared" si="88"/>
        <v>326703.03030303027</v>
      </c>
      <c r="U819" s="127">
        <f t="shared" si="89"/>
        <v>7.5000695661852683</v>
      </c>
      <c r="V819" s="126">
        <v>60</v>
      </c>
      <c r="W819" s="126">
        <f t="shared" si="90"/>
        <v>48000</v>
      </c>
      <c r="X819" s="126">
        <f t="shared" si="92"/>
        <v>800</v>
      </c>
      <c r="Y819" s="128" t="s">
        <v>2726</v>
      </c>
      <c r="Z819" s="119" t="s">
        <v>35</v>
      </c>
      <c r="AA819" s="119" t="s">
        <v>35</v>
      </c>
      <c r="AB819" s="119" t="s">
        <v>2727</v>
      </c>
      <c r="AC819" s="119">
        <v>0</v>
      </c>
      <c r="AD819" s="119">
        <v>1</v>
      </c>
      <c r="AE819" s="119" t="s">
        <v>37</v>
      </c>
      <c r="AF819" s="119" t="s">
        <v>43</v>
      </c>
      <c r="AG819" s="119" t="s">
        <v>38</v>
      </c>
      <c r="AH819" s="119" t="s">
        <v>92</v>
      </c>
    </row>
    <row r="820" spans="1:34" x14ac:dyDescent="0.3">
      <c r="A820" s="118" t="s">
        <v>2727</v>
      </c>
      <c r="B820" s="119" t="s">
        <v>2746</v>
      </c>
      <c r="C820" s="119" t="s">
        <v>2747</v>
      </c>
      <c r="D820" s="120">
        <v>45496</v>
      </c>
      <c r="E820" s="121">
        <v>240000</v>
      </c>
      <c r="F820" s="119" t="s">
        <v>32</v>
      </c>
      <c r="G820" s="119" t="s">
        <v>33</v>
      </c>
      <c r="H820" s="121">
        <v>240000</v>
      </c>
      <c r="I820" s="121">
        <v>91400</v>
      </c>
      <c r="J820" s="122">
        <f t="shared" si="85"/>
        <v>38.083333333333336</v>
      </c>
      <c r="K820" s="121">
        <v>198148</v>
      </c>
      <c r="L820" s="121">
        <f>H820-180335</f>
        <v>59665</v>
      </c>
      <c r="M820" s="121">
        <v>17813</v>
      </c>
      <c r="N820" s="123">
        <f t="shared" si="86"/>
        <v>7.4220833333333333E-2</v>
      </c>
      <c r="O820" s="124">
        <v>58.78</v>
      </c>
      <c r="P820" s="125">
        <v>120</v>
      </c>
      <c r="Q820" s="126">
        <v>0.16500000000000001</v>
      </c>
      <c r="R820" s="126">
        <v>0.16500000000000001</v>
      </c>
      <c r="S820" s="121">
        <f t="shared" si="87"/>
        <v>1015.0561415447431</v>
      </c>
      <c r="T820" s="121">
        <f t="shared" si="88"/>
        <v>361606.06060606061</v>
      </c>
      <c r="U820" s="127">
        <f t="shared" si="89"/>
        <v>8.3013328881097479</v>
      </c>
      <c r="V820" s="126">
        <v>60</v>
      </c>
      <c r="W820" s="126">
        <f t="shared" si="90"/>
        <v>48000</v>
      </c>
      <c r="X820" s="126">
        <f t="shared" si="92"/>
        <v>800</v>
      </c>
      <c r="Y820" s="128" t="s">
        <v>2726</v>
      </c>
      <c r="Z820" s="119" t="s">
        <v>35</v>
      </c>
      <c r="AA820" s="119" t="s">
        <v>35</v>
      </c>
      <c r="AB820" s="119" t="s">
        <v>2727</v>
      </c>
      <c r="AC820" s="119">
        <v>0</v>
      </c>
      <c r="AD820" s="119">
        <v>1</v>
      </c>
      <c r="AE820" s="119" t="s">
        <v>42</v>
      </c>
      <c r="AF820" s="119" t="s">
        <v>43</v>
      </c>
      <c r="AG820" s="119" t="s">
        <v>38</v>
      </c>
      <c r="AH820" s="119" t="s">
        <v>92</v>
      </c>
    </row>
    <row r="821" spans="1:34" x14ac:dyDescent="0.3">
      <c r="A821" s="118" t="s">
        <v>2727</v>
      </c>
      <c r="B821" s="119" t="s">
        <v>2754</v>
      </c>
      <c r="C821" s="119" t="s">
        <v>2755</v>
      </c>
      <c r="D821" s="120">
        <v>45261</v>
      </c>
      <c r="E821" s="121">
        <v>247000</v>
      </c>
      <c r="F821" s="119" t="s">
        <v>32</v>
      </c>
      <c r="G821" s="119" t="s">
        <v>33</v>
      </c>
      <c r="H821" s="121">
        <v>247000</v>
      </c>
      <c r="I821" s="121">
        <v>91900</v>
      </c>
      <c r="J821" s="122">
        <f t="shared" si="85"/>
        <v>37.206477732793523</v>
      </c>
      <c r="K821" s="121">
        <v>234422</v>
      </c>
      <c r="L821" s="121">
        <f>H821-216609</f>
        <v>30391</v>
      </c>
      <c r="M821" s="121">
        <v>17813</v>
      </c>
      <c r="N821" s="123">
        <f t="shared" si="86"/>
        <v>7.2117408906882591E-2</v>
      </c>
      <c r="O821" s="124">
        <v>58.78</v>
      </c>
      <c r="P821" s="125">
        <v>120</v>
      </c>
      <c r="Q821" s="126">
        <v>0.16500000000000001</v>
      </c>
      <c r="R821" s="126">
        <v>0.16500000000000001</v>
      </c>
      <c r="S821" s="121">
        <f t="shared" si="87"/>
        <v>517.02960190541</v>
      </c>
      <c r="T821" s="121">
        <f t="shared" si="88"/>
        <v>184187.87878787878</v>
      </c>
      <c r="U821" s="127">
        <f t="shared" si="89"/>
        <v>4.228371872999972</v>
      </c>
      <c r="V821" s="126">
        <v>60</v>
      </c>
      <c r="W821" s="126">
        <f t="shared" si="90"/>
        <v>49400</v>
      </c>
      <c r="X821" s="126">
        <f t="shared" si="92"/>
        <v>823.33333333333337</v>
      </c>
      <c r="Y821" s="128" t="s">
        <v>2726</v>
      </c>
      <c r="Z821" s="119" t="s">
        <v>35</v>
      </c>
      <c r="AA821" s="119" t="s">
        <v>35</v>
      </c>
      <c r="AB821" s="119" t="s">
        <v>2727</v>
      </c>
      <c r="AC821" s="119">
        <v>0</v>
      </c>
      <c r="AD821" s="119">
        <v>1</v>
      </c>
      <c r="AE821" s="119" t="s">
        <v>42</v>
      </c>
      <c r="AF821" s="119" t="s">
        <v>43</v>
      </c>
      <c r="AG821" s="119" t="s">
        <v>38</v>
      </c>
      <c r="AH821" s="119" t="s">
        <v>92</v>
      </c>
    </row>
    <row r="822" spans="1:34" x14ac:dyDescent="0.3">
      <c r="A822" s="107" t="s">
        <v>2727</v>
      </c>
      <c r="B822" s="108" t="s">
        <v>2758</v>
      </c>
      <c r="C822" s="108" t="s">
        <v>2759</v>
      </c>
      <c r="D822" s="109">
        <v>45170</v>
      </c>
      <c r="E822" s="110">
        <v>255000</v>
      </c>
      <c r="F822" s="108" t="s">
        <v>32</v>
      </c>
      <c r="G822" s="108" t="s">
        <v>33</v>
      </c>
      <c r="H822" s="110">
        <v>255000</v>
      </c>
      <c r="I822" s="110">
        <v>90800</v>
      </c>
      <c r="J822" s="111">
        <f t="shared" si="85"/>
        <v>35.607843137254903</v>
      </c>
      <c r="K822" s="110">
        <v>232588</v>
      </c>
      <c r="L822" s="110">
        <f>H822-213048</f>
        <v>41952</v>
      </c>
      <c r="M822" s="110">
        <v>19540</v>
      </c>
      <c r="N822" s="112">
        <f t="shared" si="86"/>
        <v>7.6627450980392156E-2</v>
      </c>
      <c r="O822" s="113">
        <v>64.48</v>
      </c>
      <c r="P822" s="114">
        <v>127.52</v>
      </c>
      <c r="Q822" s="115">
        <v>0.191</v>
      </c>
      <c r="R822" s="115">
        <v>0.191</v>
      </c>
      <c r="S822" s="110">
        <f t="shared" si="87"/>
        <v>650.62034739454089</v>
      </c>
      <c r="T822" s="110">
        <f t="shared" si="88"/>
        <v>219643.97905759161</v>
      </c>
      <c r="U822" s="116">
        <f t="shared" si="89"/>
        <v>5.0423319342881454</v>
      </c>
      <c r="V822" s="115">
        <v>60.77</v>
      </c>
      <c r="W822" s="115">
        <f t="shared" si="90"/>
        <v>51000</v>
      </c>
      <c r="X822" s="115">
        <f t="shared" si="92"/>
        <v>839.22988316603585</v>
      </c>
      <c r="Y822" s="117" t="s">
        <v>2726</v>
      </c>
      <c r="Z822" s="108" t="s">
        <v>35</v>
      </c>
      <c r="AA822" s="108" t="s">
        <v>35</v>
      </c>
      <c r="AB822" s="108" t="s">
        <v>2727</v>
      </c>
      <c r="AC822" s="108">
        <v>0</v>
      </c>
      <c r="AD822" s="108">
        <v>1</v>
      </c>
      <c r="AE822" s="108" t="s">
        <v>42</v>
      </c>
      <c r="AF822" s="108" t="s">
        <v>43</v>
      </c>
      <c r="AG822" s="108" t="s">
        <v>38</v>
      </c>
      <c r="AH822" s="108" t="s">
        <v>92</v>
      </c>
    </row>
    <row r="823" spans="1:34" x14ac:dyDescent="0.3">
      <c r="A823" s="118" t="s">
        <v>2727</v>
      </c>
      <c r="B823" s="119" t="s">
        <v>2728</v>
      </c>
      <c r="C823" s="119" t="s">
        <v>2729</v>
      </c>
      <c r="D823" s="120">
        <v>45324</v>
      </c>
      <c r="E823" s="121">
        <v>262000</v>
      </c>
      <c r="F823" s="119" t="s">
        <v>32</v>
      </c>
      <c r="G823" s="119" t="s">
        <v>33</v>
      </c>
      <c r="H823" s="121">
        <v>262000</v>
      </c>
      <c r="I823" s="121">
        <v>80700</v>
      </c>
      <c r="J823" s="122">
        <f t="shared" si="85"/>
        <v>30.801526717557255</v>
      </c>
      <c r="K823" s="121">
        <v>208090</v>
      </c>
      <c r="L823" s="121">
        <f>H823-188850</f>
        <v>73150</v>
      </c>
      <c r="M823" s="121">
        <v>19240</v>
      </c>
      <c r="N823" s="123">
        <f t="shared" si="86"/>
        <v>7.343511450381679E-2</v>
      </c>
      <c r="O823" s="124">
        <v>63.49</v>
      </c>
      <c r="P823" s="125">
        <v>140</v>
      </c>
      <c r="Q823" s="126">
        <v>0.193</v>
      </c>
      <c r="R823" s="126">
        <v>0.193</v>
      </c>
      <c r="S823" s="121">
        <f t="shared" si="87"/>
        <v>1152.1499448732084</v>
      </c>
      <c r="T823" s="121">
        <f t="shared" si="88"/>
        <v>379015.54404145078</v>
      </c>
      <c r="U823" s="127">
        <f t="shared" si="89"/>
        <v>8.7009996336421214</v>
      </c>
      <c r="V823" s="126">
        <v>60</v>
      </c>
      <c r="W823" s="126">
        <f t="shared" si="90"/>
        <v>52400</v>
      </c>
      <c r="X823" s="126">
        <f t="shared" si="92"/>
        <v>873.33333333333337</v>
      </c>
      <c r="Y823" s="128" t="s">
        <v>2726</v>
      </c>
      <c r="Z823" s="119" t="s">
        <v>35</v>
      </c>
      <c r="AA823" s="119" t="s">
        <v>35</v>
      </c>
      <c r="AB823" s="119" t="s">
        <v>2727</v>
      </c>
      <c r="AC823" s="119">
        <v>0</v>
      </c>
      <c r="AD823" s="119">
        <v>1</v>
      </c>
      <c r="AE823" s="119" t="s">
        <v>2730</v>
      </c>
      <c r="AF823" s="119" t="s">
        <v>43</v>
      </c>
      <c r="AG823" s="119" t="s">
        <v>38</v>
      </c>
      <c r="AH823" s="119" t="s">
        <v>92</v>
      </c>
    </row>
    <row r="824" spans="1:34" x14ac:dyDescent="0.3">
      <c r="A824" s="118" t="s">
        <v>2727</v>
      </c>
      <c r="B824" s="119" t="s">
        <v>2771</v>
      </c>
      <c r="C824" s="119" t="s">
        <v>2772</v>
      </c>
      <c r="D824" s="120">
        <v>45545</v>
      </c>
      <c r="E824" s="121">
        <v>285000</v>
      </c>
      <c r="F824" s="119" t="s">
        <v>81</v>
      </c>
      <c r="G824" s="119" t="s">
        <v>33</v>
      </c>
      <c r="H824" s="121">
        <v>285000</v>
      </c>
      <c r="I824" s="121">
        <v>142600</v>
      </c>
      <c r="J824" s="122">
        <f t="shared" si="85"/>
        <v>50.035087719298247</v>
      </c>
      <c r="K824" s="121">
        <v>311942</v>
      </c>
      <c r="L824" s="121">
        <f>H824-291473</f>
        <v>-6473</v>
      </c>
      <c r="M824" s="121">
        <v>20469</v>
      </c>
      <c r="N824" s="123">
        <f t="shared" si="86"/>
        <v>7.1821052631578952E-2</v>
      </c>
      <c r="O824" s="124">
        <v>67.55</v>
      </c>
      <c r="P824" s="125">
        <v>135.02000000000001</v>
      </c>
      <c r="Q824" s="126">
        <v>0.20100000000000001</v>
      </c>
      <c r="R824" s="126">
        <v>0.20100000000000001</v>
      </c>
      <c r="S824" s="121">
        <f t="shared" si="87"/>
        <v>-95.825314581791275</v>
      </c>
      <c r="T824" s="121">
        <f t="shared" si="88"/>
        <v>-32203.980099502485</v>
      </c>
      <c r="U824" s="127">
        <f t="shared" si="89"/>
        <v>-0.73930165517682478</v>
      </c>
      <c r="V824" s="126">
        <v>65</v>
      </c>
      <c r="W824" s="126">
        <f t="shared" si="90"/>
        <v>57000</v>
      </c>
      <c r="X824" s="126">
        <f t="shared" si="92"/>
        <v>876.92307692307691</v>
      </c>
      <c r="Y824" s="128" t="s">
        <v>2726</v>
      </c>
      <c r="Z824" s="119" t="s">
        <v>35</v>
      </c>
      <c r="AA824" s="119" t="s">
        <v>35</v>
      </c>
      <c r="AB824" s="119" t="s">
        <v>2727</v>
      </c>
      <c r="AC824" s="119">
        <v>0</v>
      </c>
      <c r="AD824" s="119">
        <v>1</v>
      </c>
      <c r="AE824" s="119" t="s">
        <v>37</v>
      </c>
      <c r="AF824" s="119" t="s">
        <v>35</v>
      </c>
      <c r="AG824" s="119" t="s">
        <v>38</v>
      </c>
      <c r="AH824" s="119" t="s">
        <v>92</v>
      </c>
    </row>
    <row r="825" spans="1:34" x14ac:dyDescent="0.3">
      <c r="A825" s="118" t="s">
        <v>2727</v>
      </c>
      <c r="B825" s="119" t="s">
        <v>2760</v>
      </c>
      <c r="C825" s="119" t="s">
        <v>2761</v>
      </c>
      <c r="D825" s="120">
        <v>45471</v>
      </c>
      <c r="E825" s="121">
        <v>265000</v>
      </c>
      <c r="F825" s="119" t="s">
        <v>32</v>
      </c>
      <c r="G825" s="119" t="s">
        <v>33</v>
      </c>
      <c r="H825" s="121">
        <v>265000</v>
      </c>
      <c r="I825" s="121">
        <v>108000</v>
      </c>
      <c r="J825" s="122">
        <f t="shared" si="85"/>
        <v>40.754716981132077</v>
      </c>
      <c r="K825" s="121">
        <v>231281</v>
      </c>
      <c r="L825" s="121">
        <f>H825-211172</f>
        <v>53828</v>
      </c>
      <c r="M825" s="121">
        <v>20109</v>
      </c>
      <c r="N825" s="123">
        <f t="shared" si="86"/>
        <v>7.5883018867924534E-2</v>
      </c>
      <c r="O825" s="124">
        <v>66.36</v>
      </c>
      <c r="P825" s="125">
        <v>136.79</v>
      </c>
      <c r="Q825" s="126">
        <v>0.20499999999999999</v>
      </c>
      <c r="R825" s="126">
        <v>0.20499999999999999</v>
      </c>
      <c r="S825" s="121">
        <f t="shared" si="87"/>
        <v>811.15129596142253</v>
      </c>
      <c r="T825" s="121">
        <f t="shared" si="88"/>
        <v>262575.6097560976</v>
      </c>
      <c r="U825" s="127">
        <f t="shared" si="89"/>
        <v>6.0279065600573372</v>
      </c>
      <c r="V825" s="126">
        <v>59.6</v>
      </c>
      <c r="W825" s="126">
        <f t="shared" si="90"/>
        <v>53000</v>
      </c>
      <c r="X825" s="126">
        <f t="shared" si="92"/>
        <v>889.26174496644296</v>
      </c>
      <c r="Y825" s="128" t="s">
        <v>2726</v>
      </c>
      <c r="Z825" s="119" t="s">
        <v>35</v>
      </c>
      <c r="AA825" s="119" t="s">
        <v>35</v>
      </c>
      <c r="AB825" s="119" t="s">
        <v>2727</v>
      </c>
      <c r="AC825" s="119">
        <v>0</v>
      </c>
      <c r="AD825" s="119">
        <v>1</v>
      </c>
      <c r="AE825" s="119" t="s">
        <v>42</v>
      </c>
      <c r="AF825" s="119" t="s">
        <v>43</v>
      </c>
      <c r="AG825" s="119" t="s">
        <v>38</v>
      </c>
      <c r="AH825" s="119" t="s">
        <v>92</v>
      </c>
    </row>
    <row r="826" spans="1:34" x14ac:dyDescent="0.3">
      <c r="A826" s="107" t="s">
        <v>2727</v>
      </c>
      <c r="B826" s="108" t="s">
        <v>2724</v>
      </c>
      <c r="C826" s="108" t="s">
        <v>2725</v>
      </c>
      <c r="D826" s="109">
        <v>45573</v>
      </c>
      <c r="E826" s="110">
        <v>280000</v>
      </c>
      <c r="F826" s="108" t="s">
        <v>32</v>
      </c>
      <c r="G826" s="108" t="s">
        <v>33</v>
      </c>
      <c r="H826" s="110">
        <v>280000</v>
      </c>
      <c r="I826" s="110">
        <v>103300</v>
      </c>
      <c r="J826" s="111">
        <f t="shared" si="85"/>
        <v>36.892857142857146</v>
      </c>
      <c r="K826" s="110">
        <v>219268</v>
      </c>
      <c r="L826" s="110">
        <f>H826-201378</f>
        <v>78622</v>
      </c>
      <c r="M826" s="110">
        <v>17890</v>
      </c>
      <c r="N826" s="112">
        <f t="shared" si="86"/>
        <v>6.389285714285714E-2</v>
      </c>
      <c r="O826" s="113">
        <v>59.04</v>
      </c>
      <c r="P826" s="114">
        <v>121.05</v>
      </c>
      <c r="Q826" s="115">
        <v>0.16700000000000001</v>
      </c>
      <c r="R826" s="115">
        <v>0.16700000000000001</v>
      </c>
      <c r="S826" s="110">
        <f t="shared" si="87"/>
        <v>1331.6734417344173</v>
      </c>
      <c r="T826" s="110">
        <f t="shared" si="88"/>
        <v>470790.4191616766</v>
      </c>
      <c r="U826" s="116">
        <f t="shared" si="89"/>
        <v>10.807860862297442</v>
      </c>
      <c r="V826" s="115">
        <v>60</v>
      </c>
      <c r="W826" s="115">
        <f t="shared" si="90"/>
        <v>56000</v>
      </c>
      <c r="X826" s="115">
        <f t="shared" si="92"/>
        <v>933.33333333333337</v>
      </c>
      <c r="Y826" s="117" t="s">
        <v>2726</v>
      </c>
      <c r="Z826" s="108" t="s">
        <v>35</v>
      </c>
      <c r="AA826" s="108" t="s">
        <v>35</v>
      </c>
      <c r="AB826" s="108" t="s">
        <v>2727</v>
      </c>
      <c r="AC826" s="108">
        <v>0</v>
      </c>
      <c r="AD826" s="108">
        <v>1</v>
      </c>
      <c r="AE826" s="108" t="s">
        <v>42</v>
      </c>
      <c r="AF826" s="108" t="s">
        <v>35</v>
      </c>
      <c r="AG826" s="108" t="s">
        <v>38</v>
      </c>
      <c r="AH826" s="108" t="s">
        <v>92</v>
      </c>
    </row>
    <row r="827" spans="1:34" x14ac:dyDescent="0.3">
      <c r="A827" s="118" t="s">
        <v>2150</v>
      </c>
      <c r="B827" s="119" t="s">
        <v>2147</v>
      </c>
      <c r="C827" s="119" t="s">
        <v>2148</v>
      </c>
      <c r="D827" s="120">
        <v>45271</v>
      </c>
      <c r="E827" s="121">
        <v>347000</v>
      </c>
      <c r="F827" s="119" t="s">
        <v>32</v>
      </c>
      <c r="G827" s="119" t="s">
        <v>33</v>
      </c>
      <c r="H827" s="121">
        <v>347000</v>
      </c>
      <c r="I827" s="121">
        <v>141700</v>
      </c>
      <c r="J827" s="122">
        <f t="shared" si="85"/>
        <v>40.835734870317005</v>
      </c>
      <c r="K827" s="121">
        <v>295081</v>
      </c>
      <c r="L827" s="121">
        <f>H827-260209</f>
        <v>86791</v>
      </c>
      <c r="M827" s="121">
        <v>34872</v>
      </c>
      <c r="N827" s="123">
        <f t="shared" si="86"/>
        <v>0.10049567723342939</v>
      </c>
      <c r="O827" s="124">
        <v>84.64</v>
      </c>
      <c r="P827" s="125">
        <v>120</v>
      </c>
      <c r="Q827" s="126">
        <v>0.23400000000000001</v>
      </c>
      <c r="R827" s="126">
        <v>0.23400000000000001</v>
      </c>
      <c r="S827" s="121">
        <f t="shared" si="87"/>
        <v>1025.413516068053</v>
      </c>
      <c r="T827" s="121">
        <f t="shared" si="88"/>
        <v>370901.70940170938</v>
      </c>
      <c r="U827" s="127">
        <f t="shared" si="89"/>
        <v>8.5147316207922259</v>
      </c>
      <c r="V827" s="126">
        <v>84.15</v>
      </c>
      <c r="W827" s="126">
        <f t="shared" si="90"/>
        <v>69400</v>
      </c>
      <c r="X827" s="126">
        <f t="shared" si="92"/>
        <v>824.71776589423644</v>
      </c>
      <c r="Y827" s="128" t="s">
        <v>2149</v>
      </c>
      <c r="Z827" s="119" t="s">
        <v>35</v>
      </c>
      <c r="AA827" s="119" t="s">
        <v>35</v>
      </c>
      <c r="AB827" s="119" t="s">
        <v>2150</v>
      </c>
      <c r="AC827" s="119">
        <v>0</v>
      </c>
      <c r="AD827" s="119">
        <v>1</v>
      </c>
      <c r="AE827" s="119" t="s">
        <v>412</v>
      </c>
      <c r="AF827" s="119" t="s">
        <v>43</v>
      </c>
      <c r="AG827" s="119" t="s">
        <v>38</v>
      </c>
      <c r="AH827" s="119" t="s">
        <v>92</v>
      </c>
    </row>
    <row r="828" spans="1:34" x14ac:dyDescent="0.3">
      <c r="A828" s="118" t="s">
        <v>2150</v>
      </c>
      <c r="B828" s="119" t="s">
        <v>2158</v>
      </c>
      <c r="C828" s="119" t="s">
        <v>2159</v>
      </c>
      <c r="D828" s="120">
        <v>45425</v>
      </c>
      <c r="E828" s="121">
        <v>339900</v>
      </c>
      <c r="F828" s="119" t="s">
        <v>32</v>
      </c>
      <c r="G828" s="119" t="s">
        <v>33</v>
      </c>
      <c r="H828" s="121">
        <v>339900</v>
      </c>
      <c r="I828" s="121">
        <v>144900</v>
      </c>
      <c r="J828" s="122">
        <f t="shared" si="85"/>
        <v>42.630185348631947</v>
      </c>
      <c r="K828" s="121">
        <v>294332</v>
      </c>
      <c r="L828" s="121">
        <f>H828-261200</f>
        <v>78700</v>
      </c>
      <c r="M828" s="121">
        <v>33132</v>
      </c>
      <c r="N828" s="123">
        <f t="shared" si="86"/>
        <v>9.7475728155339808E-2</v>
      </c>
      <c r="O828" s="124">
        <v>80.41</v>
      </c>
      <c r="P828" s="125">
        <v>121.11</v>
      </c>
      <c r="Q828" s="126">
        <v>0.223</v>
      </c>
      <c r="R828" s="126">
        <v>0.223</v>
      </c>
      <c r="S828" s="121">
        <f t="shared" si="87"/>
        <v>978.73398830991175</v>
      </c>
      <c r="T828" s="121">
        <f t="shared" si="88"/>
        <v>352914.79820627801</v>
      </c>
      <c r="U828" s="127">
        <f t="shared" si="89"/>
        <v>8.1018089579035362</v>
      </c>
      <c r="V828" s="126">
        <v>80.069999999999993</v>
      </c>
      <c r="W828" s="126">
        <f t="shared" si="90"/>
        <v>67980</v>
      </c>
      <c r="X828" s="126">
        <f t="shared" si="92"/>
        <v>849.0071187710754</v>
      </c>
      <c r="Y828" s="128" t="s">
        <v>2149</v>
      </c>
      <c r="Z828" s="119" t="s">
        <v>35</v>
      </c>
      <c r="AA828" s="119" t="s">
        <v>35</v>
      </c>
      <c r="AB828" s="119" t="s">
        <v>2150</v>
      </c>
      <c r="AC828" s="119">
        <v>0</v>
      </c>
      <c r="AD828" s="119">
        <v>1</v>
      </c>
      <c r="AE828" s="119" t="s">
        <v>412</v>
      </c>
      <c r="AF828" s="119" t="s">
        <v>43</v>
      </c>
      <c r="AG828" s="119" t="s">
        <v>38</v>
      </c>
      <c r="AH828" s="119" t="s">
        <v>92</v>
      </c>
    </row>
    <row r="829" spans="1:34" x14ac:dyDescent="0.3">
      <c r="A829" s="107" t="s">
        <v>2150</v>
      </c>
      <c r="B829" s="108" t="s">
        <v>2155</v>
      </c>
      <c r="C829" s="108" t="s">
        <v>2156</v>
      </c>
      <c r="D829" s="109">
        <v>45524</v>
      </c>
      <c r="E829" s="110">
        <v>353000</v>
      </c>
      <c r="F829" s="108" t="s">
        <v>32</v>
      </c>
      <c r="G829" s="108" t="s">
        <v>33</v>
      </c>
      <c r="H829" s="110">
        <v>353000</v>
      </c>
      <c r="I829" s="110">
        <v>151200</v>
      </c>
      <c r="J829" s="111">
        <f t="shared" si="85"/>
        <v>42.832861189801704</v>
      </c>
      <c r="K829" s="110">
        <v>307841</v>
      </c>
      <c r="L829" s="110">
        <f>H829-274860</f>
        <v>78140</v>
      </c>
      <c r="M829" s="110">
        <v>32981</v>
      </c>
      <c r="N829" s="112">
        <f t="shared" si="86"/>
        <v>9.3430594900849859E-2</v>
      </c>
      <c r="O829" s="113">
        <v>80.05</v>
      </c>
      <c r="P829" s="114">
        <v>116.92</v>
      </c>
      <c r="Q829" s="115">
        <v>0.217</v>
      </c>
      <c r="R829" s="115">
        <v>0.217</v>
      </c>
      <c r="S829" s="110">
        <f t="shared" si="87"/>
        <v>976.13991255465339</v>
      </c>
      <c r="T829" s="110">
        <f t="shared" si="88"/>
        <v>360092.16589861753</v>
      </c>
      <c r="U829" s="116">
        <f t="shared" si="89"/>
        <v>8.26657864781032</v>
      </c>
      <c r="V829" s="115">
        <v>81.47</v>
      </c>
      <c r="W829" s="115">
        <f t="shared" si="90"/>
        <v>70600</v>
      </c>
      <c r="X829" s="115">
        <f t="shared" si="92"/>
        <v>866.57665398306131</v>
      </c>
      <c r="Y829" s="117" t="s">
        <v>2149</v>
      </c>
      <c r="Z829" s="108" t="s">
        <v>35</v>
      </c>
      <c r="AA829" s="108" t="s">
        <v>35</v>
      </c>
      <c r="AB829" s="108" t="s">
        <v>2150</v>
      </c>
      <c r="AC829" s="108">
        <v>0</v>
      </c>
      <c r="AD829" s="108">
        <v>1</v>
      </c>
      <c r="AE829" s="108" t="s">
        <v>2157</v>
      </c>
      <c r="AF829" s="108" t="s">
        <v>43</v>
      </c>
      <c r="AG829" s="108" t="s">
        <v>38</v>
      </c>
      <c r="AH829" s="108" t="s">
        <v>92</v>
      </c>
    </row>
    <row r="830" spans="1:34" x14ac:dyDescent="0.3">
      <c r="A830" s="118" t="s">
        <v>2150</v>
      </c>
      <c r="B830" s="119" t="s">
        <v>2151</v>
      </c>
      <c r="C830" s="119" t="s">
        <v>2152</v>
      </c>
      <c r="D830" s="120">
        <v>45190</v>
      </c>
      <c r="E830" s="121">
        <v>381000</v>
      </c>
      <c r="F830" s="119" t="s">
        <v>32</v>
      </c>
      <c r="G830" s="119" t="s">
        <v>33</v>
      </c>
      <c r="H830" s="121">
        <v>381000</v>
      </c>
      <c r="I830" s="121">
        <v>183700</v>
      </c>
      <c r="J830" s="122">
        <f t="shared" si="85"/>
        <v>48.215223097112855</v>
      </c>
      <c r="K830" s="121">
        <v>384789</v>
      </c>
      <c r="L830" s="121">
        <f>H830-351188</f>
        <v>29812</v>
      </c>
      <c r="M830" s="121">
        <v>33601</v>
      </c>
      <c r="N830" s="123">
        <f t="shared" si="86"/>
        <v>8.819160104986877E-2</v>
      </c>
      <c r="O830" s="124">
        <v>81.55</v>
      </c>
      <c r="P830" s="125">
        <v>112.77</v>
      </c>
      <c r="Q830" s="126">
        <v>0.216</v>
      </c>
      <c r="R830" s="126">
        <v>0.216</v>
      </c>
      <c r="S830" s="121">
        <f t="shared" si="87"/>
        <v>365.56713672593503</v>
      </c>
      <c r="T830" s="121">
        <f t="shared" si="88"/>
        <v>138018.51851851851</v>
      </c>
      <c r="U830" s="127">
        <f t="shared" si="89"/>
        <v>3.1684692038227391</v>
      </c>
      <c r="V830" s="126">
        <v>85.19</v>
      </c>
      <c r="W830" s="126">
        <f t="shared" si="90"/>
        <v>76200</v>
      </c>
      <c r="X830" s="126">
        <f t="shared" si="92"/>
        <v>894.47118206362256</v>
      </c>
      <c r="Y830" s="128" t="s">
        <v>2149</v>
      </c>
      <c r="Z830" s="119" t="s">
        <v>35</v>
      </c>
      <c r="AA830" s="119" t="s">
        <v>35</v>
      </c>
      <c r="AB830" s="119" t="s">
        <v>2150</v>
      </c>
      <c r="AC830" s="119">
        <v>0</v>
      </c>
      <c r="AD830" s="119">
        <v>1</v>
      </c>
      <c r="AE830" s="119" t="s">
        <v>42</v>
      </c>
      <c r="AF830" s="119" t="s">
        <v>43</v>
      </c>
      <c r="AG830" s="119" t="s">
        <v>38</v>
      </c>
      <c r="AH830" s="119" t="s">
        <v>92</v>
      </c>
    </row>
    <row r="831" spans="1:34" x14ac:dyDescent="0.3">
      <c r="A831" s="107" t="s">
        <v>2150</v>
      </c>
      <c r="B831" s="108" t="s">
        <v>2153</v>
      </c>
      <c r="C831" s="108" t="s">
        <v>2154</v>
      </c>
      <c r="D831" s="109">
        <v>45639</v>
      </c>
      <c r="E831" s="110">
        <v>420000</v>
      </c>
      <c r="F831" s="108" t="s">
        <v>32</v>
      </c>
      <c r="G831" s="108" t="s">
        <v>33</v>
      </c>
      <c r="H831" s="110">
        <v>420000</v>
      </c>
      <c r="I831" s="110">
        <v>197100</v>
      </c>
      <c r="J831" s="111">
        <f t="shared" si="85"/>
        <v>46.928571428571431</v>
      </c>
      <c r="K831" s="110">
        <v>402800</v>
      </c>
      <c r="L831" s="110">
        <f>H831-365197</f>
        <v>54803</v>
      </c>
      <c r="M831" s="110">
        <v>37603</v>
      </c>
      <c r="N831" s="112">
        <f t="shared" si="86"/>
        <v>8.9530952380952378E-2</v>
      </c>
      <c r="O831" s="113">
        <v>91.26</v>
      </c>
      <c r="P831" s="114">
        <v>156.19</v>
      </c>
      <c r="Q831" s="115">
        <v>0.28699999999999998</v>
      </c>
      <c r="R831" s="115">
        <v>0.28699999999999998</v>
      </c>
      <c r="S831" s="110">
        <f t="shared" si="87"/>
        <v>600.51501205347358</v>
      </c>
      <c r="T831" s="110">
        <f t="shared" si="88"/>
        <v>190951.21951219512</v>
      </c>
      <c r="U831" s="116">
        <f t="shared" si="89"/>
        <v>4.3836368115747275</v>
      </c>
      <c r="V831" s="115">
        <v>80</v>
      </c>
      <c r="W831" s="115">
        <f t="shared" si="90"/>
        <v>84000</v>
      </c>
      <c r="X831" s="115">
        <f t="shared" si="92"/>
        <v>1050</v>
      </c>
      <c r="Y831" s="117" t="s">
        <v>2149</v>
      </c>
      <c r="Z831" s="108" t="s">
        <v>35</v>
      </c>
      <c r="AA831" s="108" t="s">
        <v>35</v>
      </c>
      <c r="AB831" s="108" t="s">
        <v>2150</v>
      </c>
      <c r="AC831" s="108">
        <v>0</v>
      </c>
      <c r="AD831" s="108">
        <v>1</v>
      </c>
      <c r="AE831" s="108" t="s">
        <v>412</v>
      </c>
      <c r="AF831" s="108" t="s">
        <v>35</v>
      </c>
      <c r="AG831" s="108" t="s">
        <v>38</v>
      </c>
      <c r="AH831" s="108" t="s">
        <v>92</v>
      </c>
    </row>
    <row r="832" spans="1:34" x14ac:dyDescent="0.3">
      <c r="A832" s="107" t="s">
        <v>693</v>
      </c>
      <c r="B832" s="108" t="s">
        <v>746</v>
      </c>
      <c r="C832" s="108" t="s">
        <v>747</v>
      </c>
      <c r="D832" s="109">
        <v>45730</v>
      </c>
      <c r="E832" s="110">
        <v>285000</v>
      </c>
      <c r="F832" s="108" t="s">
        <v>32</v>
      </c>
      <c r="G832" s="108" t="s">
        <v>33</v>
      </c>
      <c r="H832" s="110">
        <v>285000</v>
      </c>
      <c r="I832" s="110">
        <v>102900</v>
      </c>
      <c r="J832" s="111">
        <f t="shared" si="85"/>
        <v>36.105263157894733</v>
      </c>
      <c r="K832" s="110">
        <v>208138</v>
      </c>
      <c r="L832" s="110">
        <f>H832-168737</f>
        <v>116263</v>
      </c>
      <c r="M832" s="110">
        <v>39401</v>
      </c>
      <c r="N832" s="112">
        <f t="shared" si="86"/>
        <v>0.13824912280701754</v>
      </c>
      <c r="O832" s="113">
        <v>225.15</v>
      </c>
      <c r="P832" s="114">
        <v>285</v>
      </c>
      <c r="Q832" s="115">
        <v>1.5109999999999999</v>
      </c>
      <c r="R832" s="115">
        <v>1.5109999999999999</v>
      </c>
      <c r="S832" s="110">
        <f t="shared" si="87"/>
        <v>516.38019098378857</v>
      </c>
      <c r="T832" s="110">
        <f t="shared" si="88"/>
        <v>76944.40767703508</v>
      </c>
      <c r="U832" s="116">
        <f t="shared" si="89"/>
        <v>1.766400543549933</v>
      </c>
      <c r="V832" s="115">
        <v>231</v>
      </c>
      <c r="W832" s="115">
        <f t="shared" si="90"/>
        <v>57000</v>
      </c>
      <c r="X832" s="115">
        <f t="shared" si="92"/>
        <v>246.75324675324674</v>
      </c>
      <c r="Y832" s="117" t="s">
        <v>692</v>
      </c>
      <c r="Z832" s="108" t="s">
        <v>35</v>
      </c>
      <c r="AA832" s="108" t="s">
        <v>35</v>
      </c>
      <c r="AB832" s="108" t="s">
        <v>693</v>
      </c>
      <c r="AC832" s="108">
        <v>0</v>
      </c>
      <c r="AD832" s="108">
        <v>0</v>
      </c>
      <c r="AE832" s="108" t="s">
        <v>37</v>
      </c>
      <c r="AF832" s="108" t="s">
        <v>35</v>
      </c>
      <c r="AG832" s="108" t="s">
        <v>38</v>
      </c>
      <c r="AH832" s="108" t="s">
        <v>92</v>
      </c>
    </row>
    <row r="833" spans="1:34" x14ac:dyDescent="0.3">
      <c r="A833" s="107" t="s">
        <v>693</v>
      </c>
      <c r="B833" s="108" t="s">
        <v>748</v>
      </c>
      <c r="C833" s="108" t="s">
        <v>749</v>
      </c>
      <c r="D833" s="109">
        <v>45597</v>
      </c>
      <c r="E833" s="110">
        <v>122000</v>
      </c>
      <c r="F833" s="108" t="s">
        <v>81</v>
      </c>
      <c r="G833" s="108" t="s">
        <v>33</v>
      </c>
      <c r="H833" s="110">
        <v>122000</v>
      </c>
      <c r="I833" s="110">
        <v>56000</v>
      </c>
      <c r="J833" s="111">
        <f t="shared" si="85"/>
        <v>45.901639344262293</v>
      </c>
      <c r="K833" s="110">
        <v>116283</v>
      </c>
      <c r="L833" s="110">
        <f>H833-103149</f>
        <v>18851</v>
      </c>
      <c r="M833" s="110">
        <v>13134</v>
      </c>
      <c r="N833" s="112">
        <f t="shared" si="86"/>
        <v>0.10765573770491803</v>
      </c>
      <c r="O833" s="113">
        <v>75.05</v>
      </c>
      <c r="P833" s="114">
        <v>285</v>
      </c>
      <c r="Q833" s="115">
        <v>0.504</v>
      </c>
      <c r="R833" s="115">
        <v>0.504</v>
      </c>
      <c r="S833" s="110">
        <f t="shared" si="87"/>
        <v>251.17921385742838</v>
      </c>
      <c r="T833" s="110">
        <f t="shared" si="88"/>
        <v>37402.777777777781</v>
      </c>
      <c r="U833" s="116">
        <f t="shared" si="89"/>
        <v>0.85864962758902164</v>
      </c>
      <c r="V833" s="115">
        <v>77</v>
      </c>
      <c r="W833" s="115">
        <f t="shared" si="90"/>
        <v>24400</v>
      </c>
      <c r="X833" s="115">
        <f t="shared" si="92"/>
        <v>316.88311688311688</v>
      </c>
      <c r="Y833" s="117" t="s">
        <v>692</v>
      </c>
      <c r="Z833" s="108" t="s">
        <v>35</v>
      </c>
      <c r="AA833" s="108" t="s">
        <v>35</v>
      </c>
      <c r="AB833" s="108" t="s">
        <v>693</v>
      </c>
      <c r="AC833" s="108">
        <v>0</v>
      </c>
      <c r="AD833" s="108">
        <v>1</v>
      </c>
      <c r="AE833" s="108" t="s">
        <v>42</v>
      </c>
      <c r="AF833" s="108" t="s">
        <v>35</v>
      </c>
      <c r="AG833" s="108" t="s">
        <v>38</v>
      </c>
      <c r="AH833" s="108" t="s">
        <v>92</v>
      </c>
    </row>
    <row r="834" spans="1:34" x14ac:dyDescent="0.3">
      <c r="A834" s="107" t="s">
        <v>693</v>
      </c>
      <c r="B834" s="108" t="s">
        <v>756</v>
      </c>
      <c r="C834" s="108" t="s">
        <v>757</v>
      </c>
      <c r="D834" s="109">
        <v>45615</v>
      </c>
      <c r="E834" s="110">
        <v>131711</v>
      </c>
      <c r="F834" s="108" t="s">
        <v>81</v>
      </c>
      <c r="G834" s="108" t="s">
        <v>33</v>
      </c>
      <c r="H834" s="110">
        <v>131711</v>
      </c>
      <c r="I834" s="110">
        <v>77500</v>
      </c>
      <c r="J834" s="111">
        <f t="shared" ref="J834:J897" si="93">I834/H834*100</f>
        <v>58.840947225364623</v>
      </c>
      <c r="K834" s="110">
        <v>160737</v>
      </c>
      <c r="L834" s="110">
        <f>H834-152775</f>
        <v>-21064</v>
      </c>
      <c r="M834" s="110">
        <v>7962</v>
      </c>
      <c r="N834" s="112">
        <f t="shared" ref="N834:N897" si="94">M834/E834</f>
        <v>6.0450531846239115E-2</v>
      </c>
      <c r="O834" s="113">
        <v>45.49</v>
      </c>
      <c r="P834" s="114">
        <v>97.03</v>
      </c>
      <c r="Q834" s="115">
        <v>0.17799999999999999</v>
      </c>
      <c r="R834" s="115">
        <v>0.17799999999999999</v>
      </c>
      <c r="S834" s="110">
        <f t="shared" ref="S834:S897" si="95">L834/O834</f>
        <v>-463.04682347768738</v>
      </c>
      <c r="T834" s="110">
        <f t="shared" ref="T834:T897" si="96">L834/Q834</f>
        <v>-118337.0786516854</v>
      </c>
      <c r="U834" s="116">
        <f t="shared" ref="U834:U897" si="97">L834/Q834/43560</f>
        <v>-2.7166455154197751</v>
      </c>
      <c r="V834" s="115">
        <v>80</v>
      </c>
      <c r="W834" s="115">
        <f t="shared" ref="W834:W897" si="98">0.2*E834</f>
        <v>26342.2</v>
      </c>
      <c r="X834" s="115">
        <f t="shared" si="92"/>
        <v>329.27750000000003</v>
      </c>
      <c r="Y834" s="117" t="s">
        <v>692</v>
      </c>
      <c r="Z834" s="108" t="s">
        <v>35</v>
      </c>
      <c r="AA834" s="108" t="s">
        <v>35</v>
      </c>
      <c r="AB834" s="108" t="s">
        <v>693</v>
      </c>
      <c r="AC834" s="108">
        <v>0</v>
      </c>
      <c r="AD834" s="108">
        <v>1</v>
      </c>
      <c r="AE834" s="108" t="s">
        <v>758</v>
      </c>
      <c r="AF834" s="108" t="s">
        <v>35</v>
      </c>
      <c r="AG834" s="108" t="s">
        <v>38</v>
      </c>
      <c r="AH834" s="108" t="s">
        <v>92</v>
      </c>
    </row>
    <row r="835" spans="1:34" x14ac:dyDescent="0.3">
      <c r="A835" s="107" t="s">
        <v>693</v>
      </c>
      <c r="B835" s="108" t="s">
        <v>694</v>
      </c>
      <c r="C835" s="108" t="s">
        <v>695</v>
      </c>
      <c r="D835" s="109">
        <v>45044</v>
      </c>
      <c r="E835" s="110">
        <v>126000</v>
      </c>
      <c r="F835" s="108" t="s">
        <v>32</v>
      </c>
      <c r="G835" s="108" t="s">
        <v>33</v>
      </c>
      <c r="H835" s="110">
        <v>126000</v>
      </c>
      <c r="I835" s="110">
        <v>59200</v>
      </c>
      <c r="J835" s="111">
        <f t="shared" si="93"/>
        <v>46.984126984126981</v>
      </c>
      <c r="K835" s="110">
        <v>128493</v>
      </c>
      <c r="L835" s="110">
        <f>H835-116858</f>
        <v>9142</v>
      </c>
      <c r="M835" s="110">
        <v>11635</v>
      </c>
      <c r="N835" s="112">
        <f t="shared" si="94"/>
        <v>9.2341269841269835E-2</v>
      </c>
      <c r="O835" s="113">
        <v>66.48</v>
      </c>
      <c r="P835" s="114">
        <v>304.43</v>
      </c>
      <c r="Q835" s="115">
        <v>0.46100000000000002</v>
      </c>
      <c r="R835" s="115">
        <v>0.46100000000000002</v>
      </c>
      <c r="S835" s="110">
        <f t="shared" si="95"/>
        <v>137.51504211793019</v>
      </c>
      <c r="T835" s="110">
        <f t="shared" si="96"/>
        <v>19830.802603036875</v>
      </c>
      <c r="U835" s="116">
        <f t="shared" si="97"/>
        <v>0.45525258501002924</v>
      </c>
      <c r="V835" s="115">
        <v>66</v>
      </c>
      <c r="W835" s="115">
        <f t="shared" si="98"/>
        <v>25200</v>
      </c>
      <c r="X835" s="115">
        <f t="shared" si="92"/>
        <v>381.81818181818181</v>
      </c>
      <c r="Y835" s="117" t="s">
        <v>692</v>
      </c>
      <c r="Z835" s="108" t="s">
        <v>35</v>
      </c>
      <c r="AA835" s="108" t="s">
        <v>35</v>
      </c>
      <c r="AB835" s="108" t="s">
        <v>693</v>
      </c>
      <c r="AC835" s="108">
        <v>0</v>
      </c>
      <c r="AD835" s="108">
        <v>1</v>
      </c>
      <c r="AE835" s="108" t="s">
        <v>37</v>
      </c>
      <c r="AF835" s="108" t="s">
        <v>43</v>
      </c>
      <c r="AG835" s="108" t="s">
        <v>38</v>
      </c>
      <c r="AH835" s="108" t="s">
        <v>92</v>
      </c>
    </row>
    <row r="836" spans="1:34" x14ac:dyDescent="0.3">
      <c r="A836" s="118" t="s">
        <v>693</v>
      </c>
      <c r="B836" s="119" t="s">
        <v>690</v>
      </c>
      <c r="C836" s="119" t="s">
        <v>691</v>
      </c>
      <c r="D836" s="120">
        <v>45495</v>
      </c>
      <c r="E836" s="121">
        <v>137900</v>
      </c>
      <c r="F836" s="119" t="s">
        <v>32</v>
      </c>
      <c r="G836" s="119" t="s">
        <v>33</v>
      </c>
      <c r="H836" s="121">
        <v>137900</v>
      </c>
      <c r="I836" s="121">
        <v>52700</v>
      </c>
      <c r="J836" s="122">
        <f t="shared" si="93"/>
        <v>38.216098622189989</v>
      </c>
      <c r="K836" s="121">
        <v>109423</v>
      </c>
      <c r="L836" s="121">
        <f>H836-98466</f>
        <v>39434</v>
      </c>
      <c r="M836" s="121">
        <v>10957</v>
      </c>
      <c r="N836" s="123">
        <f t="shared" si="94"/>
        <v>7.9456127628716455E-2</v>
      </c>
      <c r="O836" s="124">
        <v>62.61</v>
      </c>
      <c r="P836" s="125">
        <v>270</v>
      </c>
      <c r="Q836" s="126">
        <v>0.40899999999999997</v>
      </c>
      <c r="R836" s="126">
        <v>0.40899999999999997</v>
      </c>
      <c r="S836" s="121">
        <f t="shared" si="95"/>
        <v>629.83548953841239</v>
      </c>
      <c r="T836" s="121">
        <f t="shared" si="96"/>
        <v>96415.647921760392</v>
      </c>
      <c r="U836" s="127">
        <f t="shared" si="97"/>
        <v>2.2133987126207622</v>
      </c>
      <c r="V836" s="126">
        <v>66</v>
      </c>
      <c r="W836" s="126">
        <f t="shared" si="98"/>
        <v>27580</v>
      </c>
      <c r="X836" s="126">
        <f t="shared" si="92"/>
        <v>417.87878787878788</v>
      </c>
      <c r="Y836" s="128" t="s">
        <v>692</v>
      </c>
      <c r="Z836" s="119" t="s">
        <v>35</v>
      </c>
      <c r="AA836" s="119" t="s">
        <v>35</v>
      </c>
      <c r="AB836" s="119" t="s">
        <v>693</v>
      </c>
      <c r="AC836" s="119">
        <v>0</v>
      </c>
      <c r="AD836" s="119">
        <v>1</v>
      </c>
      <c r="AE836" s="119" t="s">
        <v>42</v>
      </c>
      <c r="AF836" s="119" t="s">
        <v>43</v>
      </c>
      <c r="AG836" s="119" t="s">
        <v>38</v>
      </c>
      <c r="AH836" s="119" t="s">
        <v>92</v>
      </c>
    </row>
    <row r="837" spans="1:34" x14ac:dyDescent="0.3">
      <c r="A837" s="107" t="s">
        <v>693</v>
      </c>
      <c r="B837" s="108" t="s">
        <v>696</v>
      </c>
      <c r="C837" s="108" t="s">
        <v>697</v>
      </c>
      <c r="D837" s="109">
        <v>45482</v>
      </c>
      <c r="E837" s="110">
        <v>140000</v>
      </c>
      <c r="F837" s="108" t="s">
        <v>32</v>
      </c>
      <c r="G837" s="108" t="s">
        <v>33</v>
      </c>
      <c r="H837" s="110">
        <v>140000</v>
      </c>
      <c r="I837" s="110">
        <v>53900</v>
      </c>
      <c r="J837" s="111">
        <f t="shared" si="93"/>
        <v>38.5</v>
      </c>
      <c r="K837" s="110">
        <v>111843</v>
      </c>
      <c r="L837" s="110">
        <f>H837-100141</f>
        <v>39859</v>
      </c>
      <c r="M837" s="110">
        <v>11702</v>
      </c>
      <c r="N837" s="112">
        <f t="shared" si="94"/>
        <v>8.3585714285714291E-2</v>
      </c>
      <c r="O837" s="113">
        <v>66.87</v>
      </c>
      <c r="P837" s="114">
        <v>307.97000000000003</v>
      </c>
      <c r="Q837" s="115">
        <v>0.46700000000000003</v>
      </c>
      <c r="R837" s="115">
        <v>0.46700000000000003</v>
      </c>
      <c r="S837" s="110">
        <f t="shared" si="95"/>
        <v>596.06699566322709</v>
      </c>
      <c r="T837" s="110">
        <f t="shared" si="96"/>
        <v>85351.177730192721</v>
      </c>
      <c r="U837" s="116">
        <f t="shared" si="97"/>
        <v>1.9593934281495116</v>
      </c>
      <c r="V837" s="115">
        <v>66</v>
      </c>
      <c r="W837" s="115">
        <f t="shared" si="98"/>
        <v>28000</v>
      </c>
      <c r="X837" s="115">
        <f t="shared" si="92"/>
        <v>424.24242424242425</v>
      </c>
      <c r="Y837" s="117" t="s">
        <v>692</v>
      </c>
      <c r="Z837" s="108" t="s">
        <v>35</v>
      </c>
      <c r="AA837" s="108" t="s">
        <v>35</v>
      </c>
      <c r="AB837" s="108" t="s">
        <v>693</v>
      </c>
      <c r="AC837" s="108">
        <v>0</v>
      </c>
      <c r="AD837" s="108">
        <v>1</v>
      </c>
      <c r="AE837" s="108" t="s">
        <v>42</v>
      </c>
      <c r="AF837" s="108" t="s">
        <v>43</v>
      </c>
      <c r="AG837" s="108" t="s">
        <v>38</v>
      </c>
      <c r="AH837" s="108" t="s">
        <v>92</v>
      </c>
    </row>
    <row r="838" spans="1:34" x14ac:dyDescent="0.3">
      <c r="A838" s="107" t="s">
        <v>693</v>
      </c>
      <c r="B838" s="108" t="s">
        <v>754</v>
      </c>
      <c r="C838" s="108" t="s">
        <v>755</v>
      </c>
      <c r="D838" s="109">
        <v>45135</v>
      </c>
      <c r="E838" s="110">
        <v>95000</v>
      </c>
      <c r="F838" s="108" t="s">
        <v>32</v>
      </c>
      <c r="G838" s="108" t="s">
        <v>33</v>
      </c>
      <c r="H838" s="110">
        <v>95000</v>
      </c>
      <c r="I838" s="110">
        <v>49300</v>
      </c>
      <c r="J838" s="111">
        <f t="shared" si="93"/>
        <v>51.89473684210526</v>
      </c>
      <c r="K838" s="110">
        <v>109965</v>
      </c>
      <c r="L838" s="110">
        <f>H838-103080</f>
        <v>-8080</v>
      </c>
      <c r="M838" s="110">
        <v>6885</v>
      </c>
      <c r="N838" s="112">
        <f t="shared" si="94"/>
        <v>7.2473684210526315E-2</v>
      </c>
      <c r="O838" s="113">
        <v>39.340000000000003</v>
      </c>
      <c r="P838" s="114">
        <v>290.26</v>
      </c>
      <c r="Q838" s="115">
        <v>0.26700000000000002</v>
      </c>
      <c r="R838" s="115">
        <v>0.26700000000000002</v>
      </c>
      <c r="S838" s="110">
        <f t="shared" si="95"/>
        <v>-205.38891713268936</v>
      </c>
      <c r="T838" s="110">
        <f t="shared" si="96"/>
        <v>-30262.172284644192</v>
      </c>
      <c r="U838" s="116">
        <f t="shared" si="97"/>
        <v>-0.69472388164931564</v>
      </c>
      <c r="V838" s="115">
        <v>40</v>
      </c>
      <c r="W838" s="115">
        <f t="shared" si="98"/>
        <v>19000</v>
      </c>
      <c r="X838" s="115">
        <f t="shared" si="92"/>
        <v>475</v>
      </c>
      <c r="Y838" s="117" t="s">
        <v>692</v>
      </c>
      <c r="Z838" s="108" t="s">
        <v>35</v>
      </c>
      <c r="AA838" s="108" t="s">
        <v>35</v>
      </c>
      <c r="AB838" s="108" t="s">
        <v>693</v>
      </c>
      <c r="AC838" s="108">
        <v>0</v>
      </c>
      <c r="AD838" s="108">
        <v>1</v>
      </c>
      <c r="AE838" s="108" t="s">
        <v>37</v>
      </c>
      <c r="AF838" s="108" t="s">
        <v>43</v>
      </c>
      <c r="AG838" s="108" t="s">
        <v>38</v>
      </c>
      <c r="AH838" s="108" t="s">
        <v>92</v>
      </c>
    </row>
    <row r="839" spans="1:34" x14ac:dyDescent="0.3">
      <c r="A839" s="118" t="s">
        <v>693</v>
      </c>
      <c r="B839" s="119" t="s">
        <v>750</v>
      </c>
      <c r="C839" s="119" t="s">
        <v>751</v>
      </c>
      <c r="D839" s="120">
        <v>45699</v>
      </c>
      <c r="E839" s="121">
        <v>215000</v>
      </c>
      <c r="F839" s="119" t="s">
        <v>32</v>
      </c>
      <c r="G839" s="119" t="s">
        <v>33</v>
      </c>
      <c r="H839" s="121">
        <v>215000</v>
      </c>
      <c r="I839" s="121">
        <v>91000</v>
      </c>
      <c r="J839" s="122">
        <f t="shared" si="93"/>
        <v>42.325581395348841</v>
      </c>
      <c r="K839" s="121">
        <v>182751</v>
      </c>
      <c r="L839" s="121">
        <f>H839-168992</f>
        <v>46008</v>
      </c>
      <c r="M839" s="121">
        <v>13759</v>
      </c>
      <c r="N839" s="123">
        <f t="shared" si="94"/>
        <v>6.3995348837209295E-2</v>
      </c>
      <c r="O839" s="124">
        <v>78.62</v>
      </c>
      <c r="P839" s="125">
        <v>289.75</v>
      </c>
      <c r="Q839" s="126">
        <v>0.53200000000000003</v>
      </c>
      <c r="R839" s="126">
        <v>0.53200000000000003</v>
      </c>
      <c r="S839" s="121">
        <f t="shared" si="95"/>
        <v>585.19460697023658</v>
      </c>
      <c r="T839" s="121">
        <f t="shared" si="96"/>
        <v>86481.203007518794</v>
      </c>
      <c r="U839" s="127">
        <f t="shared" si="97"/>
        <v>1.9853352389237555</v>
      </c>
      <c r="V839" s="126">
        <v>80</v>
      </c>
      <c r="W839" s="126">
        <f t="shared" si="98"/>
        <v>43000</v>
      </c>
      <c r="X839" s="126">
        <f t="shared" si="92"/>
        <v>537.5</v>
      </c>
      <c r="Y839" s="128" t="s">
        <v>692</v>
      </c>
      <c r="Z839" s="119" t="s">
        <v>35</v>
      </c>
      <c r="AA839" s="119" t="s">
        <v>35</v>
      </c>
      <c r="AB839" s="119" t="s">
        <v>693</v>
      </c>
      <c r="AC839" s="119">
        <v>0</v>
      </c>
      <c r="AD839" s="119">
        <v>1</v>
      </c>
      <c r="AE839" s="119" t="s">
        <v>412</v>
      </c>
      <c r="AF839" s="119" t="s">
        <v>35</v>
      </c>
      <c r="AG839" s="119" t="s">
        <v>38</v>
      </c>
      <c r="AH839" s="119" t="s">
        <v>92</v>
      </c>
    </row>
    <row r="840" spans="1:34" x14ac:dyDescent="0.3">
      <c r="A840" s="118" t="s">
        <v>693</v>
      </c>
      <c r="B840" s="119" t="s">
        <v>759</v>
      </c>
      <c r="C840" s="119" t="s">
        <v>760</v>
      </c>
      <c r="D840" s="120">
        <v>45618</v>
      </c>
      <c r="E840" s="121">
        <v>207500</v>
      </c>
      <c r="F840" s="119" t="s">
        <v>32</v>
      </c>
      <c r="G840" s="119" t="s">
        <v>33</v>
      </c>
      <c r="H840" s="121">
        <v>207500</v>
      </c>
      <c r="I840" s="121">
        <v>83100</v>
      </c>
      <c r="J840" s="122">
        <f t="shared" si="93"/>
        <v>40.048192771084338</v>
      </c>
      <c r="K840" s="121">
        <v>167131</v>
      </c>
      <c r="L840" s="121">
        <f>H840-159586</f>
        <v>47914</v>
      </c>
      <c r="M840" s="121">
        <v>7545</v>
      </c>
      <c r="N840" s="123">
        <f t="shared" si="94"/>
        <v>3.636144578313253E-2</v>
      </c>
      <c r="O840" s="124">
        <v>43.11</v>
      </c>
      <c r="P840" s="125">
        <v>147.43</v>
      </c>
      <c r="Q840" s="126">
        <v>0.20799999999999999</v>
      </c>
      <c r="R840" s="126">
        <v>0.20799999999999999</v>
      </c>
      <c r="S840" s="121">
        <f t="shared" si="95"/>
        <v>1111.4358617490141</v>
      </c>
      <c r="T840" s="121">
        <f t="shared" si="96"/>
        <v>230355.76923076925</v>
      </c>
      <c r="U840" s="127">
        <f t="shared" si="97"/>
        <v>5.288240799604436</v>
      </c>
      <c r="V840" s="126">
        <v>61.5</v>
      </c>
      <c r="W840" s="126">
        <f t="shared" si="98"/>
        <v>41500</v>
      </c>
      <c r="X840" s="126">
        <f t="shared" si="92"/>
        <v>674.79674796747963</v>
      </c>
      <c r="Y840" s="128" t="s">
        <v>692</v>
      </c>
      <c r="Z840" s="119" t="s">
        <v>35</v>
      </c>
      <c r="AA840" s="119" t="s">
        <v>35</v>
      </c>
      <c r="AB840" s="119" t="s">
        <v>693</v>
      </c>
      <c r="AC840" s="119">
        <v>0</v>
      </c>
      <c r="AD840" s="119">
        <v>1</v>
      </c>
      <c r="AE840" s="119" t="s">
        <v>42</v>
      </c>
      <c r="AF840" s="119" t="s">
        <v>35</v>
      </c>
      <c r="AG840" s="119" t="s">
        <v>38</v>
      </c>
      <c r="AH840" s="119" t="s">
        <v>92</v>
      </c>
    </row>
    <row r="841" spans="1:34" x14ac:dyDescent="0.3">
      <c r="A841" s="118" t="s">
        <v>693</v>
      </c>
      <c r="B841" s="119" t="s">
        <v>698</v>
      </c>
      <c r="C841" s="119" t="s">
        <v>699</v>
      </c>
      <c r="D841" s="120">
        <v>45519</v>
      </c>
      <c r="E841" s="121">
        <v>325000</v>
      </c>
      <c r="F841" s="119" t="s">
        <v>32</v>
      </c>
      <c r="G841" s="119" t="s">
        <v>33</v>
      </c>
      <c r="H841" s="121">
        <v>325000</v>
      </c>
      <c r="I841" s="121">
        <v>185800</v>
      </c>
      <c r="J841" s="122">
        <f t="shared" si="93"/>
        <v>57.169230769230772</v>
      </c>
      <c r="K841" s="121">
        <v>378351</v>
      </c>
      <c r="L841" s="121">
        <f>H841-368074</f>
        <v>-43074</v>
      </c>
      <c r="M841" s="121">
        <v>10277</v>
      </c>
      <c r="N841" s="123">
        <f t="shared" si="94"/>
        <v>3.1621538461538465E-2</v>
      </c>
      <c r="O841" s="124">
        <v>58.72</v>
      </c>
      <c r="P841" s="125">
        <v>132</v>
      </c>
      <c r="Q841" s="126">
        <v>0.26800000000000002</v>
      </c>
      <c r="R841" s="126">
        <v>0.26800000000000002</v>
      </c>
      <c r="S841" s="121">
        <f t="shared" si="95"/>
        <v>-733.54904632152591</v>
      </c>
      <c r="T841" s="121">
        <f t="shared" si="96"/>
        <v>-160723.88059701491</v>
      </c>
      <c r="U841" s="127">
        <f t="shared" si="97"/>
        <v>-3.6897125940545203</v>
      </c>
      <c r="V841" s="126">
        <v>88.53</v>
      </c>
      <c r="W841" s="126">
        <f t="shared" si="98"/>
        <v>65000</v>
      </c>
      <c r="X841" s="126">
        <f t="shared" si="92"/>
        <v>734.2143906020558</v>
      </c>
      <c r="Y841" s="128" t="s">
        <v>692</v>
      </c>
      <c r="Z841" s="119" t="s">
        <v>35</v>
      </c>
      <c r="AA841" s="119" t="s">
        <v>35</v>
      </c>
      <c r="AB841" s="119" t="s">
        <v>693</v>
      </c>
      <c r="AC841" s="119">
        <v>0</v>
      </c>
      <c r="AD841" s="119">
        <v>1</v>
      </c>
      <c r="AE841" s="119" t="s">
        <v>37</v>
      </c>
      <c r="AF841" s="119" t="s">
        <v>43</v>
      </c>
      <c r="AG841" s="119" t="s">
        <v>38</v>
      </c>
      <c r="AH841" s="119" t="s">
        <v>92</v>
      </c>
    </row>
    <row r="842" spans="1:34" x14ac:dyDescent="0.3">
      <c r="A842" s="118" t="s">
        <v>693</v>
      </c>
      <c r="B842" s="119" t="s">
        <v>752</v>
      </c>
      <c r="C842" s="119" t="s">
        <v>753</v>
      </c>
      <c r="D842" s="120">
        <v>45527</v>
      </c>
      <c r="E842" s="121">
        <v>186000</v>
      </c>
      <c r="F842" s="119" t="s">
        <v>32</v>
      </c>
      <c r="G842" s="119" t="s">
        <v>33</v>
      </c>
      <c r="H842" s="121">
        <v>186000</v>
      </c>
      <c r="I842" s="121">
        <v>61500</v>
      </c>
      <c r="J842" s="122">
        <f t="shared" si="93"/>
        <v>33.064516129032256</v>
      </c>
      <c r="K842" s="121">
        <v>127896</v>
      </c>
      <c r="L842" s="121">
        <f>H842-121011</f>
        <v>64989</v>
      </c>
      <c r="M842" s="121">
        <v>6885</v>
      </c>
      <c r="N842" s="123">
        <f t="shared" si="94"/>
        <v>3.7016129032258066E-2</v>
      </c>
      <c r="O842" s="124">
        <v>39.340000000000003</v>
      </c>
      <c r="P842" s="125">
        <v>290.2</v>
      </c>
      <c r="Q842" s="126">
        <v>0.26600000000000001</v>
      </c>
      <c r="R842" s="126">
        <v>0.26600000000000001</v>
      </c>
      <c r="S842" s="121">
        <f t="shared" si="95"/>
        <v>1651.9827147941025</v>
      </c>
      <c r="T842" s="121">
        <f t="shared" si="96"/>
        <v>244319.54887218043</v>
      </c>
      <c r="U842" s="127">
        <f t="shared" si="97"/>
        <v>5.6088050705275583</v>
      </c>
      <c r="V842" s="126">
        <v>40</v>
      </c>
      <c r="W842" s="126">
        <f t="shared" si="98"/>
        <v>37200</v>
      </c>
      <c r="X842" s="126">
        <f t="shared" si="92"/>
        <v>930</v>
      </c>
      <c r="Y842" s="128" t="s">
        <v>692</v>
      </c>
      <c r="Z842" s="119" t="s">
        <v>35</v>
      </c>
      <c r="AA842" s="119" t="s">
        <v>35</v>
      </c>
      <c r="AB842" s="119" t="s">
        <v>693</v>
      </c>
      <c r="AC842" s="119">
        <v>0</v>
      </c>
      <c r="AD842" s="119">
        <v>1</v>
      </c>
      <c r="AE842" s="119" t="s">
        <v>42</v>
      </c>
      <c r="AF842" s="119" t="s">
        <v>43</v>
      </c>
      <c r="AG842" s="119" t="s">
        <v>38</v>
      </c>
      <c r="AH842" s="119" t="s">
        <v>92</v>
      </c>
    </row>
    <row r="843" spans="1:34" x14ac:dyDescent="0.3">
      <c r="A843" s="118" t="s">
        <v>693</v>
      </c>
      <c r="B843" s="119" t="s">
        <v>744</v>
      </c>
      <c r="C843" s="119" t="s">
        <v>745</v>
      </c>
      <c r="D843" s="120">
        <v>45407</v>
      </c>
      <c r="E843" s="121">
        <v>404000</v>
      </c>
      <c r="F843" s="119" t="s">
        <v>32</v>
      </c>
      <c r="G843" s="119" t="s">
        <v>33</v>
      </c>
      <c r="H843" s="121">
        <v>404000</v>
      </c>
      <c r="I843" s="121">
        <v>181700</v>
      </c>
      <c r="J843" s="122">
        <f t="shared" si="93"/>
        <v>44.975247524752476</v>
      </c>
      <c r="K843" s="121">
        <v>362021</v>
      </c>
      <c r="L843" s="121">
        <f>H843-353025</f>
        <v>50975</v>
      </c>
      <c r="M843" s="121">
        <v>8996</v>
      </c>
      <c r="N843" s="123">
        <f t="shared" si="94"/>
        <v>2.2267326732673266E-2</v>
      </c>
      <c r="O843" s="124">
        <v>51.4</v>
      </c>
      <c r="P843" s="125">
        <v>132</v>
      </c>
      <c r="Q843" s="126">
        <v>0.23499999999999999</v>
      </c>
      <c r="R843" s="126">
        <v>0.23499999999999999</v>
      </c>
      <c r="S843" s="121">
        <f t="shared" si="95"/>
        <v>991.73151750972761</v>
      </c>
      <c r="T843" s="121">
        <f t="shared" si="96"/>
        <v>216914.8936170213</v>
      </c>
      <c r="U843" s="127">
        <f t="shared" si="97"/>
        <v>4.9796807533751446</v>
      </c>
      <c r="V843" s="126">
        <v>77.5</v>
      </c>
      <c r="W843" s="126">
        <f t="shared" si="98"/>
        <v>80800</v>
      </c>
      <c r="X843" s="126">
        <f t="shared" si="92"/>
        <v>1042.5806451612902</v>
      </c>
      <c r="Y843" s="128" t="s">
        <v>692</v>
      </c>
      <c r="Z843" s="119" t="s">
        <v>35</v>
      </c>
      <c r="AA843" s="119" t="s">
        <v>35</v>
      </c>
      <c r="AB843" s="119" t="s">
        <v>693</v>
      </c>
      <c r="AC843" s="119">
        <v>0</v>
      </c>
      <c r="AD843" s="119">
        <v>1</v>
      </c>
      <c r="AE843" s="119" t="s">
        <v>37</v>
      </c>
      <c r="AF843" s="119" t="s">
        <v>43</v>
      </c>
      <c r="AG843" s="119" t="s">
        <v>38</v>
      </c>
      <c r="AH843" s="119" t="s">
        <v>92</v>
      </c>
    </row>
    <row r="844" spans="1:34" x14ac:dyDescent="0.3">
      <c r="A844" s="118" t="s">
        <v>1244</v>
      </c>
      <c r="B844" s="119" t="s">
        <v>1247</v>
      </c>
      <c r="C844" s="119" t="s">
        <v>1248</v>
      </c>
      <c r="D844" s="120">
        <v>45273</v>
      </c>
      <c r="E844" s="121">
        <v>40000</v>
      </c>
      <c r="F844" s="119" t="s">
        <v>32</v>
      </c>
      <c r="G844" s="119" t="s">
        <v>33</v>
      </c>
      <c r="H844" s="121">
        <v>40000</v>
      </c>
      <c r="I844" s="121">
        <v>71800</v>
      </c>
      <c r="J844" s="122">
        <f t="shared" si="93"/>
        <v>179.5</v>
      </c>
      <c r="K844" s="121">
        <v>178886</v>
      </c>
      <c r="L844" s="121">
        <f>H844-168470</f>
        <v>-128470</v>
      </c>
      <c r="M844" s="121">
        <v>10416</v>
      </c>
      <c r="N844" s="123">
        <f t="shared" si="94"/>
        <v>0.26040000000000002</v>
      </c>
      <c r="O844" s="124">
        <v>49.6</v>
      </c>
      <c r="P844" s="125">
        <v>123.01</v>
      </c>
      <c r="Q844" s="126">
        <v>0.14099999999999999</v>
      </c>
      <c r="R844" s="126">
        <v>0.14099999999999999</v>
      </c>
      <c r="S844" s="121">
        <f t="shared" si="95"/>
        <v>-2590.1209677419356</v>
      </c>
      <c r="T844" s="121">
        <f t="shared" si="96"/>
        <v>-911134.75177304971</v>
      </c>
      <c r="U844" s="127">
        <f t="shared" si="97"/>
        <v>-20.916775752365695</v>
      </c>
      <c r="V844" s="126">
        <v>50</v>
      </c>
      <c r="W844" s="126">
        <f t="shared" si="98"/>
        <v>8000</v>
      </c>
      <c r="X844" s="126">
        <f t="shared" si="92"/>
        <v>160</v>
      </c>
      <c r="Y844" s="128" t="s">
        <v>1243</v>
      </c>
      <c r="Z844" s="119" t="s">
        <v>35</v>
      </c>
      <c r="AA844" s="119" t="s">
        <v>35</v>
      </c>
      <c r="AB844" s="119" t="s">
        <v>1244</v>
      </c>
      <c r="AC844" s="119">
        <v>0</v>
      </c>
      <c r="AD844" s="119">
        <v>1</v>
      </c>
      <c r="AE844" s="119" t="s">
        <v>37</v>
      </c>
      <c r="AF844" s="119" t="s">
        <v>35</v>
      </c>
      <c r="AG844" s="119" t="s">
        <v>38</v>
      </c>
      <c r="AH844" s="119" t="s">
        <v>92</v>
      </c>
    </row>
    <row r="845" spans="1:34" x14ac:dyDescent="0.3">
      <c r="A845" s="107" t="s">
        <v>1244</v>
      </c>
      <c r="B845" s="108" t="s">
        <v>1245</v>
      </c>
      <c r="C845" s="108" t="s">
        <v>1246</v>
      </c>
      <c r="D845" s="109">
        <v>45596</v>
      </c>
      <c r="E845" s="110">
        <v>148511</v>
      </c>
      <c r="F845" s="108" t="s">
        <v>32</v>
      </c>
      <c r="G845" s="108" t="s">
        <v>33</v>
      </c>
      <c r="H845" s="110">
        <v>148511</v>
      </c>
      <c r="I845" s="110">
        <v>83800</v>
      </c>
      <c r="J845" s="111">
        <f t="shared" si="93"/>
        <v>56.426796668260259</v>
      </c>
      <c r="K845" s="110">
        <v>176181</v>
      </c>
      <c r="L845" s="110">
        <f>H845-165450</f>
        <v>-16939</v>
      </c>
      <c r="M845" s="110">
        <v>10731</v>
      </c>
      <c r="N845" s="112">
        <f t="shared" si="94"/>
        <v>7.2257273871969077E-2</v>
      </c>
      <c r="O845" s="113">
        <v>51.09</v>
      </c>
      <c r="P845" s="114">
        <v>123.06</v>
      </c>
      <c r="Q845" s="115">
        <v>0.14499999999999999</v>
      </c>
      <c r="R845" s="115">
        <v>0.14499999999999999</v>
      </c>
      <c r="S845" s="110">
        <f t="shared" si="95"/>
        <v>-331.55216284987273</v>
      </c>
      <c r="T845" s="110">
        <f t="shared" si="96"/>
        <v>-116820.68965517242</v>
      </c>
      <c r="U845" s="116">
        <f t="shared" si="97"/>
        <v>-2.6818340141224155</v>
      </c>
      <c r="V845" s="115">
        <v>51.5</v>
      </c>
      <c r="W845" s="115">
        <f t="shared" si="98"/>
        <v>29702.2</v>
      </c>
      <c r="X845" s="115">
        <f t="shared" si="92"/>
        <v>576.7417475728156</v>
      </c>
      <c r="Y845" s="117" t="s">
        <v>1243</v>
      </c>
      <c r="Z845" s="108" t="s">
        <v>35</v>
      </c>
      <c r="AA845" s="108" t="s">
        <v>35</v>
      </c>
      <c r="AB845" s="108" t="s">
        <v>1244</v>
      </c>
      <c r="AC845" s="108">
        <v>0</v>
      </c>
      <c r="AD845" s="108">
        <v>1</v>
      </c>
      <c r="AE845" s="108" t="s">
        <v>42</v>
      </c>
      <c r="AF845" s="108" t="s">
        <v>35</v>
      </c>
      <c r="AG845" s="108" t="s">
        <v>38</v>
      </c>
      <c r="AH845" s="108" t="s">
        <v>92</v>
      </c>
    </row>
    <row r="846" spans="1:34" x14ac:dyDescent="0.3">
      <c r="A846" s="107" t="s">
        <v>1244</v>
      </c>
      <c r="B846" s="108" t="s">
        <v>1241</v>
      </c>
      <c r="C846" s="108" t="s">
        <v>1242</v>
      </c>
      <c r="D846" s="109">
        <v>45597</v>
      </c>
      <c r="E846" s="110">
        <v>220000</v>
      </c>
      <c r="F846" s="108" t="s">
        <v>32</v>
      </c>
      <c r="G846" s="108" t="s">
        <v>33</v>
      </c>
      <c r="H846" s="110">
        <v>220000</v>
      </c>
      <c r="I846" s="110">
        <v>91200</v>
      </c>
      <c r="J846" s="111">
        <f t="shared" si="93"/>
        <v>41.454545454545453</v>
      </c>
      <c r="K846" s="110">
        <v>192941</v>
      </c>
      <c r="L846" s="110">
        <f>H846-182210</f>
        <v>37790</v>
      </c>
      <c r="M846" s="110">
        <v>10731</v>
      </c>
      <c r="N846" s="112">
        <f t="shared" si="94"/>
        <v>4.8777272727272725E-2</v>
      </c>
      <c r="O846" s="113">
        <v>51.09</v>
      </c>
      <c r="P846" s="114">
        <v>123.06</v>
      </c>
      <c r="Q846" s="115">
        <v>0.14499999999999999</v>
      </c>
      <c r="R846" s="115">
        <v>0.14499999999999999</v>
      </c>
      <c r="S846" s="110">
        <f t="shared" si="95"/>
        <v>739.67508318653347</v>
      </c>
      <c r="T846" s="110">
        <f t="shared" si="96"/>
        <v>260620.68965517243</v>
      </c>
      <c r="U846" s="116">
        <f t="shared" si="97"/>
        <v>5.9830277698616259</v>
      </c>
      <c r="V846" s="115">
        <v>51.5</v>
      </c>
      <c r="W846" s="115">
        <f t="shared" si="98"/>
        <v>44000</v>
      </c>
      <c r="X846" s="115">
        <f t="shared" si="92"/>
        <v>854.36893203883494</v>
      </c>
      <c r="Y846" s="117" t="s">
        <v>1243</v>
      </c>
      <c r="Z846" s="108" t="s">
        <v>35</v>
      </c>
      <c r="AA846" s="108" t="s">
        <v>35</v>
      </c>
      <c r="AB846" s="108" t="s">
        <v>1244</v>
      </c>
      <c r="AC846" s="108">
        <v>0</v>
      </c>
      <c r="AD846" s="108">
        <v>1</v>
      </c>
      <c r="AE846" s="108" t="s">
        <v>42</v>
      </c>
      <c r="AF846" s="108" t="s">
        <v>35</v>
      </c>
      <c r="AG846" s="108" t="s">
        <v>38</v>
      </c>
      <c r="AH846" s="108" t="s">
        <v>92</v>
      </c>
    </row>
    <row r="847" spans="1:34" x14ac:dyDescent="0.3">
      <c r="A847" s="107" t="s">
        <v>2787</v>
      </c>
      <c r="B847" s="108" t="s">
        <v>2784</v>
      </c>
      <c r="C847" s="108" t="s">
        <v>2785</v>
      </c>
      <c r="D847" s="109">
        <v>45530</v>
      </c>
      <c r="E847" s="110">
        <v>232000</v>
      </c>
      <c r="F847" s="108" t="s">
        <v>32</v>
      </c>
      <c r="G847" s="108" t="s">
        <v>33</v>
      </c>
      <c r="H847" s="110">
        <v>232000</v>
      </c>
      <c r="I847" s="110">
        <v>101400</v>
      </c>
      <c r="J847" s="111">
        <f t="shared" si="93"/>
        <v>43.706896551724142</v>
      </c>
      <c r="K847" s="110">
        <v>228773</v>
      </c>
      <c r="L847" s="110">
        <f>H847-190373</f>
        <v>41627</v>
      </c>
      <c r="M847" s="110">
        <v>38400</v>
      </c>
      <c r="N847" s="112">
        <f t="shared" si="94"/>
        <v>0.16551724137931034</v>
      </c>
      <c r="O847" s="113">
        <v>0</v>
      </c>
      <c r="P847" s="114">
        <v>0</v>
      </c>
      <c r="Q847" s="115">
        <v>1.92</v>
      </c>
      <c r="R847" s="115">
        <v>1.92</v>
      </c>
      <c r="S847" s="110" t="e">
        <f t="shared" si="95"/>
        <v>#DIV/0!</v>
      </c>
      <c r="T847" s="110">
        <f t="shared" si="96"/>
        <v>21680.729166666668</v>
      </c>
      <c r="U847" s="116">
        <f t="shared" si="97"/>
        <v>0.49772105524946436</v>
      </c>
      <c r="V847" s="115">
        <v>0</v>
      </c>
      <c r="W847" s="115">
        <f t="shared" si="98"/>
        <v>46400</v>
      </c>
      <c r="X847" s="115"/>
      <c r="Y847" s="117" t="s">
        <v>2786</v>
      </c>
      <c r="Z847" s="108" t="s">
        <v>35</v>
      </c>
      <c r="AA847" s="108" t="s">
        <v>35</v>
      </c>
      <c r="AB847" s="108" t="s">
        <v>2787</v>
      </c>
      <c r="AC847" s="108">
        <v>0</v>
      </c>
      <c r="AD847" s="108">
        <v>0</v>
      </c>
      <c r="AE847" s="108" t="s">
        <v>42</v>
      </c>
      <c r="AF847" s="108" t="s">
        <v>43</v>
      </c>
      <c r="AG847" s="108" t="s">
        <v>38</v>
      </c>
      <c r="AH847" s="108"/>
    </row>
    <row r="848" spans="1:34" x14ac:dyDescent="0.3">
      <c r="A848" s="107" t="s">
        <v>2113</v>
      </c>
      <c r="B848" s="108" t="s">
        <v>2116</v>
      </c>
      <c r="C848" s="108" t="s">
        <v>2117</v>
      </c>
      <c r="D848" s="109">
        <v>45177</v>
      </c>
      <c r="E848" s="110">
        <v>105000</v>
      </c>
      <c r="F848" s="108" t="s">
        <v>32</v>
      </c>
      <c r="G848" s="108" t="s">
        <v>33</v>
      </c>
      <c r="H848" s="110">
        <v>105000</v>
      </c>
      <c r="I848" s="110">
        <v>38100</v>
      </c>
      <c r="J848" s="111">
        <f t="shared" si="93"/>
        <v>36.285714285714285</v>
      </c>
      <c r="K848" s="110">
        <v>114192</v>
      </c>
      <c r="L848" s="110">
        <f>H848-106510</f>
        <v>-1510</v>
      </c>
      <c r="M848" s="110">
        <v>7682</v>
      </c>
      <c r="N848" s="112">
        <f t="shared" si="94"/>
        <v>7.3161904761904761E-2</v>
      </c>
      <c r="O848" s="113">
        <v>40.22</v>
      </c>
      <c r="P848" s="114">
        <v>136.5</v>
      </c>
      <c r="Q848" s="115">
        <v>0.125</v>
      </c>
      <c r="R848" s="115">
        <v>0.125</v>
      </c>
      <c r="S848" s="110">
        <f t="shared" si="95"/>
        <v>-37.543510691198406</v>
      </c>
      <c r="T848" s="110">
        <f t="shared" si="96"/>
        <v>-12080</v>
      </c>
      <c r="U848" s="116">
        <f t="shared" si="97"/>
        <v>-0.27731864095500458</v>
      </c>
      <c r="V848" s="115">
        <v>40</v>
      </c>
      <c r="W848" s="115">
        <f t="shared" si="98"/>
        <v>21000</v>
      </c>
      <c r="X848" s="115">
        <f t="shared" ref="X848:X856" si="99">W848/V848</f>
        <v>525</v>
      </c>
      <c r="Y848" s="117" t="s">
        <v>2112</v>
      </c>
      <c r="Z848" s="108" t="s">
        <v>35</v>
      </c>
      <c r="AA848" s="108" t="s">
        <v>35</v>
      </c>
      <c r="AB848" s="108" t="s">
        <v>2113</v>
      </c>
      <c r="AC848" s="108">
        <v>0</v>
      </c>
      <c r="AD848" s="108">
        <v>1</v>
      </c>
      <c r="AE848" s="108" t="s">
        <v>42</v>
      </c>
      <c r="AF848" s="108" t="s">
        <v>43</v>
      </c>
      <c r="AG848" s="108" t="s">
        <v>38</v>
      </c>
      <c r="AH848" s="108" t="s">
        <v>92</v>
      </c>
    </row>
    <row r="849" spans="1:34" x14ac:dyDescent="0.3">
      <c r="A849" s="118" t="s">
        <v>2113</v>
      </c>
      <c r="B849" s="119" t="s">
        <v>2120</v>
      </c>
      <c r="C849" s="119" t="s">
        <v>2121</v>
      </c>
      <c r="D849" s="120">
        <v>45167</v>
      </c>
      <c r="E849" s="121">
        <v>110000</v>
      </c>
      <c r="F849" s="119" t="s">
        <v>32</v>
      </c>
      <c r="G849" s="119" t="s">
        <v>33</v>
      </c>
      <c r="H849" s="121">
        <v>110000</v>
      </c>
      <c r="I849" s="121">
        <v>49000</v>
      </c>
      <c r="J849" s="122">
        <f t="shared" si="93"/>
        <v>44.545454545454547</v>
      </c>
      <c r="K849" s="121">
        <v>146548</v>
      </c>
      <c r="L849" s="121">
        <f>H849-138866</f>
        <v>-28866</v>
      </c>
      <c r="M849" s="121">
        <v>7682</v>
      </c>
      <c r="N849" s="123">
        <f t="shared" si="94"/>
        <v>6.9836363636363641E-2</v>
      </c>
      <c r="O849" s="124">
        <v>40.22</v>
      </c>
      <c r="P849" s="125">
        <v>136.5</v>
      </c>
      <c r="Q849" s="126">
        <v>0.125</v>
      </c>
      <c r="R849" s="126">
        <v>0.125</v>
      </c>
      <c r="S849" s="121">
        <f t="shared" si="95"/>
        <v>-717.70263550472407</v>
      </c>
      <c r="T849" s="121">
        <f t="shared" si="96"/>
        <v>-230928</v>
      </c>
      <c r="U849" s="127">
        <f t="shared" si="97"/>
        <v>-5.3013774104683193</v>
      </c>
      <c r="V849" s="126">
        <v>40</v>
      </c>
      <c r="W849" s="126">
        <f t="shared" si="98"/>
        <v>22000</v>
      </c>
      <c r="X849" s="126">
        <f t="shared" si="99"/>
        <v>550</v>
      </c>
      <c r="Y849" s="128" t="s">
        <v>2112</v>
      </c>
      <c r="Z849" s="119" t="s">
        <v>35</v>
      </c>
      <c r="AA849" s="119" t="s">
        <v>35</v>
      </c>
      <c r="AB849" s="119" t="s">
        <v>2113</v>
      </c>
      <c r="AC849" s="119">
        <v>0</v>
      </c>
      <c r="AD849" s="119">
        <v>1</v>
      </c>
      <c r="AE849" s="119" t="s">
        <v>42</v>
      </c>
      <c r="AF849" s="119" t="s">
        <v>43</v>
      </c>
      <c r="AG849" s="119" t="s">
        <v>38</v>
      </c>
      <c r="AH849" s="119" t="s">
        <v>92</v>
      </c>
    </row>
    <row r="850" spans="1:34" x14ac:dyDescent="0.3">
      <c r="A850" s="118" t="s">
        <v>2113</v>
      </c>
      <c r="B850" s="119" t="s">
        <v>2110</v>
      </c>
      <c r="C850" s="119" t="s">
        <v>2111</v>
      </c>
      <c r="D850" s="120">
        <v>45632</v>
      </c>
      <c r="E850" s="121">
        <v>142000</v>
      </c>
      <c r="F850" s="119" t="s">
        <v>32</v>
      </c>
      <c r="G850" s="119" t="s">
        <v>33</v>
      </c>
      <c r="H850" s="121">
        <v>142000</v>
      </c>
      <c r="I850" s="121">
        <v>45800</v>
      </c>
      <c r="J850" s="122">
        <f t="shared" si="93"/>
        <v>32.253521126760567</v>
      </c>
      <c r="K850" s="121">
        <v>112951</v>
      </c>
      <c r="L850" s="121">
        <f>H850-105269</f>
        <v>36731</v>
      </c>
      <c r="M850" s="121">
        <v>7682</v>
      </c>
      <c r="N850" s="123">
        <f t="shared" si="94"/>
        <v>5.4098591549295777E-2</v>
      </c>
      <c r="O850" s="124">
        <v>40.22</v>
      </c>
      <c r="P850" s="125">
        <v>136.5</v>
      </c>
      <c r="Q850" s="126">
        <v>0.125</v>
      </c>
      <c r="R850" s="126">
        <v>0.125</v>
      </c>
      <c r="S850" s="121">
        <f t="shared" si="95"/>
        <v>913.25211337642963</v>
      </c>
      <c r="T850" s="121">
        <f t="shared" si="96"/>
        <v>293848</v>
      </c>
      <c r="U850" s="127">
        <f t="shared" si="97"/>
        <v>6.745821854912764</v>
      </c>
      <c r="V850" s="126">
        <v>40</v>
      </c>
      <c r="W850" s="126">
        <f t="shared" si="98"/>
        <v>28400</v>
      </c>
      <c r="X850" s="126">
        <f t="shared" si="99"/>
        <v>710</v>
      </c>
      <c r="Y850" s="128" t="s">
        <v>2112</v>
      </c>
      <c r="Z850" s="119" t="s">
        <v>35</v>
      </c>
      <c r="AA850" s="119" t="s">
        <v>35</v>
      </c>
      <c r="AB850" s="119" t="s">
        <v>2113</v>
      </c>
      <c r="AC850" s="119">
        <v>0</v>
      </c>
      <c r="AD850" s="119">
        <v>1</v>
      </c>
      <c r="AE850" s="119" t="s">
        <v>42</v>
      </c>
      <c r="AF850" s="119" t="s">
        <v>35</v>
      </c>
      <c r="AG850" s="119" t="s">
        <v>38</v>
      </c>
      <c r="AH850" s="119" t="s">
        <v>92</v>
      </c>
    </row>
    <row r="851" spans="1:34" x14ac:dyDescent="0.3">
      <c r="A851" s="118" t="s">
        <v>2113</v>
      </c>
      <c r="B851" s="119" t="s">
        <v>2118</v>
      </c>
      <c r="C851" s="119" t="s">
        <v>2119</v>
      </c>
      <c r="D851" s="120">
        <v>45090</v>
      </c>
      <c r="E851" s="121">
        <v>147000</v>
      </c>
      <c r="F851" s="119" t="s">
        <v>32</v>
      </c>
      <c r="G851" s="119" t="s">
        <v>33</v>
      </c>
      <c r="H851" s="121">
        <v>147000</v>
      </c>
      <c r="I851" s="121">
        <v>36900</v>
      </c>
      <c r="J851" s="122">
        <f t="shared" si="93"/>
        <v>25.102040816326532</v>
      </c>
      <c r="K851" s="121">
        <v>110524</v>
      </c>
      <c r="L851" s="121">
        <f>H851-102842</f>
        <v>44158</v>
      </c>
      <c r="M851" s="121">
        <v>7682</v>
      </c>
      <c r="N851" s="123">
        <f t="shared" si="94"/>
        <v>5.2258503401360547E-2</v>
      </c>
      <c r="O851" s="124">
        <v>40.22</v>
      </c>
      <c r="P851" s="125">
        <v>136.5</v>
      </c>
      <c r="Q851" s="126">
        <v>0.125</v>
      </c>
      <c r="R851" s="126">
        <v>0.125</v>
      </c>
      <c r="S851" s="121">
        <f t="shared" si="95"/>
        <v>1097.9114868224765</v>
      </c>
      <c r="T851" s="121">
        <f t="shared" si="96"/>
        <v>353264</v>
      </c>
      <c r="U851" s="127">
        <f t="shared" si="97"/>
        <v>8.109825528007347</v>
      </c>
      <c r="V851" s="126">
        <v>40</v>
      </c>
      <c r="W851" s="126">
        <f t="shared" si="98"/>
        <v>29400</v>
      </c>
      <c r="X851" s="126">
        <f t="shared" si="99"/>
        <v>735</v>
      </c>
      <c r="Y851" s="128" t="s">
        <v>2112</v>
      </c>
      <c r="Z851" s="119" t="s">
        <v>35</v>
      </c>
      <c r="AA851" s="119" t="s">
        <v>35</v>
      </c>
      <c r="AB851" s="119" t="s">
        <v>2113</v>
      </c>
      <c r="AC851" s="119">
        <v>0</v>
      </c>
      <c r="AD851" s="119">
        <v>1</v>
      </c>
      <c r="AE851" s="119" t="s">
        <v>42</v>
      </c>
      <c r="AF851" s="119" t="s">
        <v>43</v>
      </c>
      <c r="AG851" s="119" t="s">
        <v>38</v>
      </c>
      <c r="AH851" s="119" t="s">
        <v>92</v>
      </c>
    </row>
    <row r="852" spans="1:34" x14ac:dyDescent="0.3">
      <c r="A852" s="107" t="s">
        <v>2113</v>
      </c>
      <c r="B852" s="108" t="s">
        <v>2114</v>
      </c>
      <c r="C852" s="108" t="s">
        <v>2115</v>
      </c>
      <c r="D852" s="109">
        <v>45174</v>
      </c>
      <c r="E852" s="110">
        <v>155000</v>
      </c>
      <c r="F852" s="108" t="s">
        <v>32</v>
      </c>
      <c r="G852" s="108" t="s">
        <v>33</v>
      </c>
      <c r="H852" s="110">
        <v>155000</v>
      </c>
      <c r="I852" s="110">
        <v>36600</v>
      </c>
      <c r="J852" s="111">
        <f t="shared" si="93"/>
        <v>23.612903225806452</v>
      </c>
      <c r="K852" s="110">
        <v>109446</v>
      </c>
      <c r="L852" s="110">
        <f>H852-101764</f>
        <v>53236</v>
      </c>
      <c r="M852" s="110">
        <v>7682</v>
      </c>
      <c r="N852" s="112">
        <f t="shared" si="94"/>
        <v>4.9561290322580644E-2</v>
      </c>
      <c r="O852" s="113">
        <v>40.22</v>
      </c>
      <c r="P852" s="114">
        <v>136.5</v>
      </c>
      <c r="Q852" s="115">
        <v>0.125</v>
      </c>
      <c r="R852" s="115">
        <v>0.125</v>
      </c>
      <c r="S852" s="110">
        <f t="shared" si="95"/>
        <v>1323.6200895077077</v>
      </c>
      <c r="T852" s="110">
        <f t="shared" si="96"/>
        <v>425888</v>
      </c>
      <c r="U852" s="116">
        <f t="shared" si="97"/>
        <v>9.7770431588613409</v>
      </c>
      <c r="V852" s="115">
        <v>40</v>
      </c>
      <c r="W852" s="115">
        <f t="shared" si="98"/>
        <v>31000</v>
      </c>
      <c r="X852" s="115">
        <f t="shared" si="99"/>
        <v>775</v>
      </c>
      <c r="Y852" s="117" t="s">
        <v>2112</v>
      </c>
      <c r="Z852" s="108" t="s">
        <v>35</v>
      </c>
      <c r="AA852" s="108" t="s">
        <v>35</v>
      </c>
      <c r="AB852" s="108" t="s">
        <v>2113</v>
      </c>
      <c r="AC852" s="108">
        <v>0</v>
      </c>
      <c r="AD852" s="108">
        <v>1</v>
      </c>
      <c r="AE852" s="108" t="s">
        <v>42</v>
      </c>
      <c r="AF852" s="108" t="s">
        <v>43</v>
      </c>
      <c r="AG852" s="108" t="s">
        <v>38</v>
      </c>
      <c r="AH852" s="108" t="s">
        <v>92</v>
      </c>
    </row>
    <row r="853" spans="1:34" x14ac:dyDescent="0.3">
      <c r="A853" s="107" t="s">
        <v>1916</v>
      </c>
      <c r="B853" s="108" t="s">
        <v>1913</v>
      </c>
      <c r="C853" s="108" t="s">
        <v>1914</v>
      </c>
      <c r="D853" s="109">
        <v>45204</v>
      </c>
      <c r="E853" s="110">
        <v>190000</v>
      </c>
      <c r="F853" s="108" t="s">
        <v>32</v>
      </c>
      <c r="G853" s="108" t="s">
        <v>33</v>
      </c>
      <c r="H853" s="110">
        <v>190000</v>
      </c>
      <c r="I853" s="110">
        <v>72700</v>
      </c>
      <c r="J853" s="111">
        <f t="shared" si="93"/>
        <v>38.263157894736842</v>
      </c>
      <c r="K853" s="110">
        <v>187088</v>
      </c>
      <c r="L853" s="110">
        <f>H853-172070</f>
        <v>17930</v>
      </c>
      <c r="M853" s="110">
        <v>15018</v>
      </c>
      <c r="N853" s="112">
        <f t="shared" si="94"/>
        <v>7.90421052631579E-2</v>
      </c>
      <c r="O853" s="113">
        <v>78.22</v>
      </c>
      <c r="P853" s="114">
        <v>300.25</v>
      </c>
      <c r="Q853" s="115">
        <v>0.51500000000000001</v>
      </c>
      <c r="R853" s="115">
        <v>0.51500000000000001</v>
      </c>
      <c r="S853" s="110">
        <f t="shared" si="95"/>
        <v>229.22526208130913</v>
      </c>
      <c r="T853" s="110">
        <f t="shared" si="96"/>
        <v>34815.533980582521</v>
      </c>
      <c r="U853" s="116">
        <f t="shared" si="97"/>
        <v>0.79925468274982825</v>
      </c>
      <c r="V853" s="115">
        <v>83.3</v>
      </c>
      <c r="W853" s="115">
        <f t="shared" si="98"/>
        <v>38000</v>
      </c>
      <c r="X853" s="115">
        <f t="shared" si="99"/>
        <v>456.18247298919567</v>
      </c>
      <c r="Y853" s="117" t="s">
        <v>1915</v>
      </c>
      <c r="Z853" s="108" t="s">
        <v>35</v>
      </c>
      <c r="AA853" s="108" t="s">
        <v>35</v>
      </c>
      <c r="AB853" s="108" t="s">
        <v>1916</v>
      </c>
      <c r="AC853" s="108">
        <v>0</v>
      </c>
      <c r="AD853" s="108">
        <v>1</v>
      </c>
      <c r="AE853" s="108" t="s">
        <v>42</v>
      </c>
      <c r="AF853" s="108" t="s">
        <v>43</v>
      </c>
      <c r="AG853" s="108" t="s">
        <v>38</v>
      </c>
      <c r="AH853" s="108" t="s">
        <v>92</v>
      </c>
    </row>
    <row r="854" spans="1:34" x14ac:dyDescent="0.3">
      <c r="A854" s="107" t="s">
        <v>1916</v>
      </c>
      <c r="B854" s="108" t="s">
        <v>1917</v>
      </c>
      <c r="C854" s="108" t="s">
        <v>1918</v>
      </c>
      <c r="D854" s="109">
        <v>45679</v>
      </c>
      <c r="E854" s="110">
        <v>255000</v>
      </c>
      <c r="F854" s="108" t="s">
        <v>32</v>
      </c>
      <c r="G854" s="108" t="s">
        <v>33</v>
      </c>
      <c r="H854" s="110">
        <v>255000</v>
      </c>
      <c r="I854" s="110">
        <v>138100</v>
      </c>
      <c r="J854" s="111">
        <f t="shared" si="93"/>
        <v>54.156862745098046</v>
      </c>
      <c r="K854" s="110">
        <v>313327</v>
      </c>
      <c r="L854" s="110">
        <f>H854-300548</f>
        <v>-45548</v>
      </c>
      <c r="M854" s="110">
        <v>12779</v>
      </c>
      <c r="N854" s="112">
        <f t="shared" si="94"/>
        <v>5.0113725490196076E-2</v>
      </c>
      <c r="O854" s="113">
        <v>66.55</v>
      </c>
      <c r="P854" s="114">
        <v>300</v>
      </c>
      <c r="Q854" s="115">
        <v>0.45500000000000002</v>
      </c>
      <c r="R854" s="115">
        <v>0.45500000000000002</v>
      </c>
      <c r="S854" s="110">
        <f t="shared" si="95"/>
        <v>-684.41773102930131</v>
      </c>
      <c r="T854" s="110">
        <f t="shared" si="96"/>
        <v>-100105.4945054945</v>
      </c>
      <c r="U854" s="116">
        <f t="shared" si="97"/>
        <v>-2.2981059344695707</v>
      </c>
      <c r="V854" s="115">
        <v>66</v>
      </c>
      <c r="W854" s="115">
        <f t="shared" si="98"/>
        <v>51000</v>
      </c>
      <c r="X854" s="115">
        <f t="shared" si="99"/>
        <v>772.72727272727275</v>
      </c>
      <c r="Y854" s="117" t="s">
        <v>1915</v>
      </c>
      <c r="Z854" s="108" t="s">
        <v>35</v>
      </c>
      <c r="AA854" s="108" t="s">
        <v>35</v>
      </c>
      <c r="AB854" s="108" t="s">
        <v>1916</v>
      </c>
      <c r="AC854" s="108">
        <v>0</v>
      </c>
      <c r="AD854" s="108">
        <v>1</v>
      </c>
      <c r="AE854" s="108" t="s">
        <v>42</v>
      </c>
      <c r="AF854" s="108" t="s">
        <v>35</v>
      </c>
      <c r="AG854" s="108" t="s">
        <v>38</v>
      </c>
      <c r="AH854" s="108" t="s">
        <v>92</v>
      </c>
    </row>
    <row r="855" spans="1:34" x14ac:dyDescent="0.3">
      <c r="A855" s="107" t="s">
        <v>2462</v>
      </c>
      <c r="B855" s="108" t="s">
        <v>2460</v>
      </c>
      <c r="C855" s="108" t="s">
        <v>2461</v>
      </c>
      <c r="D855" s="109">
        <v>45230</v>
      </c>
      <c r="E855" s="110">
        <v>140000</v>
      </c>
      <c r="F855" s="108" t="s">
        <v>32</v>
      </c>
      <c r="G855" s="108" t="s">
        <v>33</v>
      </c>
      <c r="H855" s="110">
        <v>140000</v>
      </c>
      <c r="I855" s="110">
        <v>46200</v>
      </c>
      <c r="J855" s="111">
        <f t="shared" si="93"/>
        <v>33</v>
      </c>
      <c r="K855" s="110">
        <v>118727</v>
      </c>
      <c r="L855" s="110">
        <f>H855-105407</f>
        <v>34593</v>
      </c>
      <c r="M855" s="110">
        <v>13320</v>
      </c>
      <c r="N855" s="112">
        <f t="shared" si="94"/>
        <v>9.514285714285714E-2</v>
      </c>
      <c r="O855" s="113">
        <v>69.010000000000005</v>
      </c>
      <c r="P855" s="114">
        <v>270</v>
      </c>
      <c r="Q855" s="115">
        <v>0.39</v>
      </c>
      <c r="R855" s="115">
        <v>0.39</v>
      </c>
      <c r="S855" s="110">
        <f t="shared" si="95"/>
        <v>501.27517751050567</v>
      </c>
      <c r="T855" s="110">
        <f t="shared" si="96"/>
        <v>88700</v>
      </c>
      <c r="U855" s="116">
        <f t="shared" si="97"/>
        <v>2.0362718089990817</v>
      </c>
      <c r="V855" s="115">
        <v>63</v>
      </c>
      <c r="W855" s="115">
        <f t="shared" si="98"/>
        <v>28000</v>
      </c>
      <c r="X855" s="115">
        <f t="shared" si="99"/>
        <v>444.44444444444446</v>
      </c>
      <c r="Y855" s="117" t="s">
        <v>2434</v>
      </c>
      <c r="Z855" s="108" t="s">
        <v>35</v>
      </c>
      <c r="AA855" s="108" t="s">
        <v>35</v>
      </c>
      <c r="AB855" s="108" t="s">
        <v>2462</v>
      </c>
      <c r="AC855" s="108">
        <v>0</v>
      </c>
      <c r="AD855" s="108">
        <v>1</v>
      </c>
      <c r="AE855" s="108" t="s">
        <v>37</v>
      </c>
      <c r="AF855" s="108" t="s">
        <v>43</v>
      </c>
      <c r="AG855" s="108" t="s">
        <v>38</v>
      </c>
      <c r="AH855" s="108" t="s">
        <v>92</v>
      </c>
    </row>
    <row r="856" spans="1:34" x14ac:dyDescent="0.3">
      <c r="A856" s="107" t="s">
        <v>2703</v>
      </c>
      <c r="B856" s="108" t="s">
        <v>2782</v>
      </c>
      <c r="C856" s="108" t="s">
        <v>2783</v>
      </c>
      <c r="D856" s="109">
        <v>45042</v>
      </c>
      <c r="E856" s="110">
        <v>3000</v>
      </c>
      <c r="F856" s="108" t="s">
        <v>81</v>
      </c>
      <c r="G856" s="108" t="s">
        <v>33</v>
      </c>
      <c r="H856" s="110">
        <v>3000</v>
      </c>
      <c r="I856" s="110">
        <v>900</v>
      </c>
      <c r="J856" s="111">
        <f t="shared" si="93"/>
        <v>30</v>
      </c>
      <c r="K856" s="110">
        <v>1800</v>
      </c>
      <c r="L856" s="110">
        <f>H856-0</f>
        <v>3000</v>
      </c>
      <c r="M856" s="110">
        <v>1800</v>
      </c>
      <c r="N856" s="112">
        <f t="shared" si="94"/>
        <v>0.6</v>
      </c>
      <c r="O856" s="113">
        <v>48.14</v>
      </c>
      <c r="P856" s="114">
        <v>110</v>
      </c>
      <c r="Q856" s="115">
        <v>0.12</v>
      </c>
      <c r="R856" s="115">
        <v>0.12</v>
      </c>
      <c r="S856" s="110">
        <f t="shared" si="95"/>
        <v>62.318238471125881</v>
      </c>
      <c r="T856" s="110">
        <f t="shared" si="96"/>
        <v>25000</v>
      </c>
      <c r="U856" s="116">
        <f t="shared" si="97"/>
        <v>0.57392102846648296</v>
      </c>
      <c r="V856" s="115">
        <v>49.72</v>
      </c>
      <c r="W856" s="115">
        <f t="shared" si="98"/>
        <v>600</v>
      </c>
      <c r="X856" s="115">
        <f t="shared" si="99"/>
        <v>12.067578439259856</v>
      </c>
      <c r="Y856" s="117" t="s">
        <v>2726</v>
      </c>
      <c r="Z856" s="108" t="s">
        <v>35</v>
      </c>
      <c r="AA856" s="108" t="s">
        <v>35</v>
      </c>
      <c r="AB856" s="108" t="s">
        <v>2703</v>
      </c>
      <c r="AC856" s="108">
        <v>0</v>
      </c>
      <c r="AD856" s="108">
        <v>0</v>
      </c>
      <c r="AE856" s="108" t="s">
        <v>37</v>
      </c>
      <c r="AF856" s="108" t="s">
        <v>43</v>
      </c>
      <c r="AG856" s="108" t="s">
        <v>61</v>
      </c>
      <c r="AH856" s="108" t="s">
        <v>1830</v>
      </c>
    </row>
    <row r="857" spans="1:34" x14ac:dyDescent="0.3">
      <c r="A857" s="118" t="s">
        <v>2703</v>
      </c>
      <c r="B857" s="119" t="s">
        <v>2704</v>
      </c>
      <c r="C857" s="119" t="s">
        <v>2705</v>
      </c>
      <c r="D857" s="120">
        <v>45023</v>
      </c>
      <c r="E857" s="121">
        <v>259900</v>
      </c>
      <c r="F857" s="119" t="s">
        <v>32</v>
      </c>
      <c r="G857" s="119" t="s">
        <v>33</v>
      </c>
      <c r="H857" s="121">
        <v>259900</v>
      </c>
      <c r="I857" s="121">
        <v>67500</v>
      </c>
      <c r="J857" s="122">
        <f t="shared" si="93"/>
        <v>25.971527510580994</v>
      </c>
      <c r="K857" s="121">
        <v>165607</v>
      </c>
      <c r="L857" s="121">
        <f>H857-107407</f>
        <v>152493</v>
      </c>
      <c r="M857" s="121">
        <v>58200</v>
      </c>
      <c r="N857" s="123">
        <f t="shared" si="94"/>
        <v>0.22393228164678722</v>
      </c>
      <c r="O857" s="124">
        <v>0</v>
      </c>
      <c r="P857" s="125">
        <v>0</v>
      </c>
      <c r="Q857" s="126">
        <v>3.88</v>
      </c>
      <c r="R857" s="126">
        <v>3.88</v>
      </c>
      <c r="S857" s="121" t="e">
        <f t="shared" si="95"/>
        <v>#DIV/0!</v>
      </c>
      <c r="T857" s="121">
        <f t="shared" si="96"/>
        <v>39302.319587628866</v>
      </c>
      <c r="U857" s="127">
        <f t="shared" si="97"/>
        <v>0.90225710715401441</v>
      </c>
      <c r="V857" s="126">
        <v>0</v>
      </c>
      <c r="W857" s="126">
        <f t="shared" si="98"/>
        <v>51980</v>
      </c>
      <c r="X857" s="126"/>
      <c r="Y857" s="128" t="s">
        <v>2702</v>
      </c>
      <c r="Z857" s="119" t="s">
        <v>35</v>
      </c>
      <c r="AA857" s="119" t="s">
        <v>35</v>
      </c>
      <c r="AB857" s="119" t="s">
        <v>2703</v>
      </c>
      <c r="AC857" s="119">
        <v>0</v>
      </c>
      <c r="AD857" s="119">
        <v>0</v>
      </c>
      <c r="AE857" s="119" t="s">
        <v>42</v>
      </c>
      <c r="AF857" s="119" t="s">
        <v>43</v>
      </c>
      <c r="AG857" s="119" t="s">
        <v>38</v>
      </c>
      <c r="AH857" s="119"/>
    </row>
    <row r="858" spans="1:34" x14ac:dyDescent="0.3">
      <c r="A858" s="118" t="s">
        <v>2703</v>
      </c>
      <c r="B858" s="119" t="s">
        <v>2700</v>
      </c>
      <c r="C858" s="119" t="s">
        <v>2701</v>
      </c>
      <c r="D858" s="120">
        <v>45686</v>
      </c>
      <c r="E858" s="121">
        <v>110000</v>
      </c>
      <c r="F858" s="119" t="s">
        <v>32</v>
      </c>
      <c r="G858" s="119" t="s">
        <v>33</v>
      </c>
      <c r="H858" s="121">
        <v>110000</v>
      </c>
      <c r="I858" s="121">
        <v>94000</v>
      </c>
      <c r="J858" s="122">
        <f t="shared" si="93"/>
        <v>85.454545454545453</v>
      </c>
      <c r="K858" s="121">
        <v>217349</v>
      </c>
      <c r="L858" s="121">
        <f>H858-191249</f>
        <v>-81249</v>
      </c>
      <c r="M858" s="121">
        <v>26100</v>
      </c>
      <c r="N858" s="123">
        <f t="shared" si="94"/>
        <v>0.23727272727272727</v>
      </c>
      <c r="O858" s="124">
        <v>0</v>
      </c>
      <c r="P858" s="125">
        <v>0</v>
      </c>
      <c r="Q858" s="126">
        <v>1.74</v>
      </c>
      <c r="R858" s="126">
        <v>1.74</v>
      </c>
      <c r="S858" s="121" t="e">
        <f t="shared" si="95"/>
        <v>#DIV/0!</v>
      </c>
      <c r="T858" s="121">
        <f t="shared" si="96"/>
        <v>-46694.827586206899</v>
      </c>
      <c r="U858" s="127">
        <f t="shared" si="97"/>
        <v>-1.0719657388936386</v>
      </c>
      <c r="V858" s="126">
        <v>0</v>
      </c>
      <c r="W858" s="126">
        <f t="shared" si="98"/>
        <v>22000</v>
      </c>
      <c r="X858" s="126"/>
      <c r="Y858" s="128" t="s">
        <v>2702</v>
      </c>
      <c r="Z858" s="119" t="s">
        <v>35</v>
      </c>
      <c r="AA858" s="119" t="s">
        <v>35</v>
      </c>
      <c r="AB858" s="119" t="s">
        <v>2703</v>
      </c>
      <c r="AC858" s="119">
        <v>0</v>
      </c>
      <c r="AD858" s="119">
        <v>0</v>
      </c>
      <c r="AE858" s="119" t="s">
        <v>42</v>
      </c>
      <c r="AF858" s="119" t="s">
        <v>35</v>
      </c>
      <c r="AG858" s="119" t="s">
        <v>38</v>
      </c>
      <c r="AH858" s="119"/>
    </row>
    <row r="859" spans="1:34" x14ac:dyDescent="0.3">
      <c r="A859" s="107" t="s">
        <v>2709</v>
      </c>
      <c r="B859" s="108" t="s">
        <v>2722</v>
      </c>
      <c r="C859" s="108" t="s">
        <v>2723</v>
      </c>
      <c r="D859" s="109">
        <v>45644</v>
      </c>
      <c r="E859" s="110">
        <v>75000</v>
      </c>
      <c r="F859" s="108" t="s">
        <v>81</v>
      </c>
      <c r="G859" s="108" t="s">
        <v>33</v>
      </c>
      <c r="H859" s="110">
        <v>75000</v>
      </c>
      <c r="I859" s="110">
        <v>49800</v>
      </c>
      <c r="J859" s="111">
        <f t="shared" si="93"/>
        <v>66.400000000000006</v>
      </c>
      <c r="K859" s="110">
        <v>120973</v>
      </c>
      <c r="L859" s="110">
        <f>H859-109093</f>
        <v>-34093</v>
      </c>
      <c r="M859" s="110">
        <v>11880</v>
      </c>
      <c r="N859" s="112">
        <f t="shared" si="94"/>
        <v>0.15840000000000001</v>
      </c>
      <c r="O859" s="113">
        <v>60</v>
      </c>
      <c r="P859" s="114">
        <v>135</v>
      </c>
      <c r="Q859" s="115">
        <v>0.186</v>
      </c>
      <c r="R859" s="115">
        <v>0.186</v>
      </c>
      <c r="S859" s="110">
        <f t="shared" si="95"/>
        <v>-568.2166666666667</v>
      </c>
      <c r="T859" s="110">
        <f t="shared" si="96"/>
        <v>-183295.69892473117</v>
      </c>
      <c r="U859" s="116">
        <f t="shared" si="97"/>
        <v>-4.2078902416145816</v>
      </c>
      <c r="V859" s="115">
        <v>60</v>
      </c>
      <c r="W859" s="115">
        <f t="shared" si="98"/>
        <v>15000</v>
      </c>
      <c r="X859" s="115">
        <f t="shared" ref="X859:X922" si="100">W859/V859</f>
        <v>250</v>
      </c>
      <c r="Y859" s="117" t="s">
        <v>2708</v>
      </c>
      <c r="Z859" s="108" t="s">
        <v>35</v>
      </c>
      <c r="AA859" s="108" t="s">
        <v>35</v>
      </c>
      <c r="AB859" s="108" t="s">
        <v>2709</v>
      </c>
      <c r="AC859" s="108">
        <v>0</v>
      </c>
      <c r="AD859" s="108">
        <v>1</v>
      </c>
      <c r="AE859" s="108" t="s">
        <v>42</v>
      </c>
      <c r="AF859" s="108" t="s">
        <v>35</v>
      </c>
      <c r="AG859" s="108" t="s">
        <v>38</v>
      </c>
      <c r="AH859" s="108" t="s">
        <v>92</v>
      </c>
    </row>
    <row r="860" spans="1:34" x14ac:dyDescent="0.3">
      <c r="A860" s="107" t="s">
        <v>2709</v>
      </c>
      <c r="B860" s="108" t="s">
        <v>2706</v>
      </c>
      <c r="C860" s="108" t="s">
        <v>2707</v>
      </c>
      <c r="D860" s="109">
        <v>45491</v>
      </c>
      <c r="E860" s="110">
        <v>140000</v>
      </c>
      <c r="F860" s="108" t="s">
        <v>32</v>
      </c>
      <c r="G860" s="108" t="s">
        <v>33</v>
      </c>
      <c r="H860" s="110">
        <v>140000</v>
      </c>
      <c r="I860" s="110">
        <v>46100</v>
      </c>
      <c r="J860" s="111">
        <f t="shared" si="93"/>
        <v>32.928571428571431</v>
      </c>
      <c r="K860" s="110">
        <v>112044</v>
      </c>
      <c r="L860" s="110">
        <f>H860-96204</f>
        <v>43796</v>
      </c>
      <c r="M860" s="110">
        <v>15840</v>
      </c>
      <c r="N860" s="112">
        <f t="shared" si="94"/>
        <v>0.11314285714285714</v>
      </c>
      <c r="O860" s="113">
        <v>80</v>
      </c>
      <c r="P860" s="114">
        <v>135</v>
      </c>
      <c r="Q860" s="115">
        <v>0.248</v>
      </c>
      <c r="R860" s="115">
        <v>0.248</v>
      </c>
      <c r="S860" s="110">
        <f t="shared" si="95"/>
        <v>547.45000000000005</v>
      </c>
      <c r="T860" s="110">
        <f t="shared" si="96"/>
        <v>176596.77419354839</v>
      </c>
      <c r="U860" s="116">
        <f t="shared" si="97"/>
        <v>4.0541040907609824</v>
      </c>
      <c r="V860" s="115">
        <v>80</v>
      </c>
      <c r="W860" s="115">
        <f t="shared" si="98"/>
        <v>28000</v>
      </c>
      <c r="X860" s="115">
        <f t="shared" si="100"/>
        <v>350</v>
      </c>
      <c r="Y860" s="117" t="s">
        <v>2708</v>
      </c>
      <c r="Z860" s="108" t="s">
        <v>35</v>
      </c>
      <c r="AA860" s="108" t="s">
        <v>35</v>
      </c>
      <c r="AB860" s="108" t="s">
        <v>2709</v>
      </c>
      <c r="AC860" s="108">
        <v>0</v>
      </c>
      <c r="AD860" s="108">
        <v>1</v>
      </c>
      <c r="AE860" s="108" t="s">
        <v>42</v>
      </c>
      <c r="AF860" s="108" t="s">
        <v>43</v>
      </c>
      <c r="AG860" s="108" t="s">
        <v>38</v>
      </c>
      <c r="AH860" s="108" t="s">
        <v>92</v>
      </c>
    </row>
    <row r="861" spans="1:34" x14ac:dyDescent="0.3">
      <c r="A861" s="107" t="s">
        <v>2709</v>
      </c>
      <c r="B861" s="108" t="s">
        <v>2718</v>
      </c>
      <c r="C861" s="108" t="s">
        <v>2719</v>
      </c>
      <c r="D861" s="109">
        <v>45041</v>
      </c>
      <c r="E861" s="110">
        <v>126000</v>
      </c>
      <c r="F861" s="108" t="s">
        <v>32</v>
      </c>
      <c r="G861" s="108" t="s">
        <v>33</v>
      </c>
      <c r="H861" s="110">
        <v>126000</v>
      </c>
      <c r="I861" s="110">
        <v>40800</v>
      </c>
      <c r="J861" s="111">
        <f t="shared" si="93"/>
        <v>32.38095238095238</v>
      </c>
      <c r="K861" s="110">
        <v>111186</v>
      </c>
      <c r="L861" s="110">
        <f>H861-99306</f>
        <v>26694</v>
      </c>
      <c r="M861" s="110">
        <v>11880</v>
      </c>
      <c r="N861" s="112">
        <f t="shared" si="94"/>
        <v>9.4285714285714292E-2</v>
      </c>
      <c r="O861" s="113">
        <v>60</v>
      </c>
      <c r="P861" s="114">
        <v>135</v>
      </c>
      <c r="Q861" s="115">
        <v>0.186</v>
      </c>
      <c r="R861" s="115">
        <v>0.186</v>
      </c>
      <c r="S861" s="110">
        <f t="shared" si="95"/>
        <v>444.9</v>
      </c>
      <c r="T861" s="110">
        <f t="shared" si="96"/>
        <v>143516.12903225806</v>
      </c>
      <c r="U861" s="116">
        <f t="shared" si="97"/>
        <v>3.2946769750288811</v>
      </c>
      <c r="V861" s="115">
        <v>60</v>
      </c>
      <c r="W861" s="115">
        <f t="shared" si="98"/>
        <v>25200</v>
      </c>
      <c r="X861" s="115">
        <f t="shared" si="100"/>
        <v>420</v>
      </c>
      <c r="Y861" s="117" t="s">
        <v>2708</v>
      </c>
      <c r="Z861" s="108" t="s">
        <v>35</v>
      </c>
      <c r="AA861" s="108" t="s">
        <v>35</v>
      </c>
      <c r="AB861" s="108" t="s">
        <v>2709</v>
      </c>
      <c r="AC861" s="108">
        <v>0</v>
      </c>
      <c r="AD861" s="108">
        <v>1</v>
      </c>
      <c r="AE861" s="108" t="s">
        <v>42</v>
      </c>
      <c r="AF861" s="108" t="s">
        <v>43</v>
      </c>
      <c r="AG861" s="108" t="s">
        <v>38</v>
      </c>
      <c r="AH861" s="108" t="s">
        <v>92</v>
      </c>
    </row>
    <row r="862" spans="1:34" x14ac:dyDescent="0.3">
      <c r="A862" s="118" t="s">
        <v>2709</v>
      </c>
      <c r="B862" s="119" t="s">
        <v>2718</v>
      </c>
      <c r="C862" s="119" t="s">
        <v>2719</v>
      </c>
      <c r="D862" s="120">
        <v>45663</v>
      </c>
      <c r="E862" s="121">
        <v>139800</v>
      </c>
      <c r="F862" s="119" t="s">
        <v>32</v>
      </c>
      <c r="G862" s="119" t="s">
        <v>33</v>
      </c>
      <c r="H862" s="121">
        <v>139800</v>
      </c>
      <c r="I862" s="121">
        <v>45900</v>
      </c>
      <c r="J862" s="122">
        <f t="shared" si="93"/>
        <v>32.832618025751067</v>
      </c>
      <c r="K862" s="121">
        <v>111186</v>
      </c>
      <c r="L862" s="121">
        <f>H862-99306</f>
        <v>40494</v>
      </c>
      <c r="M862" s="121">
        <v>11880</v>
      </c>
      <c r="N862" s="123">
        <f t="shared" si="94"/>
        <v>8.4978540772532182E-2</v>
      </c>
      <c r="O862" s="124">
        <v>60</v>
      </c>
      <c r="P862" s="125">
        <v>135</v>
      </c>
      <c r="Q862" s="126">
        <v>0.186</v>
      </c>
      <c r="R862" s="126">
        <v>0.186</v>
      </c>
      <c r="S862" s="121">
        <f t="shared" si="95"/>
        <v>674.9</v>
      </c>
      <c r="T862" s="121">
        <f t="shared" si="96"/>
        <v>217709.67741935485</v>
      </c>
      <c r="U862" s="127">
        <f t="shared" si="97"/>
        <v>4.9979264788648958</v>
      </c>
      <c r="V862" s="126">
        <v>60</v>
      </c>
      <c r="W862" s="126">
        <f t="shared" si="98"/>
        <v>27960</v>
      </c>
      <c r="X862" s="126">
        <f t="shared" si="100"/>
        <v>466</v>
      </c>
      <c r="Y862" s="128" t="s">
        <v>2708</v>
      </c>
      <c r="Z862" s="119" t="s">
        <v>35</v>
      </c>
      <c r="AA862" s="119" t="s">
        <v>35</v>
      </c>
      <c r="AB862" s="119" t="s">
        <v>2709</v>
      </c>
      <c r="AC862" s="119">
        <v>0</v>
      </c>
      <c r="AD862" s="119">
        <v>1</v>
      </c>
      <c r="AE862" s="119" t="s">
        <v>42</v>
      </c>
      <c r="AF862" s="119" t="s">
        <v>35</v>
      </c>
      <c r="AG862" s="119" t="s">
        <v>38</v>
      </c>
      <c r="AH862" s="119" t="s">
        <v>92</v>
      </c>
    </row>
    <row r="863" spans="1:34" x14ac:dyDescent="0.3">
      <c r="A863" s="107" t="s">
        <v>2709</v>
      </c>
      <c r="B863" s="108" t="s">
        <v>2710</v>
      </c>
      <c r="C863" s="108" t="s">
        <v>2711</v>
      </c>
      <c r="D863" s="109">
        <v>45470</v>
      </c>
      <c r="E863" s="110">
        <v>99900</v>
      </c>
      <c r="F863" s="108" t="s">
        <v>32</v>
      </c>
      <c r="G863" s="108" t="s">
        <v>33</v>
      </c>
      <c r="H863" s="110">
        <v>99900</v>
      </c>
      <c r="I863" s="110">
        <v>36900</v>
      </c>
      <c r="J863" s="111">
        <f t="shared" si="93"/>
        <v>36.936936936936938</v>
      </c>
      <c r="K863" s="110">
        <v>90519</v>
      </c>
      <c r="L863" s="110">
        <f>H863-82599</f>
        <v>17301</v>
      </c>
      <c r="M863" s="110">
        <v>7920</v>
      </c>
      <c r="N863" s="112">
        <f t="shared" si="94"/>
        <v>7.9279279279279274E-2</v>
      </c>
      <c r="O863" s="113">
        <v>40</v>
      </c>
      <c r="P863" s="114">
        <v>135</v>
      </c>
      <c r="Q863" s="115">
        <v>0.124</v>
      </c>
      <c r="R863" s="115">
        <v>0.124</v>
      </c>
      <c r="S863" s="110">
        <f t="shared" si="95"/>
        <v>432.52499999999998</v>
      </c>
      <c r="T863" s="110">
        <f t="shared" si="96"/>
        <v>139524.19354838709</v>
      </c>
      <c r="U863" s="116">
        <f t="shared" si="97"/>
        <v>3.2030347462898781</v>
      </c>
      <c r="V863" s="115">
        <v>40</v>
      </c>
      <c r="W863" s="115">
        <f t="shared" si="98"/>
        <v>19980</v>
      </c>
      <c r="X863" s="115">
        <f t="shared" si="100"/>
        <v>499.5</v>
      </c>
      <c r="Y863" s="117" t="s">
        <v>2708</v>
      </c>
      <c r="Z863" s="108" t="s">
        <v>35</v>
      </c>
      <c r="AA863" s="108" t="s">
        <v>35</v>
      </c>
      <c r="AB863" s="108" t="s">
        <v>2709</v>
      </c>
      <c r="AC863" s="108">
        <v>0</v>
      </c>
      <c r="AD863" s="108">
        <v>1</v>
      </c>
      <c r="AE863" s="108" t="s">
        <v>42</v>
      </c>
      <c r="AF863" s="108" t="s">
        <v>43</v>
      </c>
      <c r="AG863" s="108" t="s">
        <v>38</v>
      </c>
      <c r="AH863" s="108" t="s">
        <v>92</v>
      </c>
    </row>
    <row r="864" spans="1:34" x14ac:dyDescent="0.3">
      <c r="A864" s="118" t="s">
        <v>2709</v>
      </c>
      <c r="B864" s="119" t="s">
        <v>2712</v>
      </c>
      <c r="C864" s="119" t="s">
        <v>2713</v>
      </c>
      <c r="D864" s="120">
        <v>45303</v>
      </c>
      <c r="E864" s="121">
        <v>300000</v>
      </c>
      <c r="F864" s="119" t="s">
        <v>32</v>
      </c>
      <c r="G864" s="119" t="s">
        <v>33</v>
      </c>
      <c r="H864" s="121">
        <v>300000</v>
      </c>
      <c r="I864" s="121">
        <v>106600</v>
      </c>
      <c r="J864" s="122">
        <f t="shared" si="93"/>
        <v>35.533333333333331</v>
      </c>
      <c r="K864" s="121">
        <v>275537</v>
      </c>
      <c r="L864" s="121">
        <f>H864-251777</f>
        <v>48223</v>
      </c>
      <c r="M864" s="121">
        <v>23760</v>
      </c>
      <c r="N864" s="123">
        <f t="shared" si="94"/>
        <v>7.9200000000000007E-2</v>
      </c>
      <c r="O864" s="124">
        <v>120</v>
      </c>
      <c r="P864" s="125">
        <v>135</v>
      </c>
      <c r="Q864" s="126">
        <v>0.372</v>
      </c>
      <c r="R864" s="126">
        <v>0.372</v>
      </c>
      <c r="S864" s="121">
        <f t="shared" si="95"/>
        <v>401.85833333333335</v>
      </c>
      <c r="T864" s="121">
        <f t="shared" si="96"/>
        <v>129631.72043010753</v>
      </c>
      <c r="U864" s="127">
        <f t="shared" si="97"/>
        <v>2.9759348124450762</v>
      </c>
      <c r="V864" s="126">
        <v>120</v>
      </c>
      <c r="W864" s="126">
        <f t="shared" si="98"/>
        <v>60000</v>
      </c>
      <c r="X864" s="126">
        <f t="shared" si="100"/>
        <v>500</v>
      </c>
      <c r="Y864" s="128" t="s">
        <v>2708</v>
      </c>
      <c r="Z864" s="119" t="s">
        <v>35</v>
      </c>
      <c r="AA864" s="119" t="s">
        <v>35</v>
      </c>
      <c r="AB864" s="119" t="s">
        <v>2709</v>
      </c>
      <c r="AC864" s="119">
        <v>0</v>
      </c>
      <c r="AD864" s="119">
        <v>1</v>
      </c>
      <c r="AE864" s="119" t="s">
        <v>412</v>
      </c>
      <c r="AF864" s="119" t="s">
        <v>43</v>
      </c>
      <c r="AG864" s="119" t="s">
        <v>38</v>
      </c>
      <c r="AH864" s="119" t="s">
        <v>92</v>
      </c>
    </row>
    <row r="865" spans="1:34" x14ac:dyDescent="0.3">
      <c r="A865" s="107" t="s">
        <v>2709</v>
      </c>
      <c r="B865" s="108" t="s">
        <v>2716</v>
      </c>
      <c r="C865" s="108" t="s">
        <v>2717</v>
      </c>
      <c r="D865" s="109">
        <v>45597</v>
      </c>
      <c r="E865" s="110">
        <v>107000</v>
      </c>
      <c r="F865" s="108" t="s">
        <v>32</v>
      </c>
      <c r="G865" s="108" t="s">
        <v>33</v>
      </c>
      <c r="H865" s="110">
        <v>107000</v>
      </c>
      <c r="I865" s="110">
        <v>46900</v>
      </c>
      <c r="J865" s="111">
        <f t="shared" si="93"/>
        <v>43.831775700934578</v>
      </c>
      <c r="K865" s="110">
        <v>115656</v>
      </c>
      <c r="L865" s="110">
        <f>H865-107736</f>
        <v>-736</v>
      </c>
      <c r="M865" s="110">
        <v>7920</v>
      </c>
      <c r="N865" s="112">
        <f t="shared" si="94"/>
        <v>7.4018691588785046E-2</v>
      </c>
      <c r="O865" s="113">
        <v>40</v>
      </c>
      <c r="P865" s="114">
        <v>135</v>
      </c>
      <c r="Q865" s="115">
        <v>0.124</v>
      </c>
      <c r="R865" s="115">
        <v>0.124</v>
      </c>
      <c r="S865" s="110">
        <f t="shared" si="95"/>
        <v>-18.399999999999999</v>
      </c>
      <c r="T865" s="110">
        <f t="shared" si="96"/>
        <v>-5935.4838709677424</v>
      </c>
      <c r="U865" s="116">
        <f t="shared" si="97"/>
        <v>-0.13625996030688114</v>
      </c>
      <c r="V865" s="115">
        <v>40</v>
      </c>
      <c r="W865" s="115">
        <f t="shared" si="98"/>
        <v>21400</v>
      </c>
      <c r="X865" s="115">
        <f t="shared" si="100"/>
        <v>535</v>
      </c>
      <c r="Y865" s="117" t="s">
        <v>2708</v>
      </c>
      <c r="Z865" s="108" t="s">
        <v>35</v>
      </c>
      <c r="AA865" s="108" t="s">
        <v>35</v>
      </c>
      <c r="AB865" s="108" t="s">
        <v>2709</v>
      </c>
      <c r="AC865" s="108">
        <v>0</v>
      </c>
      <c r="AD865" s="108">
        <v>1</v>
      </c>
      <c r="AE865" s="108" t="s">
        <v>42</v>
      </c>
      <c r="AF865" s="108" t="s">
        <v>35</v>
      </c>
      <c r="AG865" s="108" t="s">
        <v>38</v>
      </c>
      <c r="AH865" s="108" t="s">
        <v>92</v>
      </c>
    </row>
    <row r="866" spans="1:34" x14ac:dyDescent="0.3">
      <c r="A866" s="118" t="s">
        <v>2709</v>
      </c>
      <c r="B866" s="119" t="s">
        <v>2714</v>
      </c>
      <c r="C866" s="119" t="s">
        <v>2715</v>
      </c>
      <c r="D866" s="120">
        <v>45380</v>
      </c>
      <c r="E866" s="121">
        <v>150000</v>
      </c>
      <c r="F866" s="119" t="s">
        <v>32</v>
      </c>
      <c r="G866" s="119" t="s">
        <v>33</v>
      </c>
      <c r="H866" s="121">
        <v>150000</v>
      </c>
      <c r="I866" s="121">
        <v>60100</v>
      </c>
      <c r="J866" s="122">
        <f t="shared" si="93"/>
        <v>40.06666666666667</v>
      </c>
      <c r="K866" s="121">
        <v>157016</v>
      </c>
      <c r="L866" s="121">
        <f>H866-149096</f>
        <v>904</v>
      </c>
      <c r="M866" s="121">
        <v>7920</v>
      </c>
      <c r="N866" s="123">
        <f t="shared" si="94"/>
        <v>5.28E-2</v>
      </c>
      <c r="O866" s="124">
        <v>40</v>
      </c>
      <c r="P866" s="125">
        <v>135</v>
      </c>
      <c r="Q866" s="126">
        <v>0.124</v>
      </c>
      <c r="R866" s="126">
        <v>0.124</v>
      </c>
      <c r="S866" s="121">
        <f t="shared" si="95"/>
        <v>22.6</v>
      </c>
      <c r="T866" s="121">
        <f t="shared" si="96"/>
        <v>7290.322580645161</v>
      </c>
      <c r="U866" s="127">
        <f t="shared" si="97"/>
        <v>0.16736277733345181</v>
      </c>
      <c r="V866" s="126">
        <v>40</v>
      </c>
      <c r="W866" s="126">
        <f t="shared" si="98"/>
        <v>30000</v>
      </c>
      <c r="X866" s="126">
        <f t="shared" si="100"/>
        <v>750</v>
      </c>
      <c r="Y866" s="128" t="s">
        <v>2708</v>
      </c>
      <c r="Z866" s="119" t="s">
        <v>35</v>
      </c>
      <c r="AA866" s="119" t="s">
        <v>35</v>
      </c>
      <c r="AB866" s="119" t="s">
        <v>2709</v>
      </c>
      <c r="AC866" s="119">
        <v>0</v>
      </c>
      <c r="AD866" s="119">
        <v>1</v>
      </c>
      <c r="AE866" s="119" t="s">
        <v>37</v>
      </c>
      <c r="AF866" s="119" t="s">
        <v>43</v>
      </c>
      <c r="AG866" s="119" t="s">
        <v>38</v>
      </c>
      <c r="AH866" s="119" t="s">
        <v>92</v>
      </c>
    </row>
    <row r="867" spans="1:34" x14ac:dyDescent="0.3">
      <c r="A867" s="118" t="s">
        <v>2709</v>
      </c>
      <c r="B867" s="119" t="s">
        <v>2720</v>
      </c>
      <c r="C867" s="119" t="s">
        <v>2721</v>
      </c>
      <c r="D867" s="120">
        <v>45212</v>
      </c>
      <c r="E867" s="121">
        <v>155000</v>
      </c>
      <c r="F867" s="119" t="s">
        <v>32</v>
      </c>
      <c r="G867" s="119" t="s">
        <v>33</v>
      </c>
      <c r="H867" s="121">
        <v>155000</v>
      </c>
      <c r="I867" s="121">
        <v>57400</v>
      </c>
      <c r="J867" s="122">
        <f t="shared" si="93"/>
        <v>37.032258064516128</v>
      </c>
      <c r="K867" s="121">
        <v>150046</v>
      </c>
      <c r="L867" s="121">
        <f>H867-142126</f>
        <v>12874</v>
      </c>
      <c r="M867" s="121">
        <v>7920</v>
      </c>
      <c r="N867" s="123">
        <f t="shared" si="94"/>
        <v>5.109677419354839E-2</v>
      </c>
      <c r="O867" s="124">
        <v>40</v>
      </c>
      <c r="P867" s="125">
        <v>135</v>
      </c>
      <c r="Q867" s="126">
        <v>0.124</v>
      </c>
      <c r="R867" s="126">
        <v>0.124</v>
      </c>
      <c r="S867" s="121">
        <f t="shared" si="95"/>
        <v>321.85000000000002</v>
      </c>
      <c r="T867" s="121">
        <f t="shared" si="96"/>
        <v>103822.58064516129</v>
      </c>
      <c r="U867" s="127">
        <f t="shared" si="97"/>
        <v>2.3834384904766135</v>
      </c>
      <c r="V867" s="126">
        <v>40</v>
      </c>
      <c r="W867" s="126">
        <f t="shared" si="98"/>
        <v>31000</v>
      </c>
      <c r="X867" s="126">
        <f t="shared" si="100"/>
        <v>775</v>
      </c>
      <c r="Y867" s="128" t="s">
        <v>2708</v>
      </c>
      <c r="Z867" s="119" t="s">
        <v>35</v>
      </c>
      <c r="AA867" s="119" t="s">
        <v>35</v>
      </c>
      <c r="AB867" s="119" t="s">
        <v>2709</v>
      </c>
      <c r="AC867" s="119">
        <v>0</v>
      </c>
      <c r="AD867" s="119">
        <v>1</v>
      </c>
      <c r="AE867" s="119" t="s">
        <v>37</v>
      </c>
      <c r="AF867" s="119" t="s">
        <v>43</v>
      </c>
      <c r="AG867" s="119" t="s">
        <v>38</v>
      </c>
      <c r="AH867" s="119" t="s">
        <v>92</v>
      </c>
    </row>
    <row r="868" spans="1:34" x14ac:dyDescent="0.3">
      <c r="A868" s="107" t="s">
        <v>38</v>
      </c>
      <c r="B868" s="108" t="s">
        <v>508</v>
      </c>
      <c r="C868" s="108" t="s">
        <v>509</v>
      </c>
      <c r="D868" s="109">
        <v>45412</v>
      </c>
      <c r="E868" s="110">
        <v>10500</v>
      </c>
      <c r="F868" s="108" t="s">
        <v>32</v>
      </c>
      <c r="G868" s="108" t="s">
        <v>33</v>
      </c>
      <c r="H868" s="110">
        <v>10500</v>
      </c>
      <c r="I868" s="110">
        <v>50300</v>
      </c>
      <c r="J868" s="111">
        <f t="shared" si="93"/>
        <v>479.04761904761904</v>
      </c>
      <c r="K868" s="110">
        <v>121528</v>
      </c>
      <c r="L868" s="110">
        <f>H868-113645</f>
        <v>-103145</v>
      </c>
      <c r="M868" s="110">
        <v>7883</v>
      </c>
      <c r="N868" s="112">
        <f t="shared" si="94"/>
        <v>0.75076190476190474</v>
      </c>
      <c r="O868" s="113">
        <v>40.840000000000003</v>
      </c>
      <c r="P868" s="114">
        <v>130.35</v>
      </c>
      <c r="Q868" s="115">
        <v>0.12</v>
      </c>
      <c r="R868" s="115">
        <v>0.12</v>
      </c>
      <c r="S868" s="110">
        <f t="shared" si="95"/>
        <v>-2525.5876591576884</v>
      </c>
      <c r="T868" s="110">
        <f t="shared" si="96"/>
        <v>-859541.66666666674</v>
      </c>
      <c r="U868" s="116">
        <f t="shared" si="97"/>
        <v>-19.732361493725133</v>
      </c>
      <c r="V868" s="115">
        <v>40</v>
      </c>
      <c r="W868" s="115">
        <f t="shared" si="98"/>
        <v>2100</v>
      </c>
      <c r="X868" s="115">
        <f t="shared" si="100"/>
        <v>52.5</v>
      </c>
      <c r="Y868" s="117" t="s">
        <v>503</v>
      </c>
      <c r="Z868" s="108" t="s">
        <v>35</v>
      </c>
      <c r="AA868" s="108" t="s">
        <v>35</v>
      </c>
      <c r="AB868" s="108" t="s">
        <v>38</v>
      </c>
      <c r="AC868" s="108">
        <v>0</v>
      </c>
      <c r="AD868" s="108">
        <v>1</v>
      </c>
      <c r="AE868" s="108" t="s">
        <v>42</v>
      </c>
      <c r="AF868" s="108" t="s">
        <v>43</v>
      </c>
      <c r="AG868" s="108" t="s">
        <v>38</v>
      </c>
      <c r="AH868" s="108" t="s">
        <v>92</v>
      </c>
    </row>
    <row r="869" spans="1:34" x14ac:dyDescent="0.3">
      <c r="A869" s="118" t="s">
        <v>38</v>
      </c>
      <c r="B869" s="119" t="s">
        <v>528</v>
      </c>
      <c r="C869" s="119" t="s">
        <v>529</v>
      </c>
      <c r="D869" s="120">
        <v>45588</v>
      </c>
      <c r="E869" s="121">
        <v>38034</v>
      </c>
      <c r="F869" s="119" t="s">
        <v>32</v>
      </c>
      <c r="G869" s="119" t="s">
        <v>33</v>
      </c>
      <c r="H869" s="121">
        <v>38034</v>
      </c>
      <c r="I869" s="121">
        <v>49700</v>
      </c>
      <c r="J869" s="122">
        <f t="shared" si="93"/>
        <v>130.67255613398538</v>
      </c>
      <c r="K869" s="121">
        <v>120000</v>
      </c>
      <c r="L869" s="121">
        <f>H869-111455</f>
        <v>-73421</v>
      </c>
      <c r="M869" s="121">
        <v>8545</v>
      </c>
      <c r="N869" s="123">
        <f t="shared" si="94"/>
        <v>0.22466740285008149</v>
      </c>
      <c r="O869" s="124">
        <v>44.27</v>
      </c>
      <c r="P869" s="125">
        <v>121</v>
      </c>
      <c r="Q869" s="126">
        <v>0.125</v>
      </c>
      <c r="R869" s="126">
        <v>0.125</v>
      </c>
      <c r="S869" s="121">
        <f t="shared" si="95"/>
        <v>-1658.4820420149083</v>
      </c>
      <c r="T869" s="121">
        <f t="shared" si="96"/>
        <v>-587368</v>
      </c>
      <c r="U869" s="127">
        <f t="shared" si="97"/>
        <v>-13.484113865932049</v>
      </c>
      <c r="V869" s="126">
        <v>45</v>
      </c>
      <c r="W869" s="126">
        <f t="shared" si="98"/>
        <v>7606.8</v>
      </c>
      <c r="X869" s="126">
        <f t="shared" si="100"/>
        <v>169.04</v>
      </c>
      <c r="Y869" s="128" t="s">
        <v>503</v>
      </c>
      <c r="Z869" s="119" t="s">
        <v>35</v>
      </c>
      <c r="AA869" s="119" t="s">
        <v>35</v>
      </c>
      <c r="AB869" s="119" t="s">
        <v>38</v>
      </c>
      <c r="AC869" s="119">
        <v>0</v>
      </c>
      <c r="AD869" s="119">
        <v>1</v>
      </c>
      <c r="AE869" s="119" t="s">
        <v>42</v>
      </c>
      <c r="AF869" s="119" t="s">
        <v>35</v>
      </c>
      <c r="AG869" s="119" t="s">
        <v>38</v>
      </c>
      <c r="AH869" s="119" t="s">
        <v>92</v>
      </c>
    </row>
    <row r="870" spans="1:34" x14ac:dyDescent="0.3">
      <c r="A870" s="118" t="s">
        <v>38</v>
      </c>
      <c r="B870" s="119" t="s">
        <v>501</v>
      </c>
      <c r="C870" s="119" t="s">
        <v>502</v>
      </c>
      <c r="D870" s="120">
        <v>45470</v>
      </c>
      <c r="E870" s="121">
        <v>100000</v>
      </c>
      <c r="F870" s="119" t="s">
        <v>32</v>
      </c>
      <c r="G870" s="119" t="s">
        <v>33</v>
      </c>
      <c r="H870" s="121">
        <v>100000</v>
      </c>
      <c r="I870" s="121">
        <v>56500</v>
      </c>
      <c r="J870" s="122">
        <f t="shared" si="93"/>
        <v>56.499999999999993</v>
      </c>
      <c r="K870" s="121">
        <v>135672</v>
      </c>
      <c r="L870" s="121">
        <f>H870-117567</f>
        <v>-17567</v>
      </c>
      <c r="M870" s="121">
        <v>18105</v>
      </c>
      <c r="N870" s="123">
        <f t="shared" si="94"/>
        <v>0.18104999999999999</v>
      </c>
      <c r="O870" s="124">
        <v>93.8</v>
      </c>
      <c r="P870" s="125">
        <v>110</v>
      </c>
      <c r="Q870" s="126">
        <v>0.253</v>
      </c>
      <c r="R870" s="126">
        <v>0.253</v>
      </c>
      <c r="S870" s="121">
        <f t="shared" si="95"/>
        <v>-187.2814498933902</v>
      </c>
      <c r="T870" s="121">
        <f t="shared" si="96"/>
        <v>-69434.782608695648</v>
      </c>
      <c r="U870" s="127">
        <f t="shared" si="97"/>
        <v>-1.594003273845171</v>
      </c>
      <c r="V870" s="126">
        <v>100</v>
      </c>
      <c r="W870" s="126">
        <f t="shared" si="98"/>
        <v>20000</v>
      </c>
      <c r="X870" s="126">
        <f t="shared" si="100"/>
        <v>200</v>
      </c>
      <c r="Y870" s="128" t="s">
        <v>503</v>
      </c>
      <c r="Z870" s="119" t="s">
        <v>35</v>
      </c>
      <c r="AA870" s="119" t="s">
        <v>35</v>
      </c>
      <c r="AB870" s="119" t="s">
        <v>38</v>
      </c>
      <c r="AC870" s="119">
        <v>0</v>
      </c>
      <c r="AD870" s="119">
        <v>1</v>
      </c>
      <c r="AE870" s="119" t="s">
        <v>42</v>
      </c>
      <c r="AF870" s="119" t="s">
        <v>43</v>
      </c>
      <c r="AG870" s="119" t="s">
        <v>38</v>
      </c>
      <c r="AH870" s="119" t="s">
        <v>92</v>
      </c>
    </row>
    <row r="871" spans="1:34" x14ac:dyDescent="0.3">
      <c r="A871" s="107" t="s">
        <v>38</v>
      </c>
      <c r="B871" s="108" t="s">
        <v>516</v>
      </c>
      <c r="C871" s="108" t="s">
        <v>517</v>
      </c>
      <c r="D871" s="109">
        <v>45470</v>
      </c>
      <c r="E871" s="110">
        <v>105000</v>
      </c>
      <c r="F871" s="108" t="s">
        <v>32</v>
      </c>
      <c r="G871" s="108" t="s">
        <v>33</v>
      </c>
      <c r="H871" s="110">
        <v>105000</v>
      </c>
      <c r="I871" s="110">
        <v>44300</v>
      </c>
      <c r="J871" s="111">
        <f t="shared" si="93"/>
        <v>42.19047619047619</v>
      </c>
      <c r="K871" s="110">
        <v>106135</v>
      </c>
      <c r="L871" s="110">
        <f>H871-90389</f>
        <v>14611</v>
      </c>
      <c r="M871" s="110">
        <v>15746</v>
      </c>
      <c r="N871" s="112">
        <f t="shared" si="94"/>
        <v>0.14996190476190477</v>
      </c>
      <c r="O871" s="113">
        <v>81.58</v>
      </c>
      <c r="P871" s="114">
        <v>130</v>
      </c>
      <c r="Q871" s="115">
        <v>0.23899999999999999</v>
      </c>
      <c r="R871" s="115">
        <v>0.23899999999999999</v>
      </c>
      <c r="S871" s="110">
        <f t="shared" si="95"/>
        <v>179.10026967393969</v>
      </c>
      <c r="T871" s="110">
        <f t="shared" si="96"/>
        <v>61133.891213389121</v>
      </c>
      <c r="U871" s="116">
        <f t="shared" si="97"/>
        <v>1.403441028773855</v>
      </c>
      <c r="V871" s="115">
        <v>80</v>
      </c>
      <c r="W871" s="115">
        <f t="shared" si="98"/>
        <v>21000</v>
      </c>
      <c r="X871" s="115">
        <f t="shared" si="100"/>
        <v>262.5</v>
      </c>
      <c r="Y871" s="117" t="s">
        <v>503</v>
      </c>
      <c r="Z871" s="108" t="s">
        <v>35</v>
      </c>
      <c r="AA871" s="108" t="s">
        <v>35</v>
      </c>
      <c r="AB871" s="108" t="s">
        <v>38</v>
      </c>
      <c r="AC871" s="108">
        <v>0</v>
      </c>
      <c r="AD871" s="108">
        <v>1</v>
      </c>
      <c r="AE871" s="108" t="s">
        <v>37</v>
      </c>
      <c r="AF871" s="108" t="s">
        <v>43</v>
      </c>
      <c r="AG871" s="108" t="s">
        <v>38</v>
      </c>
      <c r="AH871" s="108" t="s">
        <v>92</v>
      </c>
    </row>
    <row r="872" spans="1:34" x14ac:dyDescent="0.3">
      <c r="A872" s="118" t="s">
        <v>38</v>
      </c>
      <c r="B872" s="119" t="s">
        <v>504</v>
      </c>
      <c r="C872" s="119" t="s">
        <v>505</v>
      </c>
      <c r="D872" s="120">
        <v>45436</v>
      </c>
      <c r="E872" s="121">
        <v>62000</v>
      </c>
      <c r="F872" s="119" t="s">
        <v>32</v>
      </c>
      <c r="G872" s="119" t="s">
        <v>33</v>
      </c>
      <c r="H872" s="121">
        <v>62000</v>
      </c>
      <c r="I872" s="121">
        <v>34400</v>
      </c>
      <c r="J872" s="122">
        <f t="shared" si="93"/>
        <v>55.483870967741936</v>
      </c>
      <c r="K872" s="121">
        <v>82903</v>
      </c>
      <c r="L872" s="121">
        <f>H872-75652</f>
        <v>-13652</v>
      </c>
      <c r="M872" s="121">
        <v>7251</v>
      </c>
      <c r="N872" s="123">
        <f t="shared" si="94"/>
        <v>0.11695161290322581</v>
      </c>
      <c r="O872" s="124">
        <v>37.56</v>
      </c>
      <c r="P872" s="125">
        <v>110.26</v>
      </c>
      <c r="Q872" s="126">
        <v>0.10100000000000001</v>
      </c>
      <c r="R872" s="126">
        <v>0.10100000000000001</v>
      </c>
      <c r="S872" s="121">
        <f t="shared" si="95"/>
        <v>-363.47177848775289</v>
      </c>
      <c r="T872" s="121">
        <f t="shared" si="96"/>
        <v>-135168.31683168316</v>
      </c>
      <c r="U872" s="127">
        <f t="shared" si="97"/>
        <v>-3.1030375764849212</v>
      </c>
      <c r="V872" s="126">
        <v>40</v>
      </c>
      <c r="W872" s="126">
        <f t="shared" si="98"/>
        <v>12400</v>
      </c>
      <c r="X872" s="126">
        <f t="shared" si="100"/>
        <v>310</v>
      </c>
      <c r="Y872" s="128" t="s">
        <v>503</v>
      </c>
      <c r="Z872" s="119" t="s">
        <v>35</v>
      </c>
      <c r="AA872" s="119" t="s">
        <v>35</v>
      </c>
      <c r="AB872" s="119" t="s">
        <v>38</v>
      </c>
      <c r="AC872" s="119">
        <v>0</v>
      </c>
      <c r="AD872" s="119">
        <v>1</v>
      </c>
      <c r="AE872" s="119" t="s">
        <v>205</v>
      </c>
      <c r="AF872" s="119" t="s">
        <v>43</v>
      </c>
      <c r="AG872" s="119" t="s">
        <v>38</v>
      </c>
      <c r="AH872" s="119" t="s">
        <v>92</v>
      </c>
    </row>
    <row r="873" spans="1:34" x14ac:dyDescent="0.3">
      <c r="A873" s="107" t="s">
        <v>38</v>
      </c>
      <c r="B873" s="108" t="s">
        <v>522</v>
      </c>
      <c r="C873" s="108" t="s">
        <v>523</v>
      </c>
      <c r="D873" s="109">
        <v>45720</v>
      </c>
      <c r="E873" s="110">
        <v>67500</v>
      </c>
      <c r="F873" s="108" t="s">
        <v>32</v>
      </c>
      <c r="G873" s="108" t="s">
        <v>33</v>
      </c>
      <c r="H873" s="110">
        <v>67500</v>
      </c>
      <c r="I873" s="110">
        <v>28000</v>
      </c>
      <c r="J873" s="111">
        <f t="shared" si="93"/>
        <v>41.481481481481481</v>
      </c>
      <c r="K873" s="110">
        <v>67412</v>
      </c>
      <c r="L873" s="110">
        <f>H873-59539</f>
        <v>7961</v>
      </c>
      <c r="M873" s="110">
        <v>7873</v>
      </c>
      <c r="N873" s="112">
        <f t="shared" si="94"/>
        <v>0.11663703703703704</v>
      </c>
      <c r="O873" s="113">
        <v>40.79</v>
      </c>
      <c r="P873" s="114">
        <v>130</v>
      </c>
      <c r="Q873" s="115">
        <v>0.11899999999999999</v>
      </c>
      <c r="R873" s="115">
        <v>0.11899999999999999</v>
      </c>
      <c r="S873" s="110">
        <f t="shared" si="95"/>
        <v>195.17038489825939</v>
      </c>
      <c r="T873" s="110">
        <f t="shared" si="96"/>
        <v>66899.159663865546</v>
      </c>
      <c r="U873" s="116">
        <f t="shared" si="97"/>
        <v>1.5357933807131667</v>
      </c>
      <c r="V873" s="115">
        <v>40</v>
      </c>
      <c r="W873" s="115">
        <f t="shared" si="98"/>
        <v>13500</v>
      </c>
      <c r="X873" s="115">
        <f t="shared" si="100"/>
        <v>337.5</v>
      </c>
      <c r="Y873" s="117" t="s">
        <v>503</v>
      </c>
      <c r="Z873" s="108" t="s">
        <v>35</v>
      </c>
      <c r="AA873" s="108" t="s">
        <v>35</v>
      </c>
      <c r="AB873" s="108" t="s">
        <v>38</v>
      </c>
      <c r="AC873" s="108">
        <v>0</v>
      </c>
      <c r="AD873" s="108">
        <v>1</v>
      </c>
      <c r="AE873" s="108" t="s">
        <v>42</v>
      </c>
      <c r="AF873" s="108" t="s">
        <v>35</v>
      </c>
      <c r="AG873" s="108" t="s">
        <v>38</v>
      </c>
      <c r="AH873" s="108" t="s">
        <v>92</v>
      </c>
    </row>
    <row r="874" spans="1:34" x14ac:dyDescent="0.3">
      <c r="A874" s="118" t="s">
        <v>38</v>
      </c>
      <c r="B874" s="119" t="s">
        <v>520</v>
      </c>
      <c r="C874" s="119" t="s">
        <v>521</v>
      </c>
      <c r="D874" s="120">
        <v>45183</v>
      </c>
      <c r="E874" s="121">
        <v>192000</v>
      </c>
      <c r="F874" s="119" t="s">
        <v>32</v>
      </c>
      <c r="G874" s="119" t="s">
        <v>33</v>
      </c>
      <c r="H874" s="121">
        <v>192000</v>
      </c>
      <c r="I874" s="121">
        <v>69700</v>
      </c>
      <c r="J874" s="122">
        <f t="shared" si="93"/>
        <v>36.302083333333336</v>
      </c>
      <c r="K874" s="121">
        <v>187058</v>
      </c>
      <c r="L874" s="121">
        <f>H874-167376</f>
        <v>24624</v>
      </c>
      <c r="M874" s="121">
        <v>19682</v>
      </c>
      <c r="N874" s="123">
        <f t="shared" si="94"/>
        <v>0.10251041666666667</v>
      </c>
      <c r="O874" s="124">
        <v>101.98</v>
      </c>
      <c r="P874" s="125">
        <v>130</v>
      </c>
      <c r="Q874" s="126">
        <v>0.29799999999999999</v>
      </c>
      <c r="R874" s="126">
        <v>0.29799999999999999</v>
      </c>
      <c r="S874" s="121">
        <f t="shared" si="95"/>
        <v>241.45910962933908</v>
      </c>
      <c r="T874" s="121">
        <f t="shared" si="96"/>
        <v>82630.872483221479</v>
      </c>
      <c r="U874" s="127">
        <f t="shared" si="97"/>
        <v>1.8969438127461313</v>
      </c>
      <c r="V874" s="126">
        <v>100</v>
      </c>
      <c r="W874" s="126">
        <f t="shared" si="98"/>
        <v>38400</v>
      </c>
      <c r="X874" s="126">
        <f t="shared" si="100"/>
        <v>384</v>
      </c>
      <c r="Y874" s="128" t="s">
        <v>503</v>
      </c>
      <c r="Z874" s="119" t="s">
        <v>35</v>
      </c>
      <c r="AA874" s="119" t="s">
        <v>35</v>
      </c>
      <c r="AB874" s="119" t="s">
        <v>38</v>
      </c>
      <c r="AC874" s="119">
        <v>0</v>
      </c>
      <c r="AD874" s="119">
        <v>1</v>
      </c>
      <c r="AE874" s="119" t="s">
        <v>42</v>
      </c>
      <c r="AF874" s="119" t="s">
        <v>43</v>
      </c>
      <c r="AG874" s="119" t="s">
        <v>38</v>
      </c>
      <c r="AH874" s="119" t="s">
        <v>92</v>
      </c>
    </row>
    <row r="875" spans="1:34" x14ac:dyDescent="0.3">
      <c r="A875" s="107" t="s">
        <v>38</v>
      </c>
      <c r="B875" s="108" t="s">
        <v>532</v>
      </c>
      <c r="C875" s="108" t="s">
        <v>533</v>
      </c>
      <c r="D875" s="109">
        <v>45252</v>
      </c>
      <c r="E875" s="110">
        <v>91000</v>
      </c>
      <c r="F875" s="108" t="s">
        <v>32</v>
      </c>
      <c r="G875" s="108" t="s">
        <v>33</v>
      </c>
      <c r="H875" s="110">
        <v>91000</v>
      </c>
      <c r="I875" s="110">
        <v>33800</v>
      </c>
      <c r="J875" s="111">
        <f t="shared" si="93"/>
        <v>37.142857142857146</v>
      </c>
      <c r="K875" s="110">
        <v>90918</v>
      </c>
      <c r="L875" s="110">
        <f>H875-82546</f>
        <v>8454</v>
      </c>
      <c r="M875" s="110">
        <v>8372</v>
      </c>
      <c r="N875" s="112">
        <f t="shared" si="94"/>
        <v>9.1999999999999998E-2</v>
      </c>
      <c r="O875" s="113">
        <v>43.37</v>
      </c>
      <c r="P875" s="114">
        <v>147</v>
      </c>
      <c r="Q875" s="115">
        <v>0.13500000000000001</v>
      </c>
      <c r="R875" s="115">
        <v>0.13500000000000001</v>
      </c>
      <c r="S875" s="110">
        <f t="shared" si="95"/>
        <v>194.92736914918149</v>
      </c>
      <c r="T875" s="110">
        <f t="shared" si="96"/>
        <v>62622.222222222219</v>
      </c>
      <c r="U875" s="116">
        <f t="shared" si="97"/>
        <v>1.437608407305377</v>
      </c>
      <c r="V875" s="115">
        <v>40</v>
      </c>
      <c r="W875" s="115">
        <f t="shared" si="98"/>
        <v>18200</v>
      </c>
      <c r="X875" s="115">
        <f t="shared" si="100"/>
        <v>455</v>
      </c>
      <c r="Y875" s="117" t="s">
        <v>503</v>
      </c>
      <c r="Z875" s="108" t="s">
        <v>35</v>
      </c>
      <c r="AA875" s="108" t="s">
        <v>35</v>
      </c>
      <c r="AB875" s="108" t="s">
        <v>38</v>
      </c>
      <c r="AC875" s="108">
        <v>0</v>
      </c>
      <c r="AD875" s="108">
        <v>1</v>
      </c>
      <c r="AE875" s="108" t="s">
        <v>42</v>
      </c>
      <c r="AF875" s="108" t="s">
        <v>43</v>
      </c>
      <c r="AG875" s="108" t="s">
        <v>38</v>
      </c>
      <c r="AH875" s="108" t="s">
        <v>92</v>
      </c>
    </row>
    <row r="876" spans="1:34" x14ac:dyDescent="0.3">
      <c r="A876" s="118" t="s">
        <v>38</v>
      </c>
      <c r="B876" s="119" t="s">
        <v>526</v>
      </c>
      <c r="C876" s="119" t="s">
        <v>527</v>
      </c>
      <c r="D876" s="120">
        <v>45142</v>
      </c>
      <c r="E876" s="121">
        <v>133900</v>
      </c>
      <c r="F876" s="119" t="s">
        <v>32</v>
      </c>
      <c r="G876" s="119" t="s">
        <v>33</v>
      </c>
      <c r="H876" s="121">
        <v>133900</v>
      </c>
      <c r="I876" s="121">
        <v>48100</v>
      </c>
      <c r="J876" s="122">
        <f t="shared" si="93"/>
        <v>35.922330097087382</v>
      </c>
      <c r="K876" s="121">
        <v>127332</v>
      </c>
      <c r="L876" s="121">
        <f>H876-118475</f>
        <v>15425</v>
      </c>
      <c r="M876" s="121">
        <v>8857</v>
      </c>
      <c r="N876" s="123">
        <f t="shared" si="94"/>
        <v>6.6146377893950711E-2</v>
      </c>
      <c r="O876" s="124">
        <v>45.89</v>
      </c>
      <c r="P876" s="125">
        <v>130</v>
      </c>
      <c r="Q876" s="126">
        <v>0.13400000000000001</v>
      </c>
      <c r="R876" s="126">
        <v>0.13400000000000001</v>
      </c>
      <c r="S876" s="121">
        <f t="shared" si="95"/>
        <v>336.12987578993244</v>
      </c>
      <c r="T876" s="121">
        <f t="shared" si="96"/>
        <v>115111.94029850746</v>
      </c>
      <c r="U876" s="127">
        <f t="shared" si="97"/>
        <v>2.6426065265956717</v>
      </c>
      <c r="V876" s="126">
        <v>45</v>
      </c>
      <c r="W876" s="126">
        <f t="shared" si="98"/>
        <v>26780</v>
      </c>
      <c r="X876" s="126">
        <f t="shared" si="100"/>
        <v>595.11111111111109</v>
      </c>
      <c r="Y876" s="128" t="s">
        <v>503</v>
      </c>
      <c r="Z876" s="119" t="s">
        <v>35</v>
      </c>
      <c r="AA876" s="119" t="s">
        <v>35</v>
      </c>
      <c r="AB876" s="119" t="s">
        <v>38</v>
      </c>
      <c r="AC876" s="119">
        <v>0</v>
      </c>
      <c r="AD876" s="119">
        <v>1</v>
      </c>
      <c r="AE876" s="119" t="s">
        <v>37</v>
      </c>
      <c r="AF876" s="119" t="s">
        <v>43</v>
      </c>
      <c r="AG876" s="119" t="s">
        <v>38</v>
      </c>
      <c r="AH876" s="119" t="s">
        <v>92</v>
      </c>
    </row>
    <row r="877" spans="1:34" x14ac:dyDescent="0.3">
      <c r="A877" s="107" t="s">
        <v>38</v>
      </c>
      <c r="B877" s="108" t="s">
        <v>530</v>
      </c>
      <c r="C877" s="108" t="s">
        <v>531</v>
      </c>
      <c r="D877" s="109">
        <v>45426</v>
      </c>
      <c r="E877" s="110">
        <v>143000</v>
      </c>
      <c r="F877" s="108" t="s">
        <v>32</v>
      </c>
      <c r="G877" s="108" t="s">
        <v>33</v>
      </c>
      <c r="H877" s="110">
        <v>143000</v>
      </c>
      <c r="I877" s="110">
        <v>51300</v>
      </c>
      <c r="J877" s="111">
        <f t="shared" si="93"/>
        <v>35.874125874125873</v>
      </c>
      <c r="K877" s="110">
        <v>124119</v>
      </c>
      <c r="L877" s="110">
        <f>H877-116246</f>
        <v>26754</v>
      </c>
      <c r="M877" s="110">
        <v>7873</v>
      </c>
      <c r="N877" s="112">
        <f t="shared" si="94"/>
        <v>5.5055944055944057E-2</v>
      </c>
      <c r="O877" s="113">
        <v>40.79</v>
      </c>
      <c r="P877" s="114">
        <v>130</v>
      </c>
      <c r="Q877" s="115">
        <v>0.11899999999999999</v>
      </c>
      <c r="R877" s="115">
        <v>0.11899999999999999</v>
      </c>
      <c r="S877" s="110">
        <f t="shared" si="95"/>
        <v>655.89605295415549</v>
      </c>
      <c r="T877" s="110">
        <f t="shared" si="96"/>
        <v>224823.52941176473</v>
      </c>
      <c r="U877" s="116">
        <f t="shared" si="97"/>
        <v>5.1612380489385838</v>
      </c>
      <c r="V877" s="115">
        <v>40</v>
      </c>
      <c r="W877" s="115">
        <f t="shared" si="98"/>
        <v>28600</v>
      </c>
      <c r="X877" s="115">
        <f t="shared" si="100"/>
        <v>715</v>
      </c>
      <c r="Y877" s="117" t="s">
        <v>503</v>
      </c>
      <c r="Z877" s="108" t="s">
        <v>35</v>
      </c>
      <c r="AA877" s="108" t="s">
        <v>35</v>
      </c>
      <c r="AB877" s="108" t="s">
        <v>38</v>
      </c>
      <c r="AC877" s="108">
        <v>0</v>
      </c>
      <c r="AD877" s="108">
        <v>1</v>
      </c>
      <c r="AE877" s="108" t="s">
        <v>37</v>
      </c>
      <c r="AF877" s="108" t="s">
        <v>43</v>
      </c>
      <c r="AG877" s="108" t="s">
        <v>38</v>
      </c>
      <c r="AH877" s="108" t="s">
        <v>92</v>
      </c>
    </row>
    <row r="878" spans="1:34" x14ac:dyDescent="0.3">
      <c r="A878" s="107" t="s">
        <v>38</v>
      </c>
      <c r="B878" s="108" t="s">
        <v>524</v>
      </c>
      <c r="C878" s="108" t="s">
        <v>525</v>
      </c>
      <c r="D878" s="109">
        <v>45714</v>
      </c>
      <c r="E878" s="110">
        <v>165000</v>
      </c>
      <c r="F878" s="108" t="s">
        <v>32</v>
      </c>
      <c r="G878" s="108" t="s">
        <v>33</v>
      </c>
      <c r="H878" s="110">
        <v>165000</v>
      </c>
      <c r="I878" s="110">
        <v>54000</v>
      </c>
      <c r="J878" s="111">
        <f t="shared" si="93"/>
        <v>32.727272727272727</v>
      </c>
      <c r="K878" s="110">
        <v>119155</v>
      </c>
      <c r="L878" s="110">
        <f>H878-110298</f>
        <v>54702</v>
      </c>
      <c r="M878" s="110">
        <v>8857</v>
      </c>
      <c r="N878" s="112">
        <f t="shared" si="94"/>
        <v>5.3678787878787881E-2</v>
      </c>
      <c r="O878" s="113">
        <v>45.89</v>
      </c>
      <c r="P878" s="114">
        <v>130</v>
      </c>
      <c r="Q878" s="115">
        <v>0.13400000000000001</v>
      </c>
      <c r="R878" s="115">
        <v>0.13400000000000001</v>
      </c>
      <c r="S878" s="110">
        <f t="shared" si="95"/>
        <v>1192.0244061887122</v>
      </c>
      <c r="T878" s="110">
        <f t="shared" si="96"/>
        <v>408223.88059701491</v>
      </c>
      <c r="U878" s="116">
        <f t="shared" si="97"/>
        <v>9.3715307758727029</v>
      </c>
      <c r="V878" s="115">
        <v>45</v>
      </c>
      <c r="W878" s="115">
        <f t="shared" si="98"/>
        <v>33000</v>
      </c>
      <c r="X878" s="115">
        <f t="shared" si="100"/>
        <v>733.33333333333337</v>
      </c>
      <c r="Y878" s="117" t="s">
        <v>503</v>
      </c>
      <c r="Z878" s="108" t="s">
        <v>35</v>
      </c>
      <c r="AA878" s="108" t="s">
        <v>35</v>
      </c>
      <c r="AB878" s="108" t="s">
        <v>38</v>
      </c>
      <c r="AC878" s="108">
        <v>0</v>
      </c>
      <c r="AD878" s="108">
        <v>1</v>
      </c>
      <c r="AE878" s="108" t="s">
        <v>42</v>
      </c>
      <c r="AF878" s="108" t="s">
        <v>35</v>
      </c>
      <c r="AG878" s="108" t="s">
        <v>38</v>
      </c>
      <c r="AH878" s="108" t="s">
        <v>92</v>
      </c>
    </row>
    <row r="879" spans="1:34" x14ac:dyDescent="0.3">
      <c r="A879" s="118" t="s">
        <v>38</v>
      </c>
      <c r="B879" s="119" t="s">
        <v>518</v>
      </c>
      <c r="C879" s="119" t="s">
        <v>519</v>
      </c>
      <c r="D879" s="120">
        <v>45581</v>
      </c>
      <c r="E879" s="121">
        <v>165000</v>
      </c>
      <c r="F879" s="119" t="s">
        <v>32</v>
      </c>
      <c r="G879" s="119" t="s">
        <v>33</v>
      </c>
      <c r="H879" s="121">
        <v>165000</v>
      </c>
      <c r="I879" s="121">
        <v>65300</v>
      </c>
      <c r="J879" s="122">
        <f t="shared" si="93"/>
        <v>39.575757575757578</v>
      </c>
      <c r="K879" s="121">
        <v>147841</v>
      </c>
      <c r="L879" s="121">
        <f>H879-139968</f>
        <v>25032</v>
      </c>
      <c r="M879" s="121">
        <v>7873</v>
      </c>
      <c r="N879" s="123">
        <f t="shared" si="94"/>
        <v>4.7715151515151516E-2</v>
      </c>
      <c r="O879" s="124">
        <v>40.79</v>
      </c>
      <c r="P879" s="125">
        <v>130</v>
      </c>
      <c r="Q879" s="126">
        <v>0.11899999999999999</v>
      </c>
      <c r="R879" s="126">
        <v>0.11899999999999999</v>
      </c>
      <c r="S879" s="121">
        <f t="shared" si="95"/>
        <v>613.67982348614862</v>
      </c>
      <c r="T879" s="121">
        <f t="shared" si="96"/>
        <v>210352.9411764706</v>
      </c>
      <c r="U879" s="127">
        <f t="shared" si="97"/>
        <v>4.8290390536379846</v>
      </c>
      <c r="V879" s="126">
        <v>40</v>
      </c>
      <c r="W879" s="126">
        <f t="shared" si="98"/>
        <v>33000</v>
      </c>
      <c r="X879" s="126">
        <f t="shared" si="100"/>
        <v>825</v>
      </c>
      <c r="Y879" s="128" t="s">
        <v>503</v>
      </c>
      <c r="Z879" s="119" t="s">
        <v>35</v>
      </c>
      <c r="AA879" s="119" t="s">
        <v>35</v>
      </c>
      <c r="AB879" s="119" t="s">
        <v>38</v>
      </c>
      <c r="AC879" s="119">
        <v>0</v>
      </c>
      <c r="AD879" s="119">
        <v>1</v>
      </c>
      <c r="AE879" s="119" t="s">
        <v>42</v>
      </c>
      <c r="AF879" s="119" t="s">
        <v>35</v>
      </c>
      <c r="AG879" s="119" t="s">
        <v>38</v>
      </c>
      <c r="AH879" s="119" t="s">
        <v>92</v>
      </c>
    </row>
    <row r="880" spans="1:34" x14ac:dyDescent="0.3">
      <c r="A880" s="107" t="s">
        <v>38</v>
      </c>
      <c r="B880" s="108" t="s">
        <v>514</v>
      </c>
      <c r="C880" s="108" t="s">
        <v>515</v>
      </c>
      <c r="D880" s="109">
        <v>45079</v>
      </c>
      <c r="E880" s="110">
        <v>146000</v>
      </c>
      <c r="F880" s="108" t="s">
        <v>32</v>
      </c>
      <c r="G880" s="108" t="s">
        <v>33</v>
      </c>
      <c r="H880" s="110">
        <v>146000</v>
      </c>
      <c r="I880" s="110">
        <v>44900</v>
      </c>
      <c r="J880" s="111">
        <f t="shared" si="93"/>
        <v>30.753424657534246</v>
      </c>
      <c r="K880" s="110">
        <v>121725</v>
      </c>
      <c r="L880" s="110">
        <f>H880-114568</f>
        <v>31432</v>
      </c>
      <c r="M880" s="110">
        <v>7157</v>
      </c>
      <c r="N880" s="112">
        <f t="shared" si="94"/>
        <v>4.9020547945205481E-2</v>
      </c>
      <c r="O880" s="113">
        <v>37.08</v>
      </c>
      <c r="P880" s="114">
        <v>140.32</v>
      </c>
      <c r="Q880" s="115">
        <v>0.113</v>
      </c>
      <c r="R880" s="115">
        <v>0.113</v>
      </c>
      <c r="S880" s="110">
        <f t="shared" si="95"/>
        <v>847.68069039913701</v>
      </c>
      <c r="T880" s="110">
        <f t="shared" si="96"/>
        <v>278159.29203539825</v>
      </c>
      <c r="U880" s="116">
        <f t="shared" si="97"/>
        <v>6.385658678498582</v>
      </c>
      <c r="V880" s="115">
        <v>35</v>
      </c>
      <c r="W880" s="115">
        <f t="shared" si="98"/>
        <v>29200</v>
      </c>
      <c r="X880" s="115">
        <f t="shared" si="100"/>
        <v>834.28571428571433</v>
      </c>
      <c r="Y880" s="117" t="s">
        <v>503</v>
      </c>
      <c r="Z880" s="108" t="s">
        <v>35</v>
      </c>
      <c r="AA880" s="108" t="s">
        <v>35</v>
      </c>
      <c r="AB880" s="108" t="s">
        <v>38</v>
      </c>
      <c r="AC880" s="108">
        <v>0</v>
      </c>
      <c r="AD880" s="108">
        <v>1</v>
      </c>
      <c r="AE880" s="108" t="s">
        <v>37</v>
      </c>
      <c r="AF880" s="108" t="s">
        <v>43</v>
      </c>
      <c r="AG880" s="108" t="s">
        <v>38</v>
      </c>
      <c r="AH880" s="108" t="s">
        <v>92</v>
      </c>
    </row>
    <row r="881" spans="1:34" x14ac:dyDescent="0.3">
      <c r="A881" s="118" t="s">
        <v>38</v>
      </c>
      <c r="B881" s="119" t="s">
        <v>512</v>
      </c>
      <c r="C881" s="119" t="s">
        <v>513</v>
      </c>
      <c r="D881" s="120">
        <v>45512</v>
      </c>
      <c r="E881" s="121">
        <v>150000</v>
      </c>
      <c r="F881" s="119" t="s">
        <v>32</v>
      </c>
      <c r="G881" s="119" t="s">
        <v>33</v>
      </c>
      <c r="H881" s="121">
        <v>150000</v>
      </c>
      <c r="I881" s="121">
        <v>54400</v>
      </c>
      <c r="J881" s="122">
        <f t="shared" si="93"/>
        <v>36.266666666666666</v>
      </c>
      <c r="K881" s="121">
        <v>126202</v>
      </c>
      <c r="L881" s="121">
        <f>H881-119167</f>
        <v>30833</v>
      </c>
      <c r="M881" s="121">
        <v>7035</v>
      </c>
      <c r="N881" s="123">
        <f t="shared" si="94"/>
        <v>4.6899999999999997E-2</v>
      </c>
      <c r="O881" s="124">
        <v>36.450000000000003</v>
      </c>
      <c r="P881" s="125">
        <v>135.59</v>
      </c>
      <c r="Q881" s="126">
        <v>0.109</v>
      </c>
      <c r="R881" s="126">
        <v>0.109</v>
      </c>
      <c r="S881" s="121">
        <f t="shared" si="95"/>
        <v>845.89849108367616</v>
      </c>
      <c r="T881" s="121">
        <f t="shared" si="96"/>
        <v>282871.55963302753</v>
      </c>
      <c r="U881" s="127">
        <f t="shared" si="97"/>
        <v>6.4938374571402093</v>
      </c>
      <c r="V881" s="126">
        <v>35</v>
      </c>
      <c r="W881" s="126">
        <f t="shared" si="98"/>
        <v>30000</v>
      </c>
      <c r="X881" s="126">
        <f t="shared" si="100"/>
        <v>857.14285714285711</v>
      </c>
      <c r="Y881" s="128" t="s">
        <v>503</v>
      </c>
      <c r="Z881" s="119" t="s">
        <v>35</v>
      </c>
      <c r="AA881" s="119" t="s">
        <v>35</v>
      </c>
      <c r="AB881" s="119" t="s">
        <v>38</v>
      </c>
      <c r="AC881" s="119">
        <v>0</v>
      </c>
      <c r="AD881" s="119">
        <v>1</v>
      </c>
      <c r="AE881" s="119" t="s">
        <v>37</v>
      </c>
      <c r="AF881" s="119" t="s">
        <v>43</v>
      </c>
      <c r="AG881" s="119" t="s">
        <v>38</v>
      </c>
      <c r="AH881" s="119" t="s">
        <v>92</v>
      </c>
    </row>
    <row r="882" spans="1:34" x14ac:dyDescent="0.3">
      <c r="A882" s="107" t="s">
        <v>38</v>
      </c>
      <c r="B882" s="108" t="s">
        <v>506</v>
      </c>
      <c r="C882" s="108" t="s">
        <v>507</v>
      </c>
      <c r="D882" s="109">
        <v>45490</v>
      </c>
      <c r="E882" s="110">
        <v>151000</v>
      </c>
      <c r="F882" s="108" t="s">
        <v>32</v>
      </c>
      <c r="G882" s="108" t="s">
        <v>33</v>
      </c>
      <c r="H882" s="110">
        <v>151000</v>
      </c>
      <c r="I882" s="110">
        <v>58600</v>
      </c>
      <c r="J882" s="111">
        <f t="shared" si="93"/>
        <v>38.807947019867548</v>
      </c>
      <c r="K882" s="110">
        <v>141671</v>
      </c>
      <c r="L882" s="110">
        <f>H882-134802</f>
        <v>16198</v>
      </c>
      <c r="M882" s="110">
        <v>6869</v>
      </c>
      <c r="N882" s="112">
        <f t="shared" si="94"/>
        <v>4.5490066225165562E-2</v>
      </c>
      <c r="O882" s="113">
        <v>35.590000000000003</v>
      </c>
      <c r="P882" s="114">
        <v>129.26</v>
      </c>
      <c r="Q882" s="115">
        <v>0.104</v>
      </c>
      <c r="R882" s="115">
        <v>0.104</v>
      </c>
      <c r="S882" s="110">
        <f t="shared" si="95"/>
        <v>455.12784490025285</v>
      </c>
      <c r="T882" s="110">
        <f t="shared" si="96"/>
        <v>155750</v>
      </c>
      <c r="U882" s="116">
        <f t="shared" si="97"/>
        <v>3.5755280073461893</v>
      </c>
      <c r="V882" s="115">
        <v>35</v>
      </c>
      <c r="W882" s="115">
        <f t="shared" si="98"/>
        <v>30200</v>
      </c>
      <c r="X882" s="115">
        <f t="shared" si="100"/>
        <v>862.85714285714289</v>
      </c>
      <c r="Y882" s="117" t="s">
        <v>503</v>
      </c>
      <c r="Z882" s="108" t="s">
        <v>35</v>
      </c>
      <c r="AA882" s="108" t="s">
        <v>35</v>
      </c>
      <c r="AB882" s="108" t="s">
        <v>38</v>
      </c>
      <c r="AC882" s="108">
        <v>0</v>
      </c>
      <c r="AD882" s="108">
        <v>1</v>
      </c>
      <c r="AE882" s="108" t="s">
        <v>42</v>
      </c>
      <c r="AF882" s="108" t="s">
        <v>43</v>
      </c>
      <c r="AG882" s="108" t="s">
        <v>38</v>
      </c>
      <c r="AH882" s="108" t="s">
        <v>92</v>
      </c>
    </row>
    <row r="883" spans="1:34" x14ac:dyDescent="0.3">
      <c r="A883" s="118" t="s">
        <v>38</v>
      </c>
      <c r="B883" s="119" t="s">
        <v>510</v>
      </c>
      <c r="C883" s="119" t="s">
        <v>511</v>
      </c>
      <c r="D883" s="120">
        <v>45366</v>
      </c>
      <c r="E883" s="121">
        <v>157000</v>
      </c>
      <c r="F883" s="119" t="s">
        <v>32</v>
      </c>
      <c r="G883" s="119" t="s">
        <v>33</v>
      </c>
      <c r="H883" s="121">
        <v>157000</v>
      </c>
      <c r="I883" s="121">
        <v>46300</v>
      </c>
      <c r="J883" s="122">
        <f t="shared" si="93"/>
        <v>29.490445859872612</v>
      </c>
      <c r="K883" s="121">
        <v>119678</v>
      </c>
      <c r="L883" s="121">
        <f>H883-112729</f>
        <v>44271</v>
      </c>
      <c r="M883" s="121">
        <v>6949</v>
      </c>
      <c r="N883" s="123">
        <f t="shared" si="94"/>
        <v>4.4261146496815285E-2</v>
      </c>
      <c r="O883" s="124">
        <v>36</v>
      </c>
      <c r="P883" s="125">
        <v>132.29</v>
      </c>
      <c r="Q883" s="126">
        <v>0.106</v>
      </c>
      <c r="R883" s="126">
        <v>0.106</v>
      </c>
      <c r="S883" s="121">
        <f t="shared" si="95"/>
        <v>1229.75</v>
      </c>
      <c r="T883" s="121">
        <f t="shared" si="96"/>
        <v>417650.94339622644</v>
      </c>
      <c r="U883" s="127">
        <f t="shared" si="97"/>
        <v>9.5879463589583658</v>
      </c>
      <c r="V883" s="126">
        <v>35</v>
      </c>
      <c r="W883" s="126">
        <f t="shared" si="98"/>
        <v>31400</v>
      </c>
      <c r="X883" s="126">
        <f t="shared" si="100"/>
        <v>897.14285714285711</v>
      </c>
      <c r="Y883" s="128" t="s">
        <v>503</v>
      </c>
      <c r="Z883" s="119" t="s">
        <v>35</v>
      </c>
      <c r="AA883" s="119" t="s">
        <v>35</v>
      </c>
      <c r="AB883" s="119" t="s">
        <v>38</v>
      </c>
      <c r="AC883" s="119">
        <v>0</v>
      </c>
      <c r="AD883" s="119">
        <v>1</v>
      </c>
      <c r="AE883" s="119" t="s">
        <v>37</v>
      </c>
      <c r="AF883" s="119" t="s">
        <v>43</v>
      </c>
      <c r="AG883" s="119" t="s">
        <v>38</v>
      </c>
      <c r="AH883" s="119" t="s">
        <v>92</v>
      </c>
    </row>
    <row r="884" spans="1:34" x14ac:dyDescent="0.3">
      <c r="A884" s="107" t="s">
        <v>2125</v>
      </c>
      <c r="B884" s="108" t="s">
        <v>2126</v>
      </c>
      <c r="C884" s="108" t="s">
        <v>2127</v>
      </c>
      <c r="D884" s="109">
        <v>45434</v>
      </c>
      <c r="E884" s="110">
        <v>80000</v>
      </c>
      <c r="F884" s="108" t="s">
        <v>81</v>
      </c>
      <c r="G884" s="108" t="s">
        <v>33</v>
      </c>
      <c r="H884" s="110">
        <v>80000</v>
      </c>
      <c r="I884" s="110">
        <v>80200</v>
      </c>
      <c r="J884" s="111">
        <f t="shared" si="93"/>
        <v>100.25</v>
      </c>
      <c r="K884" s="110">
        <v>180677</v>
      </c>
      <c r="L884" s="110">
        <f>H884-141124</f>
        <v>-61124</v>
      </c>
      <c r="M884" s="110">
        <v>39553</v>
      </c>
      <c r="N884" s="112">
        <f t="shared" si="94"/>
        <v>0.49441249999999998</v>
      </c>
      <c r="O884" s="113">
        <v>158.21</v>
      </c>
      <c r="P884" s="114">
        <v>264</v>
      </c>
      <c r="Q884" s="115">
        <v>0.97</v>
      </c>
      <c r="R884" s="115">
        <v>0.97</v>
      </c>
      <c r="S884" s="110">
        <f t="shared" si="95"/>
        <v>-386.34725997092471</v>
      </c>
      <c r="T884" s="110">
        <f t="shared" si="96"/>
        <v>-63014.432989690722</v>
      </c>
      <c r="U884" s="116">
        <f t="shared" si="97"/>
        <v>-1.4466123275870231</v>
      </c>
      <c r="V884" s="115">
        <v>160</v>
      </c>
      <c r="W884" s="115">
        <f t="shared" si="98"/>
        <v>16000</v>
      </c>
      <c r="X884" s="115">
        <f t="shared" si="100"/>
        <v>100</v>
      </c>
      <c r="Y884" s="117" t="s">
        <v>2124</v>
      </c>
      <c r="Z884" s="108" t="s">
        <v>35</v>
      </c>
      <c r="AA884" s="108" t="s">
        <v>35</v>
      </c>
      <c r="AB884" s="108" t="s">
        <v>2125</v>
      </c>
      <c r="AC884" s="108">
        <v>0</v>
      </c>
      <c r="AD884" s="108">
        <v>1</v>
      </c>
      <c r="AE884" s="108" t="s">
        <v>42</v>
      </c>
      <c r="AF884" s="108" t="s">
        <v>43</v>
      </c>
      <c r="AG884" s="108" t="s">
        <v>38</v>
      </c>
      <c r="AH884" s="108" t="s">
        <v>92</v>
      </c>
    </row>
    <row r="885" spans="1:34" x14ac:dyDescent="0.3">
      <c r="A885" s="118" t="s">
        <v>2125</v>
      </c>
      <c r="B885" s="119" t="s">
        <v>2126</v>
      </c>
      <c r="C885" s="119" t="s">
        <v>2127</v>
      </c>
      <c r="D885" s="120">
        <v>45684</v>
      </c>
      <c r="E885" s="121">
        <v>215000</v>
      </c>
      <c r="F885" s="119" t="s">
        <v>32</v>
      </c>
      <c r="G885" s="119" t="s">
        <v>33</v>
      </c>
      <c r="H885" s="121">
        <v>215000</v>
      </c>
      <c r="I885" s="121">
        <v>80200</v>
      </c>
      <c r="J885" s="122">
        <f t="shared" si="93"/>
        <v>37.302325581395351</v>
      </c>
      <c r="K885" s="121">
        <v>180677</v>
      </c>
      <c r="L885" s="121">
        <f>H885-141124</f>
        <v>73876</v>
      </c>
      <c r="M885" s="121">
        <v>39553</v>
      </c>
      <c r="N885" s="123">
        <f t="shared" si="94"/>
        <v>0.18396744186046513</v>
      </c>
      <c r="O885" s="124">
        <v>158.21</v>
      </c>
      <c r="P885" s="125">
        <v>264</v>
      </c>
      <c r="Q885" s="126">
        <v>0.97</v>
      </c>
      <c r="R885" s="126">
        <v>0.97</v>
      </c>
      <c r="S885" s="121">
        <f t="shared" si="95"/>
        <v>466.94899184628025</v>
      </c>
      <c r="T885" s="121">
        <f t="shared" si="96"/>
        <v>76160.824742268043</v>
      </c>
      <c r="U885" s="127">
        <f t="shared" si="97"/>
        <v>1.7484119545975216</v>
      </c>
      <c r="V885" s="126">
        <v>160</v>
      </c>
      <c r="W885" s="126">
        <f t="shared" si="98"/>
        <v>43000</v>
      </c>
      <c r="X885" s="126">
        <f t="shared" si="100"/>
        <v>268.75</v>
      </c>
      <c r="Y885" s="128" t="s">
        <v>2124</v>
      </c>
      <c r="Z885" s="119" t="s">
        <v>35</v>
      </c>
      <c r="AA885" s="119" t="s">
        <v>35</v>
      </c>
      <c r="AB885" s="119" t="s">
        <v>2125</v>
      </c>
      <c r="AC885" s="119">
        <v>0</v>
      </c>
      <c r="AD885" s="119">
        <v>1</v>
      </c>
      <c r="AE885" s="119" t="s">
        <v>42</v>
      </c>
      <c r="AF885" s="119" t="s">
        <v>35</v>
      </c>
      <c r="AG885" s="119" t="s">
        <v>38</v>
      </c>
      <c r="AH885" s="119" t="s">
        <v>92</v>
      </c>
    </row>
    <row r="886" spans="1:34" x14ac:dyDescent="0.3">
      <c r="A886" s="107" t="s">
        <v>2125</v>
      </c>
      <c r="B886" s="108" t="s">
        <v>2122</v>
      </c>
      <c r="C886" s="108" t="s">
        <v>2123</v>
      </c>
      <c r="D886" s="109">
        <v>45699</v>
      </c>
      <c r="E886" s="110">
        <v>230000</v>
      </c>
      <c r="F886" s="108" t="s">
        <v>32</v>
      </c>
      <c r="G886" s="108" t="s">
        <v>33</v>
      </c>
      <c r="H886" s="110">
        <v>230000</v>
      </c>
      <c r="I886" s="110">
        <v>69600</v>
      </c>
      <c r="J886" s="111">
        <f t="shared" si="93"/>
        <v>30.260869565217391</v>
      </c>
      <c r="K886" s="110">
        <v>159718</v>
      </c>
      <c r="L886" s="110">
        <f>H886-139941</f>
        <v>90059</v>
      </c>
      <c r="M886" s="110">
        <v>19777</v>
      </c>
      <c r="N886" s="112">
        <f t="shared" si="94"/>
        <v>8.5986956521739127E-2</v>
      </c>
      <c r="O886" s="113">
        <v>79.099999999999994</v>
      </c>
      <c r="P886" s="114">
        <v>264</v>
      </c>
      <c r="Q886" s="115">
        <v>0.48499999999999999</v>
      </c>
      <c r="R886" s="115">
        <v>0.48499999999999999</v>
      </c>
      <c r="S886" s="110">
        <f t="shared" si="95"/>
        <v>1138.5461441213654</v>
      </c>
      <c r="T886" s="110">
        <f t="shared" si="96"/>
        <v>185688.65979381444</v>
      </c>
      <c r="U886" s="116">
        <f t="shared" si="97"/>
        <v>4.2628250641371546</v>
      </c>
      <c r="V886" s="115">
        <v>80</v>
      </c>
      <c r="W886" s="115">
        <f t="shared" si="98"/>
        <v>46000</v>
      </c>
      <c r="X886" s="115">
        <f t="shared" si="100"/>
        <v>575</v>
      </c>
      <c r="Y886" s="117" t="s">
        <v>2124</v>
      </c>
      <c r="Z886" s="108" t="s">
        <v>35</v>
      </c>
      <c r="AA886" s="108" t="s">
        <v>35</v>
      </c>
      <c r="AB886" s="108" t="s">
        <v>2125</v>
      </c>
      <c r="AC886" s="108">
        <v>0</v>
      </c>
      <c r="AD886" s="108">
        <v>1</v>
      </c>
      <c r="AE886" s="108" t="s">
        <v>42</v>
      </c>
      <c r="AF886" s="108" t="s">
        <v>35</v>
      </c>
      <c r="AG886" s="108" t="s">
        <v>38</v>
      </c>
      <c r="AH886" s="108" t="s">
        <v>92</v>
      </c>
    </row>
    <row r="887" spans="1:34" x14ac:dyDescent="0.3">
      <c r="A887" s="107" t="s">
        <v>1350</v>
      </c>
      <c r="B887" s="108" t="s">
        <v>1380</v>
      </c>
      <c r="C887" s="108" t="s">
        <v>1381</v>
      </c>
      <c r="D887" s="109">
        <v>45365</v>
      </c>
      <c r="E887" s="110">
        <v>161000</v>
      </c>
      <c r="F887" s="108" t="s">
        <v>32</v>
      </c>
      <c r="G887" s="108" t="s">
        <v>33</v>
      </c>
      <c r="H887" s="110">
        <v>161000</v>
      </c>
      <c r="I887" s="110">
        <v>73700</v>
      </c>
      <c r="J887" s="111">
        <f t="shared" si="93"/>
        <v>45.776397515527947</v>
      </c>
      <c r="K887" s="110">
        <v>173016</v>
      </c>
      <c r="L887" s="110">
        <f>H887-159609</f>
        <v>1391</v>
      </c>
      <c r="M887" s="110">
        <v>13407</v>
      </c>
      <c r="N887" s="112">
        <f t="shared" si="94"/>
        <v>8.3273291925465842E-2</v>
      </c>
      <c r="O887" s="113">
        <v>61.5</v>
      </c>
      <c r="P887" s="114">
        <v>81.19</v>
      </c>
      <c r="Q887" s="115">
        <v>0.13300000000000001</v>
      </c>
      <c r="R887" s="115">
        <v>0.13300000000000001</v>
      </c>
      <c r="S887" s="110">
        <f t="shared" si="95"/>
        <v>22.617886178861788</v>
      </c>
      <c r="T887" s="110">
        <f t="shared" si="96"/>
        <v>10458.646616541353</v>
      </c>
      <c r="U887" s="116">
        <f t="shared" si="97"/>
        <v>0.24009748890131666</v>
      </c>
      <c r="V887" s="115">
        <v>81.3</v>
      </c>
      <c r="W887" s="115">
        <f t="shared" si="98"/>
        <v>32200</v>
      </c>
      <c r="X887" s="115">
        <f t="shared" si="100"/>
        <v>396.06396063960642</v>
      </c>
      <c r="Y887" s="117" t="s">
        <v>1349</v>
      </c>
      <c r="Z887" s="108" t="s">
        <v>35</v>
      </c>
      <c r="AA887" s="108" t="s">
        <v>35</v>
      </c>
      <c r="AB887" s="108" t="s">
        <v>1350</v>
      </c>
      <c r="AC887" s="108">
        <v>0</v>
      </c>
      <c r="AD887" s="108">
        <v>1</v>
      </c>
      <c r="AE887" s="108" t="s">
        <v>42</v>
      </c>
      <c r="AF887" s="108" t="s">
        <v>43</v>
      </c>
      <c r="AG887" s="108" t="s">
        <v>38</v>
      </c>
      <c r="AH887" s="108" t="s">
        <v>92</v>
      </c>
    </row>
    <row r="888" spans="1:34" x14ac:dyDescent="0.3">
      <c r="A888" s="118" t="s">
        <v>1350</v>
      </c>
      <c r="B888" s="119" t="s">
        <v>1363</v>
      </c>
      <c r="C888" s="119" t="s">
        <v>1364</v>
      </c>
      <c r="D888" s="120">
        <v>45225</v>
      </c>
      <c r="E888" s="121">
        <v>178000</v>
      </c>
      <c r="F888" s="119" t="s">
        <v>32</v>
      </c>
      <c r="G888" s="119" t="s">
        <v>33</v>
      </c>
      <c r="H888" s="121">
        <v>178000</v>
      </c>
      <c r="I888" s="121">
        <v>84400</v>
      </c>
      <c r="J888" s="122">
        <f t="shared" si="93"/>
        <v>47.415730337078656</v>
      </c>
      <c r="K888" s="121">
        <v>199418</v>
      </c>
      <c r="L888" s="121">
        <f>H888-180890</f>
        <v>-2890</v>
      </c>
      <c r="M888" s="121">
        <v>18528</v>
      </c>
      <c r="N888" s="123">
        <f t="shared" si="94"/>
        <v>0.10408988764044944</v>
      </c>
      <c r="O888" s="124">
        <v>84.99</v>
      </c>
      <c r="P888" s="125">
        <v>119.98</v>
      </c>
      <c r="Q888" s="126">
        <v>0.23400000000000001</v>
      </c>
      <c r="R888" s="126">
        <v>0.23400000000000001</v>
      </c>
      <c r="S888" s="121">
        <f t="shared" si="95"/>
        <v>-34.004000470643604</v>
      </c>
      <c r="T888" s="121">
        <f t="shared" si="96"/>
        <v>-12350.42735042735</v>
      </c>
      <c r="U888" s="127">
        <f t="shared" si="97"/>
        <v>-0.28352679867831382</v>
      </c>
      <c r="V888" s="126">
        <v>85</v>
      </c>
      <c r="W888" s="126">
        <f t="shared" si="98"/>
        <v>35600</v>
      </c>
      <c r="X888" s="126">
        <f t="shared" si="100"/>
        <v>418.8235294117647</v>
      </c>
      <c r="Y888" s="128" t="s">
        <v>1349</v>
      </c>
      <c r="Z888" s="119" t="s">
        <v>35</v>
      </c>
      <c r="AA888" s="119" t="s">
        <v>35</v>
      </c>
      <c r="AB888" s="119" t="s">
        <v>1350</v>
      </c>
      <c r="AC888" s="119">
        <v>0</v>
      </c>
      <c r="AD888" s="119">
        <v>1</v>
      </c>
      <c r="AE888" s="119" t="s">
        <v>37</v>
      </c>
      <c r="AF888" s="119" t="s">
        <v>43</v>
      </c>
      <c r="AG888" s="119" t="s">
        <v>38</v>
      </c>
      <c r="AH888" s="119" t="s">
        <v>92</v>
      </c>
    </row>
    <row r="889" spans="1:34" x14ac:dyDescent="0.3">
      <c r="A889" s="118" t="s">
        <v>1350</v>
      </c>
      <c r="B889" s="119" t="s">
        <v>1355</v>
      </c>
      <c r="C889" s="119" t="s">
        <v>1356</v>
      </c>
      <c r="D889" s="120">
        <v>45621</v>
      </c>
      <c r="E889" s="121">
        <v>135000</v>
      </c>
      <c r="F889" s="119" t="s">
        <v>32</v>
      </c>
      <c r="G889" s="119" t="s">
        <v>33</v>
      </c>
      <c r="H889" s="121">
        <v>135000</v>
      </c>
      <c r="I889" s="121">
        <v>91600</v>
      </c>
      <c r="J889" s="122">
        <f t="shared" si="93"/>
        <v>67.851851851851848</v>
      </c>
      <c r="K889" s="121">
        <v>190961</v>
      </c>
      <c r="L889" s="121">
        <f>H889-180725</f>
        <v>-45725</v>
      </c>
      <c r="M889" s="121">
        <v>10236</v>
      </c>
      <c r="N889" s="123">
        <f t="shared" si="94"/>
        <v>7.5822222222222221E-2</v>
      </c>
      <c r="O889" s="124">
        <v>46.95</v>
      </c>
      <c r="P889" s="125">
        <v>130.63999999999999</v>
      </c>
      <c r="Q889" s="126">
        <v>0.13500000000000001</v>
      </c>
      <c r="R889" s="126">
        <v>0.13500000000000001</v>
      </c>
      <c r="S889" s="121">
        <f t="shared" si="95"/>
        <v>-973.90841320553773</v>
      </c>
      <c r="T889" s="121">
        <f t="shared" si="96"/>
        <v>-338703.70370370371</v>
      </c>
      <c r="U889" s="127">
        <f t="shared" si="97"/>
        <v>-7.7755671190014626</v>
      </c>
      <c r="V889" s="126">
        <v>45</v>
      </c>
      <c r="W889" s="126">
        <f t="shared" si="98"/>
        <v>27000</v>
      </c>
      <c r="X889" s="126">
        <f t="shared" si="100"/>
        <v>600</v>
      </c>
      <c r="Y889" s="128" t="s">
        <v>1349</v>
      </c>
      <c r="Z889" s="119" t="s">
        <v>35</v>
      </c>
      <c r="AA889" s="119" t="s">
        <v>35</v>
      </c>
      <c r="AB889" s="119" t="s">
        <v>1350</v>
      </c>
      <c r="AC889" s="119">
        <v>0</v>
      </c>
      <c r="AD889" s="119">
        <v>1</v>
      </c>
      <c r="AE889" s="119" t="s">
        <v>37</v>
      </c>
      <c r="AF889" s="119" t="s">
        <v>35</v>
      </c>
      <c r="AG889" s="119" t="s">
        <v>38</v>
      </c>
      <c r="AH889" s="119" t="s">
        <v>92</v>
      </c>
    </row>
    <row r="890" spans="1:34" x14ac:dyDescent="0.3">
      <c r="A890" s="118" t="s">
        <v>1350</v>
      </c>
      <c r="B890" s="119" t="s">
        <v>1376</v>
      </c>
      <c r="C890" s="119" t="s">
        <v>1377</v>
      </c>
      <c r="D890" s="120">
        <v>45684</v>
      </c>
      <c r="E890" s="121">
        <v>165000</v>
      </c>
      <c r="F890" s="119" t="s">
        <v>32</v>
      </c>
      <c r="G890" s="119" t="s">
        <v>33</v>
      </c>
      <c r="H890" s="121">
        <v>165000</v>
      </c>
      <c r="I890" s="121">
        <v>96200</v>
      </c>
      <c r="J890" s="122">
        <f t="shared" si="93"/>
        <v>58.303030303030297</v>
      </c>
      <c r="K890" s="121">
        <v>201835</v>
      </c>
      <c r="L890" s="121">
        <f>H890-189844</f>
        <v>-24844</v>
      </c>
      <c r="M890" s="121">
        <v>11991</v>
      </c>
      <c r="N890" s="123">
        <f t="shared" si="94"/>
        <v>7.2672727272727278E-2</v>
      </c>
      <c r="O890" s="124">
        <v>55</v>
      </c>
      <c r="P890" s="125">
        <v>135.82</v>
      </c>
      <c r="Q890" s="126">
        <v>0.161</v>
      </c>
      <c r="R890" s="126">
        <v>0.161</v>
      </c>
      <c r="S890" s="121">
        <f t="shared" si="95"/>
        <v>-451.70909090909089</v>
      </c>
      <c r="T890" s="121">
        <f t="shared" si="96"/>
        <v>-154310.55900621117</v>
      </c>
      <c r="U890" s="127">
        <f t="shared" si="97"/>
        <v>-3.5424829891233052</v>
      </c>
      <c r="V890" s="126">
        <v>51.7</v>
      </c>
      <c r="W890" s="126">
        <f t="shared" si="98"/>
        <v>33000</v>
      </c>
      <c r="X890" s="126">
        <f t="shared" si="100"/>
        <v>638.29787234042544</v>
      </c>
      <c r="Y890" s="128" t="s">
        <v>1349</v>
      </c>
      <c r="Z890" s="119" t="s">
        <v>35</v>
      </c>
      <c r="AA890" s="119" t="s">
        <v>35</v>
      </c>
      <c r="AB890" s="119" t="s">
        <v>1350</v>
      </c>
      <c r="AC890" s="119">
        <v>0</v>
      </c>
      <c r="AD890" s="119">
        <v>1</v>
      </c>
      <c r="AE890" s="119" t="s">
        <v>42</v>
      </c>
      <c r="AF890" s="119" t="s">
        <v>35</v>
      </c>
      <c r="AG890" s="119" t="s">
        <v>38</v>
      </c>
      <c r="AH890" s="119" t="s">
        <v>92</v>
      </c>
    </row>
    <row r="891" spans="1:34" x14ac:dyDescent="0.3">
      <c r="A891" s="118" t="s">
        <v>1350</v>
      </c>
      <c r="B891" s="119" t="s">
        <v>1382</v>
      </c>
      <c r="C891" s="119" t="s">
        <v>1383</v>
      </c>
      <c r="D891" s="120">
        <v>45440</v>
      </c>
      <c r="E891" s="121">
        <v>180000</v>
      </c>
      <c r="F891" s="119" t="s">
        <v>32</v>
      </c>
      <c r="G891" s="119" t="s">
        <v>33</v>
      </c>
      <c r="H891" s="121">
        <v>180000</v>
      </c>
      <c r="I891" s="121">
        <v>84500</v>
      </c>
      <c r="J891" s="122">
        <f t="shared" si="93"/>
        <v>46.944444444444443</v>
      </c>
      <c r="K891" s="121">
        <v>174999</v>
      </c>
      <c r="L891" s="121">
        <f>H891-163881</f>
        <v>16119</v>
      </c>
      <c r="M891" s="121">
        <v>11118</v>
      </c>
      <c r="N891" s="123">
        <f t="shared" si="94"/>
        <v>6.1766666666666664E-2</v>
      </c>
      <c r="O891" s="124">
        <v>51</v>
      </c>
      <c r="P891" s="125">
        <v>112.1</v>
      </c>
      <c r="Q891" s="126">
        <v>0.13500000000000001</v>
      </c>
      <c r="R891" s="126">
        <v>0.13500000000000001</v>
      </c>
      <c r="S891" s="121">
        <f t="shared" si="95"/>
        <v>316.05882352941177</v>
      </c>
      <c r="T891" s="121">
        <f t="shared" si="96"/>
        <v>119399.99999999999</v>
      </c>
      <c r="U891" s="127">
        <f t="shared" si="97"/>
        <v>2.7410468319559227</v>
      </c>
      <c r="V891" s="126">
        <v>53.55</v>
      </c>
      <c r="W891" s="126">
        <f t="shared" si="98"/>
        <v>36000</v>
      </c>
      <c r="X891" s="126">
        <f t="shared" si="100"/>
        <v>672.26890756302521</v>
      </c>
      <c r="Y891" s="128" t="s">
        <v>1349</v>
      </c>
      <c r="Z891" s="119" t="s">
        <v>35</v>
      </c>
      <c r="AA891" s="119" t="s">
        <v>35</v>
      </c>
      <c r="AB891" s="119" t="s">
        <v>1350</v>
      </c>
      <c r="AC891" s="119">
        <v>0</v>
      </c>
      <c r="AD891" s="119">
        <v>1</v>
      </c>
      <c r="AE891" s="119" t="s">
        <v>42</v>
      </c>
      <c r="AF891" s="119" t="s">
        <v>43</v>
      </c>
      <c r="AG891" s="119" t="s">
        <v>38</v>
      </c>
      <c r="AH891" s="119" t="s">
        <v>92</v>
      </c>
    </row>
    <row r="892" spans="1:34" x14ac:dyDescent="0.3">
      <c r="A892" s="107" t="s">
        <v>1350</v>
      </c>
      <c r="B892" s="108" t="s">
        <v>1378</v>
      </c>
      <c r="C892" s="108" t="s">
        <v>1379</v>
      </c>
      <c r="D892" s="109">
        <v>45496</v>
      </c>
      <c r="E892" s="110">
        <v>174000</v>
      </c>
      <c r="F892" s="108" t="s">
        <v>32</v>
      </c>
      <c r="G892" s="108" t="s">
        <v>33</v>
      </c>
      <c r="H892" s="110">
        <v>174000</v>
      </c>
      <c r="I892" s="110">
        <v>70200</v>
      </c>
      <c r="J892" s="111">
        <f t="shared" si="93"/>
        <v>40.344827586206897</v>
      </c>
      <c r="K892" s="110">
        <v>146085</v>
      </c>
      <c r="L892" s="110">
        <f>H892-135649</f>
        <v>38351</v>
      </c>
      <c r="M892" s="110">
        <v>10436</v>
      </c>
      <c r="N892" s="112">
        <f t="shared" si="94"/>
        <v>5.9977011494252871E-2</v>
      </c>
      <c r="O892" s="113">
        <v>47.87</v>
      </c>
      <c r="P892" s="114">
        <v>110</v>
      </c>
      <c r="Q892" s="115">
        <v>0.126</v>
      </c>
      <c r="R892" s="115">
        <v>0.126</v>
      </c>
      <c r="S892" s="110">
        <f t="shared" si="95"/>
        <v>801.14894505953623</v>
      </c>
      <c r="T892" s="110">
        <f t="shared" si="96"/>
        <v>304373.01587301586</v>
      </c>
      <c r="U892" s="116">
        <f t="shared" si="97"/>
        <v>6.9874429722914568</v>
      </c>
      <c r="V892" s="115">
        <v>50</v>
      </c>
      <c r="W892" s="115">
        <f t="shared" si="98"/>
        <v>34800</v>
      </c>
      <c r="X892" s="115">
        <f t="shared" si="100"/>
        <v>696</v>
      </c>
      <c r="Y892" s="117" t="s">
        <v>1349</v>
      </c>
      <c r="Z892" s="108" t="s">
        <v>35</v>
      </c>
      <c r="AA892" s="108" t="s">
        <v>35</v>
      </c>
      <c r="AB892" s="108" t="s">
        <v>1350</v>
      </c>
      <c r="AC892" s="108">
        <v>0</v>
      </c>
      <c r="AD892" s="108">
        <v>1</v>
      </c>
      <c r="AE892" s="108" t="s">
        <v>1070</v>
      </c>
      <c r="AF892" s="108" t="s">
        <v>43</v>
      </c>
      <c r="AG892" s="108" t="s">
        <v>38</v>
      </c>
      <c r="AH892" s="108" t="s">
        <v>92</v>
      </c>
    </row>
    <row r="893" spans="1:34" x14ac:dyDescent="0.3">
      <c r="A893" s="118" t="s">
        <v>1350</v>
      </c>
      <c r="B893" s="119" t="s">
        <v>1384</v>
      </c>
      <c r="C893" s="119" t="s">
        <v>1385</v>
      </c>
      <c r="D893" s="120">
        <v>45174</v>
      </c>
      <c r="E893" s="121">
        <v>202000</v>
      </c>
      <c r="F893" s="119" t="s">
        <v>32</v>
      </c>
      <c r="G893" s="119" t="s">
        <v>33</v>
      </c>
      <c r="H893" s="121">
        <v>202000</v>
      </c>
      <c r="I893" s="121">
        <v>68500</v>
      </c>
      <c r="J893" s="122">
        <f t="shared" si="93"/>
        <v>33.910891089108915</v>
      </c>
      <c r="K893" s="121">
        <v>161828</v>
      </c>
      <c r="L893" s="121">
        <f>H893-150308</f>
        <v>51692</v>
      </c>
      <c r="M893" s="121">
        <v>11520</v>
      </c>
      <c r="N893" s="123">
        <f t="shared" si="94"/>
        <v>5.7029702970297032E-2</v>
      </c>
      <c r="O893" s="124">
        <v>52.84</v>
      </c>
      <c r="P893" s="125">
        <v>115.1</v>
      </c>
      <c r="Q893" s="126">
        <v>0.14199999999999999</v>
      </c>
      <c r="R893" s="126">
        <v>0.14199999999999999</v>
      </c>
      <c r="S893" s="121">
        <f t="shared" si="95"/>
        <v>978.27403482210445</v>
      </c>
      <c r="T893" s="121">
        <f t="shared" si="96"/>
        <v>364028.16901408456</v>
      </c>
      <c r="U893" s="127">
        <f t="shared" si="97"/>
        <v>8.3569368460533653</v>
      </c>
      <c r="V893" s="126">
        <v>54.57</v>
      </c>
      <c r="W893" s="126">
        <f t="shared" si="98"/>
        <v>40400</v>
      </c>
      <c r="X893" s="126">
        <f t="shared" si="100"/>
        <v>740.33351658420372</v>
      </c>
      <c r="Y893" s="128" t="s">
        <v>1349</v>
      </c>
      <c r="Z893" s="119" t="s">
        <v>35</v>
      </c>
      <c r="AA893" s="119" t="s">
        <v>35</v>
      </c>
      <c r="AB893" s="119" t="s">
        <v>1350</v>
      </c>
      <c r="AC893" s="119">
        <v>0</v>
      </c>
      <c r="AD893" s="119">
        <v>1</v>
      </c>
      <c r="AE893" s="119" t="s">
        <v>42</v>
      </c>
      <c r="AF893" s="119" t="s">
        <v>43</v>
      </c>
      <c r="AG893" s="119" t="s">
        <v>38</v>
      </c>
      <c r="AH893" s="119" t="s">
        <v>92</v>
      </c>
    </row>
    <row r="894" spans="1:34" x14ac:dyDescent="0.3">
      <c r="A894" s="118" t="s">
        <v>1350</v>
      </c>
      <c r="B894" s="119" t="s">
        <v>1357</v>
      </c>
      <c r="C894" s="119" t="s">
        <v>1358</v>
      </c>
      <c r="D894" s="120">
        <v>45065</v>
      </c>
      <c r="E894" s="121">
        <v>175000</v>
      </c>
      <c r="F894" s="119" t="s">
        <v>32</v>
      </c>
      <c r="G894" s="119" t="s">
        <v>33</v>
      </c>
      <c r="H894" s="121">
        <v>175000</v>
      </c>
      <c r="I894" s="121">
        <v>78700</v>
      </c>
      <c r="J894" s="122">
        <f t="shared" si="93"/>
        <v>44.971428571428575</v>
      </c>
      <c r="K894" s="121">
        <v>186688</v>
      </c>
      <c r="L894" s="121">
        <f>H894-176252</f>
        <v>-1252</v>
      </c>
      <c r="M894" s="121">
        <v>10436</v>
      </c>
      <c r="N894" s="123">
        <f t="shared" si="94"/>
        <v>5.9634285714285716E-2</v>
      </c>
      <c r="O894" s="124">
        <v>47.87</v>
      </c>
      <c r="P894" s="125">
        <v>135.81</v>
      </c>
      <c r="Q894" s="126">
        <v>0.14000000000000001</v>
      </c>
      <c r="R894" s="126">
        <v>0.14000000000000001</v>
      </c>
      <c r="S894" s="121">
        <f t="shared" si="95"/>
        <v>-26.154167537079591</v>
      </c>
      <c r="T894" s="121">
        <f t="shared" si="96"/>
        <v>-8942.8571428571413</v>
      </c>
      <c r="U894" s="127">
        <f t="shared" si="97"/>
        <v>-0.20529975075429618</v>
      </c>
      <c r="V894" s="126">
        <v>45</v>
      </c>
      <c r="W894" s="126">
        <f t="shared" si="98"/>
        <v>35000</v>
      </c>
      <c r="X894" s="126">
        <f t="shared" si="100"/>
        <v>777.77777777777783</v>
      </c>
      <c r="Y894" s="128" t="s">
        <v>1349</v>
      </c>
      <c r="Z894" s="119" t="s">
        <v>35</v>
      </c>
      <c r="AA894" s="119" t="s">
        <v>35</v>
      </c>
      <c r="AB894" s="119" t="s">
        <v>1350</v>
      </c>
      <c r="AC894" s="119">
        <v>0</v>
      </c>
      <c r="AD894" s="119">
        <v>1</v>
      </c>
      <c r="AE894" s="119" t="s">
        <v>37</v>
      </c>
      <c r="AF894" s="119" t="s">
        <v>43</v>
      </c>
      <c r="AG894" s="119" t="s">
        <v>38</v>
      </c>
      <c r="AH894" s="119" t="s">
        <v>92</v>
      </c>
    </row>
    <row r="895" spans="1:34" x14ac:dyDescent="0.3">
      <c r="A895" s="118" t="s">
        <v>1350</v>
      </c>
      <c r="B895" s="119" t="s">
        <v>1374</v>
      </c>
      <c r="C895" s="119" t="s">
        <v>1375</v>
      </c>
      <c r="D895" s="120">
        <v>45356</v>
      </c>
      <c r="E895" s="121">
        <v>207500</v>
      </c>
      <c r="F895" s="119" t="s">
        <v>32</v>
      </c>
      <c r="G895" s="119" t="s">
        <v>33</v>
      </c>
      <c r="H895" s="121">
        <v>207500</v>
      </c>
      <c r="I895" s="121">
        <v>72800</v>
      </c>
      <c r="J895" s="122">
        <f t="shared" si="93"/>
        <v>35.084337349397593</v>
      </c>
      <c r="K895" s="121">
        <v>172954</v>
      </c>
      <c r="L895" s="121">
        <f>H895-160963</f>
        <v>46537</v>
      </c>
      <c r="M895" s="121">
        <v>11991</v>
      </c>
      <c r="N895" s="123">
        <f t="shared" si="94"/>
        <v>5.7787951807228913E-2</v>
      </c>
      <c r="O895" s="124">
        <v>55</v>
      </c>
      <c r="P895" s="125">
        <v>135.82</v>
      </c>
      <c r="Q895" s="126">
        <v>0.161</v>
      </c>
      <c r="R895" s="126">
        <v>0.161</v>
      </c>
      <c r="S895" s="121">
        <f t="shared" si="95"/>
        <v>846.12727272727273</v>
      </c>
      <c r="T895" s="121">
        <f t="shared" si="96"/>
        <v>289049.68944099377</v>
      </c>
      <c r="U895" s="127">
        <f t="shared" si="97"/>
        <v>6.635667801675706</v>
      </c>
      <c r="V895" s="126">
        <v>51.7</v>
      </c>
      <c r="W895" s="126">
        <f t="shared" si="98"/>
        <v>41500</v>
      </c>
      <c r="X895" s="126">
        <f t="shared" si="100"/>
        <v>802.70793036750479</v>
      </c>
      <c r="Y895" s="128" t="s">
        <v>1349</v>
      </c>
      <c r="Z895" s="119" t="s">
        <v>35</v>
      </c>
      <c r="AA895" s="119" t="s">
        <v>35</v>
      </c>
      <c r="AB895" s="119" t="s">
        <v>1350</v>
      </c>
      <c r="AC895" s="119">
        <v>0</v>
      </c>
      <c r="AD895" s="119">
        <v>1</v>
      </c>
      <c r="AE895" s="119" t="s">
        <v>42</v>
      </c>
      <c r="AF895" s="119" t="s">
        <v>43</v>
      </c>
      <c r="AG895" s="119" t="s">
        <v>38</v>
      </c>
      <c r="AH895" s="119" t="s">
        <v>92</v>
      </c>
    </row>
    <row r="896" spans="1:34" x14ac:dyDescent="0.3">
      <c r="A896" s="118" t="s">
        <v>1350</v>
      </c>
      <c r="B896" s="119" t="s">
        <v>1347</v>
      </c>
      <c r="C896" s="119" t="s">
        <v>1348</v>
      </c>
      <c r="D896" s="120">
        <v>45051</v>
      </c>
      <c r="E896" s="121">
        <v>181000</v>
      </c>
      <c r="F896" s="119" t="s">
        <v>32</v>
      </c>
      <c r="G896" s="119" t="s">
        <v>33</v>
      </c>
      <c r="H896" s="121">
        <v>181000</v>
      </c>
      <c r="I896" s="121">
        <v>79400</v>
      </c>
      <c r="J896" s="122">
        <f t="shared" si="93"/>
        <v>43.867403314917127</v>
      </c>
      <c r="K896" s="121">
        <v>187994</v>
      </c>
      <c r="L896" s="121">
        <f>H896-178773</f>
        <v>2227</v>
      </c>
      <c r="M896" s="121">
        <v>9221</v>
      </c>
      <c r="N896" s="123">
        <f t="shared" si="94"/>
        <v>5.0944751381215472E-2</v>
      </c>
      <c r="O896" s="124">
        <v>42.29</v>
      </c>
      <c r="P896" s="125">
        <v>106.03</v>
      </c>
      <c r="Q896" s="126">
        <v>0.11</v>
      </c>
      <c r="R896" s="126">
        <v>0.11</v>
      </c>
      <c r="S896" s="121">
        <f t="shared" si="95"/>
        <v>52.660203357767791</v>
      </c>
      <c r="T896" s="121">
        <f t="shared" si="96"/>
        <v>20245.454545454544</v>
      </c>
      <c r="U896" s="127">
        <f t="shared" si="97"/>
        <v>0.46477168377994821</v>
      </c>
      <c r="V896" s="126">
        <v>45</v>
      </c>
      <c r="W896" s="126">
        <f t="shared" si="98"/>
        <v>36200</v>
      </c>
      <c r="X896" s="126">
        <f t="shared" si="100"/>
        <v>804.44444444444446</v>
      </c>
      <c r="Y896" s="128" t="s">
        <v>1349</v>
      </c>
      <c r="Z896" s="119" t="s">
        <v>35</v>
      </c>
      <c r="AA896" s="119" t="s">
        <v>35</v>
      </c>
      <c r="AB896" s="119" t="s">
        <v>1350</v>
      </c>
      <c r="AC896" s="119">
        <v>0</v>
      </c>
      <c r="AD896" s="119">
        <v>1</v>
      </c>
      <c r="AE896" s="119" t="s">
        <v>42</v>
      </c>
      <c r="AF896" s="119" t="s">
        <v>43</v>
      </c>
      <c r="AG896" s="119" t="s">
        <v>38</v>
      </c>
      <c r="AH896" s="119" t="s">
        <v>92</v>
      </c>
    </row>
    <row r="897" spans="1:34" x14ac:dyDescent="0.3">
      <c r="A897" s="107" t="s">
        <v>1350</v>
      </c>
      <c r="B897" s="108" t="s">
        <v>1353</v>
      </c>
      <c r="C897" s="108" t="s">
        <v>1354</v>
      </c>
      <c r="D897" s="109">
        <v>45442</v>
      </c>
      <c r="E897" s="110">
        <v>185000</v>
      </c>
      <c r="F897" s="108" t="s">
        <v>32</v>
      </c>
      <c r="G897" s="108" t="s">
        <v>33</v>
      </c>
      <c r="H897" s="110">
        <v>185000</v>
      </c>
      <c r="I897" s="110">
        <v>87900</v>
      </c>
      <c r="J897" s="111">
        <f t="shared" si="93"/>
        <v>47.513513513513509</v>
      </c>
      <c r="K897" s="110">
        <v>183702</v>
      </c>
      <c r="L897" s="110">
        <f>H897-173466</f>
        <v>11534</v>
      </c>
      <c r="M897" s="110">
        <v>10236</v>
      </c>
      <c r="N897" s="112">
        <f t="shared" si="94"/>
        <v>5.5329729729729729E-2</v>
      </c>
      <c r="O897" s="113">
        <v>46.95</v>
      </c>
      <c r="P897" s="114">
        <v>130.63999999999999</v>
      </c>
      <c r="Q897" s="115">
        <v>0.13500000000000001</v>
      </c>
      <c r="R897" s="115">
        <v>0.13500000000000001</v>
      </c>
      <c r="S897" s="110">
        <f t="shared" si="95"/>
        <v>245.66560170394035</v>
      </c>
      <c r="T897" s="110">
        <f t="shared" si="96"/>
        <v>85437.037037037036</v>
      </c>
      <c r="U897" s="116">
        <f t="shared" si="97"/>
        <v>1.9613644866170119</v>
      </c>
      <c r="V897" s="115">
        <v>45</v>
      </c>
      <c r="W897" s="115">
        <f t="shared" si="98"/>
        <v>37000</v>
      </c>
      <c r="X897" s="115">
        <f t="shared" si="100"/>
        <v>822.22222222222217</v>
      </c>
      <c r="Y897" s="117" t="s">
        <v>1349</v>
      </c>
      <c r="Z897" s="108" t="s">
        <v>35</v>
      </c>
      <c r="AA897" s="108" t="s">
        <v>35</v>
      </c>
      <c r="AB897" s="108" t="s">
        <v>1350</v>
      </c>
      <c r="AC897" s="108">
        <v>0</v>
      </c>
      <c r="AD897" s="108">
        <v>1</v>
      </c>
      <c r="AE897" s="108" t="s">
        <v>37</v>
      </c>
      <c r="AF897" s="108" t="s">
        <v>43</v>
      </c>
      <c r="AG897" s="108" t="s">
        <v>38</v>
      </c>
      <c r="AH897" s="108" t="s">
        <v>92</v>
      </c>
    </row>
    <row r="898" spans="1:34" x14ac:dyDescent="0.3">
      <c r="A898" s="107" t="s">
        <v>1350</v>
      </c>
      <c r="B898" s="108" t="s">
        <v>1372</v>
      </c>
      <c r="C898" s="108" t="s">
        <v>1373</v>
      </c>
      <c r="D898" s="109">
        <v>45365</v>
      </c>
      <c r="E898" s="110">
        <v>220000</v>
      </c>
      <c r="F898" s="108" t="s">
        <v>32</v>
      </c>
      <c r="G898" s="108" t="s">
        <v>33</v>
      </c>
      <c r="H898" s="110">
        <v>220000</v>
      </c>
      <c r="I898" s="110">
        <v>74800</v>
      </c>
      <c r="J898" s="111">
        <f t="shared" ref="J898:J961" si="101">I898/H898*100</f>
        <v>34</v>
      </c>
      <c r="K898" s="110">
        <v>177078</v>
      </c>
      <c r="L898" s="110">
        <f>H898-165074</f>
        <v>54926</v>
      </c>
      <c r="M898" s="110">
        <v>12004</v>
      </c>
      <c r="N898" s="112">
        <f t="shared" ref="N898:N961" si="102">M898/E898</f>
        <v>5.4563636363636363E-2</v>
      </c>
      <c r="O898" s="113">
        <v>55.06</v>
      </c>
      <c r="P898" s="114">
        <v>135.82</v>
      </c>
      <c r="Q898" s="115">
        <v>0.161</v>
      </c>
      <c r="R898" s="115">
        <v>0.161</v>
      </c>
      <c r="S898" s="110">
        <f t="shared" ref="S898:S961" si="103">L898/O898</f>
        <v>997.56629131856153</v>
      </c>
      <c r="T898" s="110">
        <f t="shared" ref="T898:T961" si="104">L898/Q898</f>
        <v>341155.27950310556</v>
      </c>
      <c r="U898" s="116">
        <f t="shared" ref="U898:U961" si="105">L898/Q898/43560</f>
        <v>7.8318475551677125</v>
      </c>
      <c r="V898" s="115">
        <v>51.76</v>
      </c>
      <c r="W898" s="115">
        <f t="shared" ref="W898:W961" si="106">0.2*E898</f>
        <v>44000</v>
      </c>
      <c r="X898" s="115">
        <f t="shared" si="100"/>
        <v>850.07727975270484</v>
      </c>
      <c r="Y898" s="117" t="s">
        <v>1349</v>
      </c>
      <c r="Z898" s="108" t="s">
        <v>35</v>
      </c>
      <c r="AA898" s="108" t="s">
        <v>35</v>
      </c>
      <c r="AB898" s="108" t="s">
        <v>1350</v>
      </c>
      <c r="AC898" s="108">
        <v>0</v>
      </c>
      <c r="AD898" s="108">
        <v>1</v>
      </c>
      <c r="AE898" s="108" t="s">
        <v>37</v>
      </c>
      <c r="AF898" s="108" t="s">
        <v>43</v>
      </c>
      <c r="AG898" s="108" t="s">
        <v>38</v>
      </c>
      <c r="AH898" s="108" t="s">
        <v>92</v>
      </c>
    </row>
    <row r="899" spans="1:34" x14ac:dyDescent="0.3">
      <c r="A899" s="107" t="s">
        <v>1350</v>
      </c>
      <c r="B899" s="108" t="s">
        <v>1359</v>
      </c>
      <c r="C899" s="108" t="s">
        <v>1360</v>
      </c>
      <c r="D899" s="109">
        <v>45499</v>
      </c>
      <c r="E899" s="110">
        <v>192000</v>
      </c>
      <c r="F899" s="108" t="s">
        <v>32</v>
      </c>
      <c r="G899" s="108" t="s">
        <v>33</v>
      </c>
      <c r="H899" s="110">
        <v>192000</v>
      </c>
      <c r="I899" s="110">
        <v>88500</v>
      </c>
      <c r="J899" s="111">
        <f t="shared" si="101"/>
        <v>46.09375</v>
      </c>
      <c r="K899" s="110">
        <v>184002</v>
      </c>
      <c r="L899" s="110">
        <f>H899-173692</f>
        <v>18308</v>
      </c>
      <c r="M899" s="110">
        <v>10310</v>
      </c>
      <c r="N899" s="112">
        <f t="shared" si="102"/>
        <v>5.3697916666666665E-2</v>
      </c>
      <c r="O899" s="113">
        <v>47.29</v>
      </c>
      <c r="P899" s="114">
        <v>129.5</v>
      </c>
      <c r="Q899" s="115">
        <v>0.13600000000000001</v>
      </c>
      <c r="R899" s="115">
        <v>0.13600000000000001</v>
      </c>
      <c r="S899" s="110">
        <f t="shared" si="103"/>
        <v>387.14315923028124</v>
      </c>
      <c r="T899" s="110">
        <f t="shared" si="104"/>
        <v>134617.64705882352</v>
      </c>
      <c r="U899" s="116">
        <f t="shared" si="105"/>
        <v>3.0903959379895207</v>
      </c>
      <c r="V899" s="115">
        <v>45</v>
      </c>
      <c r="W899" s="115">
        <f t="shared" si="106"/>
        <v>38400</v>
      </c>
      <c r="X899" s="115">
        <f t="shared" si="100"/>
        <v>853.33333333333337</v>
      </c>
      <c r="Y899" s="117" t="s">
        <v>1349</v>
      </c>
      <c r="Z899" s="108" t="s">
        <v>35</v>
      </c>
      <c r="AA899" s="108" t="s">
        <v>35</v>
      </c>
      <c r="AB899" s="108" t="s">
        <v>1350</v>
      </c>
      <c r="AC899" s="108">
        <v>0</v>
      </c>
      <c r="AD899" s="108">
        <v>1</v>
      </c>
      <c r="AE899" s="108" t="s">
        <v>37</v>
      </c>
      <c r="AF899" s="108" t="s">
        <v>43</v>
      </c>
      <c r="AG899" s="108" t="s">
        <v>38</v>
      </c>
      <c r="AH899" s="108" t="s">
        <v>92</v>
      </c>
    </row>
    <row r="900" spans="1:34" x14ac:dyDescent="0.3">
      <c r="A900" s="107" t="s">
        <v>1350</v>
      </c>
      <c r="B900" s="108" t="s">
        <v>1351</v>
      </c>
      <c r="C900" s="108" t="s">
        <v>1352</v>
      </c>
      <c r="D900" s="109">
        <v>45386</v>
      </c>
      <c r="E900" s="110">
        <v>195000</v>
      </c>
      <c r="F900" s="108" t="s">
        <v>32</v>
      </c>
      <c r="G900" s="108" t="s">
        <v>33</v>
      </c>
      <c r="H900" s="110">
        <v>195000</v>
      </c>
      <c r="I900" s="110">
        <v>87700</v>
      </c>
      <c r="J900" s="111">
        <f t="shared" si="101"/>
        <v>44.974358974358978</v>
      </c>
      <c r="K900" s="110">
        <v>183140</v>
      </c>
      <c r="L900" s="110">
        <f>H900-173087</f>
        <v>21913</v>
      </c>
      <c r="M900" s="110">
        <v>10053</v>
      </c>
      <c r="N900" s="112">
        <f t="shared" si="102"/>
        <v>5.1553846153846151E-2</v>
      </c>
      <c r="O900" s="113">
        <v>46.11</v>
      </c>
      <c r="P900" s="114">
        <v>126.03</v>
      </c>
      <c r="Q900" s="115">
        <v>0.13</v>
      </c>
      <c r="R900" s="115">
        <v>0.13</v>
      </c>
      <c r="S900" s="110">
        <f t="shared" si="103"/>
        <v>475.2331381479072</v>
      </c>
      <c r="T900" s="110">
        <f t="shared" si="104"/>
        <v>168561.53846153847</v>
      </c>
      <c r="U900" s="116">
        <f t="shared" si="105"/>
        <v>3.8696404605495518</v>
      </c>
      <c r="V900" s="115">
        <v>45</v>
      </c>
      <c r="W900" s="115">
        <f t="shared" si="106"/>
        <v>39000</v>
      </c>
      <c r="X900" s="115">
        <f t="shared" si="100"/>
        <v>866.66666666666663</v>
      </c>
      <c r="Y900" s="117" t="s">
        <v>1349</v>
      </c>
      <c r="Z900" s="108" t="s">
        <v>35</v>
      </c>
      <c r="AA900" s="108" t="s">
        <v>35</v>
      </c>
      <c r="AB900" s="108" t="s">
        <v>1350</v>
      </c>
      <c r="AC900" s="108">
        <v>0</v>
      </c>
      <c r="AD900" s="108">
        <v>1</v>
      </c>
      <c r="AE900" s="108" t="s">
        <v>42</v>
      </c>
      <c r="AF900" s="108" t="s">
        <v>43</v>
      </c>
      <c r="AG900" s="108" t="s">
        <v>38</v>
      </c>
      <c r="AH900" s="108" t="s">
        <v>92</v>
      </c>
    </row>
    <row r="901" spans="1:34" x14ac:dyDescent="0.3">
      <c r="A901" s="107" t="s">
        <v>1350</v>
      </c>
      <c r="B901" s="108" t="s">
        <v>1361</v>
      </c>
      <c r="C901" s="108" t="s">
        <v>1362</v>
      </c>
      <c r="D901" s="109">
        <v>45524</v>
      </c>
      <c r="E901" s="110">
        <v>170000</v>
      </c>
      <c r="F901" s="108" t="s">
        <v>32</v>
      </c>
      <c r="G901" s="108" t="s">
        <v>33</v>
      </c>
      <c r="H901" s="110">
        <v>170000</v>
      </c>
      <c r="I901" s="110">
        <v>82900</v>
      </c>
      <c r="J901" s="111">
        <f t="shared" si="101"/>
        <v>48.764705882352942</v>
      </c>
      <c r="K901" s="110">
        <v>173299</v>
      </c>
      <c r="L901" s="110">
        <f>H901-165685</f>
        <v>4315</v>
      </c>
      <c r="M901" s="110">
        <v>7614</v>
      </c>
      <c r="N901" s="112">
        <f t="shared" si="102"/>
        <v>4.478823529411765E-2</v>
      </c>
      <c r="O901" s="113">
        <v>34.92</v>
      </c>
      <c r="P901" s="114">
        <v>119.49</v>
      </c>
      <c r="Q901" s="115">
        <v>9.6000000000000002E-2</v>
      </c>
      <c r="R901" s="115">
        <v>9.6000000000000002E-2</v>
      </c>
      <c r="S901" s="110">
        <f t="shared" si="103"/>
        <v>123.56815578465063</v>
      </c>
      <c r="T901" s="110">
        <f t="shared" si="104"/>
        <v>44947.916666666664</v>
      </c>
      <c r="U901" s="116">
        <f t="shared" si="105"/>
        <v>1.0318621824303642</v>
      </c>
      <c r="V901" s="115">
        <v>35</v>
      </c>
      <c r="W901" s="115">
        <f t="shared" si="106"/>
        <v>34000</v>
      </c>
      <c r="X901" s="115">
        <f t="shared" si="100"/>
        <v>971.42857142857144</v>
      </c>
      <c r="Y901" s="117" t="s">
        <v>1349</v>
      </c>
      <c r="Z901" s="108" t="s">
        <v>35</v>
      </c>
      <c r="AA901" s="108" t="s">
        <v>35</v>
      </c>
      <c r="AB901" s="108" t="s">
        <v>1350</v>
      </c>
      <c r="AC901" s="108">
        <v>0</v>
      </c>
      <c r="AD901" s="108">
        <v>1</v>
      </c>
      <c r="AE901" s="108" t="s">
        <v>37</v>
      </c>
      <c r="AF901" s="108" t="s">
        <v>43</v>
      </c>
      <c r="AG901" s="108" t="s">
        <v>38</v>
      </c>
      <c r="AH901" s="108" t="s">
        <v>92</v>
      </c>
    </row>
    <row r="902" spans="1:34" x14ac:dyDescent="0.3">
      <c r="A902" s="107" t="s">
        <v>1921</v>
      </c>
      <c r="B902" s="108" t="s">
        <v>1931</v>
      </c>
      <c r="C902" s="108" t="s">
        <v>1932</v>
      </c>
      <c r="D902" s="109">
        <v>45454</v>
      </c>
      <c r="E902" s="110">
        <v>160000</v>
      </c>
      <c r="F902" s="108" t="s">
        <v>32</v>
      </c>
      <c r="G902" s="108" t="s">
        <v>33</v>
      </c>
      <c r="H902" s="110">
        <v>160000</v>
      </c>
      <c r="I902" s="110">
        <v>68000</v>
      </c>
      <c r="J902" s="111">
        <f t="shared" si="101"/>
        <v>42.5</v>
      </c>
      <c r="K902" s="110">
        <v>157195</v>
      </c>
      <c r="L902" s="110">
        <f>H902-133628</f>
        <v>26372</v>
      </c>
      <c r="M902" s="110">
        <v>23567</v>
      </c>
      <c r="N902" s="112">
        <f t="shared" si="102"/>
        <v>0.14729375</v>
      </c>
      <c r="O902" s="113">
        <v>122.74</v>
      </c>
      <c r="P902" s="114">
        <v>227.88</v>
      </c>
      <c r="Q902" s="115">
        <v>0.63500000000000001</v>
      </c>
      <c r="R902" s="115">
        <v>0.63500000000000001</v>
      </c>
      <c r="S902" s="110">
        <f t="shared" si="103"/>
        <v>214.86068111455108</v>
      </c>
      <c r="T902" s="110">
        <f t="shared" si="104"/>
        <v>41530.708661417324</v>
      </c>
      <c r="U902" s="116">
        <f t="shared" si="105"/>
        <v>0.95341388111610015</v>
      </c>
      <c r="V902" s="115">
        <v>122.95</v>
      </c>
      <c r="W902" s="115">
        <f t="shared" si="106"/>
        <v>32000</v>
      </c>
      <c r="X902" s="115">
        <f t="shared" si="100"/>
        <v>260.26840178934526</v>
      </c>
      <c r="Y902" s="117" t="s">
        <v>1915</v>
      </c>
      <c r="Z902" s="108" t="s">
        <v>35</v>
      </c>
      <c r="AA902" s="108" t="s">
        <v>35</v>
      </c>
      <c r="AB902" s="108" t="s">
        <v>1921</v>
      </c>
      <c r="AC902" s="108">
        <v>0</v>
      </c>
      <c r="AD902" s="108">
        <v>1</v>
      </c>
      <c r="AE902" s="108" t="s">
        <v>42</v>
      </c>
      <c r="AF902" s="108" t="s">
        <v>43</v>
      </c>
      <c r="AG902" s="108" t="s">
        <v>38</v>
      </c>
      <c r="AH902" s="108" t="s">
        <v>92</v>
      </c>
    </row>
    <row r="903" spans="1:34" x14ac:dyDescent="0.3">
      <c r="A903" s="107" t="s">
        <v>1921</v>
      </c>
      <c r="B903" s="108" t="s">
        <v>1924</v>
      </c>
      <c r="C903" s="108" t="s">
        <v>1925</v>
      </c>
      <c r="D903" s="109">
        <v>45279</v>
      </c>
      <c r="E903" s="110">
        <v>159000</v>
      </c>
      <c r="F903" s="108" t="s">
        <v>32</v>
      </c>
      <c r="G903" s="108" t="s">
        <v>33</v>
      </c>
      <c r="H903" s="110">
        <v>159000</v>
      </c>
      <c r="I903" s="110">
        <v>63000</v>
      </c>
      <c r="J903" s="111">
        <f t="shared" si="101"/>
        <v>39.622641509433961</v>
      </c>
      <c r="K903" s="110">
        <v>157382</v>
      </c>
      <c r="L903" s="110">
        <f>H903-146835</f>
        <v>12165</v>
      </c>
      <c r="M903" s="110">
        <v>10547</v>
      </c>
      <c r="N903" s="112">
        <f t="shared" si="102"/>
        <v>6.6333333333333327E-2</v>
      </c>
      <c r="O903" s="113">
        <v>54.92</v>
      </c>
      <c r="P903" s="114">
        <v>188.58</v>
      </c>
      <c r="Q903" s="115">
        <v>0.26</v>
      </c>
      <c r="R903" s="115">
        <v>0.26</v>
      </c>
      <c r="S903" s="110">
        <f t="shared" si="103"/>
        <v>221.50400582665694</v>
      </c>
      <c r="T903" s="110">
        <f t="shared" si="104"/>
        <v>46788.461538461539</v>
      </c>
      <c r="U903" s="116">
        <f t="shared" si="105"/>
        <v>1.0741152786607333</v>
      </c>
      <c r="V903" s="115">
        <v>60</v>
      </c>
      <c r="W903" s="115">
        <f t="shared" si="106"/>
        <v>31800</v>
      </c>
      <c r="X903" s="115">
        <f t="shared" si="100"/>
        <v>530</v>
      </c>
      <c r="Y903" s="117" t="s">
        <v>1915</v>
      </c>
      <c r="Z903" s="108" t="s">
        <v>35</v>
      </c>
      <c r="AA903" s="108" t="s">
        <v>35</v>
      </c>
      <c r="AB903" s="108" t="s">
        <v>1921</v>
      </c>
      <c r="AC903" s="108">
        <v>0</v>
      </c>
      <c r="AD903" s="108">
        <v>1</v>
      </c>
      <c r="AE903" s="108" t="s">
        <v>42</v>
      </c>
      <c r="AF903" s="108" t="s">
        <v>43</v>
      </c>
      <c r="AG903" s="108" t="s">
        <v>38</v>
      </c>
      <c r="AH903" s="108" t="s">
        <v>92</v>
      </c>
    </row>
    <row r="904" spans="1:34" x14ac:dyDescent="0.3">
      <c r="A904" s="118" t="s">
        <v>1921</v>
      </c>
      <c r="B904" s="119" t="s">
        <v>1919</v>
      </c>
      <c r="C904" s="119" t="s">
        <v>1920</v>
      </c>
      <c r="D904" s="120">
        <v>45595</v>
      </c>
      <c r="E904" s="121">
        <v>174900</v>
      </c>
      <c r="F904" s="119" t="s">
        <v>32</v>
      </c>
      <c r="G904" s="119" t="s">
        <v>33</v>
      </c>
      <c r="H904" s="121">
        <v>174900</v>
      </c>
      <c r="I904" s="121">
        <v>75200</v>
      </c>
      <c r="J904" s="122">
        <f t="shared" si="101"/>
        <v>42.995997712978848</v>
      </c>
      <c r="K904" s="121">
        <v>176641</v>
      </c>
      <c r="L904" s="121">
        <f>H904-164498</f>
        <v>10402</v>
      </c>
      <c r="M904" s="121">
        <v>12143</v>
      </c>
      <c r="N904" s="123">
        <f t="shared" si="102"/>
        <v>6.9428244711263576E-2</v>
      </c>
      <c r="O904" s="124">
        <v>63.24</v>
      </c>
      <c r="P904" s="125">
        <v>250</v>
      </c>
      <c r="Q904" s="126">
        <v>0.34399999999999997</v>
      </c>
      <c r="R904" s="126">
        <v>0.34399999999999997</v>
      </c>
      <c r="S904" s="121">
        <f t="shared" si="103"/>
        <v>164.48450347881086</v>
      </c>
      <c r="T904" s="121">
        <f t="shared" si="104"/>
        <v>30238.372093023259</v>
      </c>
      <c r="U904" s="127">
        <f t="shared" si="105"/>
        <v>0.6941775044312043</v>
      </c>
      <c r="V904" s="126">
        <v>60</v>
      </c>
      <c r="W904" s="126">
        <f t="shared" si="106"/>
        <v>34980</v>
      </c>
      <c r="X904" s="126">
        <f t="shared" si="100"/>
        <v>583</v>
      </c>
      <c r="Y904" s="128" t="s">
        <v>1915</v>
      </c>
      <c r="Z904" s="119" t="s">
        <v>35</v>
      </c>
      <c r="AA904" s="119" t="s">
        <v>35</v>
      </c>
      <c r="AB904" s="119" t="s">
        <v>1921</v>
      </c>
      <c r="AC904" s="119">
        <v>0</v>
      </c>
      <c r="AD904" s="119">
        <v>1</v>
      </c>
      <c r="AE904" s="119" t="s">
        <v>37</v>
      </c>
      <c r="AF904" s="119" t="s">
        <v>35</v>
      </c>
      <c r="AG904" s="119" t="s">
        <v>38</v>
      </c>
      <c r="AH904" s="119" t="s">
        <v>92</v>
      </c>
    </row>
    <row r="905" spans="1:34" x14ac:dyDescent="0.3">
      <c r="A905" s="118" t="s">
        <v>1921</v>
      </c>
      <c r="B905" s="119" t="s">
        <v>1926</v>
      </c>
      <c r="C905" s="119" t="s">
        <v>1927</v>
      </c>
      <c r="D905" s="120">
        <v>45229</v>
      </c>
      <c r="E905" s="121">
        <v>235000</v>
      </c>
      <c r="F905" s="119" t="s">
        <v>32</v>
      </c>
      <c r="G905" s="119" t="s">
        <v>33</v>
      </c>
      <c r="H905" s="121">
        <v>235000</v>
      </c>
      <c r="I905" s="121">
        <v>94000</v>
      </c>
      <c r="J905" s="122">
        <f t="shared" si="101"/>
        <v>40</v>
      </c>
      <c r="K905" s="121">
        <v>240627</v>
      </c>
      <c r="L905" s="121">
        <f>H905-227503</f>
        <v>7497</v>
      </c>
      <c r="M905" s="121">
        <v>13124</v>
      </c>
      <c r="N905" s="123">
        <f t="shared" si="102"/>
        <v>5.58468085106383E-2</v>
      </c>
      <c r="O905" s="124">
        <v>68.349999999999994</v>
      </c>
      <c r="P905" s="125">
        <v>234.17</v>
      </c>
      <c r="Q905" s="126">
        <v>0.36</v>
      </c>
      <c r="R905" s="126">
        <v>0.36</v>
      </c>
      <c r="S905" s="121">
        <f t="shared" si="103"/>
        <v>109.68544257498172</v>
      </c>
      <c r="T905" s="121">
        <f t="shared" si="104"/>
        <v>20825</v>
      </c>
      <c r="U905" s="127">
        <f t="shared" si="105"/>
        <v>0.47807621671258033</v>
      </c>
      <c r="V905" s="126">
        <v>67</v>
      </c>
      <c r="W905" s="126">
        <f t="shared" si="106"/>
        <v>47000</v>
      </c>
      <c r="X905" s="126">
        <f t="shared" si="100"/>
        <v>701.49253731343288</v>
      </c>
      <c r="Y905" s="128" t="s">
        <v>1915</v>
      </c>
      <c r="Z905" s="119" t="s">
        <v>35</v>
      </c>
      <c r="AA905" s="119" t="s">
        <v>35</v>
      </c>
      <c r="AB905" s="119" t="s">
        <v>1921</v>
      </c>
      <c r="AC905" s="119">
        <v>0</v>
      </c>
      <c r="AD905" s="119">
        <v>1</v>
      </c>
      <c r="AE905" s="119" t="s">
        <v>1928</v>
      </c>
      <c r="AF905" s="119" t="s">
        <v>43</v>
      </c>
      <c r="AG905" s="119" t="s">
        <v>38</v>
      </c>
      <c r="AH905" s="119" t="s">
        <v>92</v>
      </c>
    </row>
    <row r="906" spans="1:34" x14ac:dyDescent="0.3">
      <c r="A906" s="107" t="s">
        <v>1921</v>
      </c>
      <c r="B906" s="108" t="s">
        <v>1926</v>
      </c>
      <c r="C906" s="108" t="s">
        <v>1927</v>
      </c>
      <c r="D906" s="109">
        <v>45387</v>
      </c>
      <c r="E906" s="110">
        <v>245000</v>
      </c>
      <c r="F906" s="108" t="s">
        <v>32</v>
      </c>
      <c r="G906" s="108" t="s">
        <v>33</v>
      </c>
      <c r="H906" s="110">
        <v>245000</v>
      </c>
      <c r="I906" s="110">
        <v>103600</v>
      </c>
      <c r="J906" s="111">
        <f t="shared" si="101"/>
        <v>42.285714285714285</v>
      </c>
      <c r="K906" s="110">
        <v>240627</v>
      </c>
      <c r="L906" s="110">
        <f>H906-227503</f>
        <v>17497</v>
      </c>
      <c r="M906" s="110">
        <v>13124</v>
      </c>
      <c r="N906" s="112">
        <f t="shared" si="102"/>
        <v>5.3567346938775511E-2</v>
      </c>
      <c r="O906" s="113">
        <v>68.349999999999994</v>
      </c>
      <c r="P906" s="114">
        <v>234.17</v>
      </c>
      <c r="Q906" s="115">
        <v>0.36</v>
      </c>
      <c r="R906" s="115">
        <v>0.36</v>
      </c>
      <c r="S906" s="110">
        <f t="shared" si="103"/>
        <v>255.99122165325534</v>
      </c>
      <c r="T906" s="110">
        <f t="shared" si="104"/>
        <v>48602.777777777781</v>
      </c>
      <c r="U906" s="116">
        <f t="shared" si="105"/>
        <v>1.1157662483420059</v>
      </c>
      <c r="V906" s="115">
        <v>67</v>
      </c>
      <c r="W906" s="115">
        <f t="shared" si="106"/>
        <v>49000</v>
      </c>
      <c r="X906" s="115">
        <f t="shared" si="100"/>
        <v>731.3432835820895</v>
      </c>
      <c r="Y906" s="117" t="s">
        <v>1915</v>
      </c>
      <c r="Z906" s="108" t="s">
        <v>35</v>
      </c>
      <c r="AA906" s="108" t="s">
        <v>35</v>
      </c>
      <c r="AB906" s="108" t="s">
        <v>1921</v>
      </c>
      <c r="AC906" s="108">
        <v>0</v>
      </c>
      <c r="AD906" s="108">
        <v>1</v>
      </c>
      <c r="AE906" s="108" t="s">
        <v>1928</v>
      </c>
      <c r="AF906" s="108" t="s">
        <v>43</v>
      </c>
      <c r="AG906" s="108" t="s">
        <v>38</v>
      </c>
      <c r="AH906" s="108" t="s">
        <v>92</v>
      </c>
    </row>
    <row r="907" spans="1:34" x14ac:dyDescent="0.3">
      <c r="A907" s="118" t="s">
        <v>1921</v>
      </c>
      <c r="B907" s="119" t="s">
        <v>1929</v>
      </c>
      <c r="C907" s="119" t="s">
        <v>1930</v>
      </c>
      <c r="D907" s="120">
        <v>45722</v>
      </c>
      <c r="E907" s="121">
        <v>260000</v>
      </c>
      <c r="F907" s="119" t="s">
        <v>32</v>
      </c>
      <c r="G907" s="119" t="s">
        <v>33</v>
      </c>
      <c r="H907" s="121">
        <v>260000</v>
      </c>
      <c r="I907" s="121">
        <v>106600</v>
      </c>
      <c r="J907" s="122">
        <f t="shared" si="101"/>
        <v>41</v>
      </c>
      <c r="K907" s="121">
        <v>240284</v>
      </c>
      <c r="L907" s="121">
        <f>H907-227163</f>
        <v>32837</v>
      </c>
      <c r="M907" s="121">
        <v>13121</v>
      </c>
      <c r="N907" s="123">
        <f t="shared" si="102"/>
        <v>5.0465384615384613E-2</v>
      </c>
      <c r="O907" s="124">
        <v>68.34</v>
      </c>
      <c r="P907" s="125">
        <v>234.09</v>
      </c>
      <c r="Q907" s="126">
        <v>0.36</v>
      </c>
      <c r="R907" s="126">
        <v>0.36</v>
      </c>
      <c r="S907" s="121">
        <f t="shared" si="103"/>
        <v>480.49458589405907</v>
      </c>
      <c r="T907" s="121">
        <f t="shared" si="104"/>
        <v>91213.888888888891</v>
      </c>
      <c r="U907" s="127">
        <f t="shared" si="105"/>
        <v>2.0939827568615446</v>
      </c>
      <c r="V907" s="126">
        <v>67</v>
      </c>
      <c r="W907" s="126">
        <f t="shared" si="106"/>
        <v>52000</v>
      </c>
      <c r="X907" s="126">
        <f t="shared" si="100"/>
        <v>776.11940298507466</v>
      </c>
      <c r="Y907" s="128" t="s">
        <v>1915</v>
      </c>
      <c r="Z907" s="119" t="s">
        <v>35</v>
      </c>
      <c r="AA907" s="119" t="s">
        <v>35</v>
      </c>
      <c r="AB907" s="119" t="s">
        <v>1921</v>
      </c>
      <c r="AC907" s="119">
        <v>0</v>
      </c>
      <c r="AD907" s="119">
        <v>1</v>
      </c>
      <c r="AE907" s="119" t="s">
        <v>42</v>
      </c>
      <c r="AF907" s="119" t="s">
        <v>35</v>
      </c>
      <c r="AG907" s="119" t="s">
        <v>38</v>
      </c>
      <c r="AH907" s="119" t="s">
        <v>92</v>
      </c>
    </row>
    <row r="908" spans="1:34" x14ac:dyDescent="0.3">
      <c r="A908" s="118" t="s">
        <v>1921</v>
      </c>
      <c r="B908" s="119" t="s">
        <v>1922</v>
      </c>
      <c r="C908" s="119" t="s">
        <v>1923</v>
      </c>
      <c r="D908" s="120">
        <v>45391</v>
      </c>
      <c r="E908" s="121">
        <v>335000</v>
      </c>
      <c r="F908" s="119" t="s">
        <v>32</v>
      </c>
      <c r="G908" s="119" t="s">
        <v>33</v>
      </c>
      <c r="H908" s="121">
        <v>335000</v>
      </c>
      <c r="I908" s="121">
        <v>163800</v>
      </c>
      <c r="J908" s="122">
        <f t="shared" si="101"/>
        <v>48.895522388059703</v>
      </c>
      <c r="K908" s="121">
        <v>374447</v>
      </c>
      <c r="L908" s="121">
        <f>H908-361328</f>
        <v>-26328</v>
      </c>
      <c r="M908" s="121">
        <v>13119</v>
      </c>
      <c r="N908" s="123">
        <f t="shared" si="102"/>
        <v>3.9161194029850743E-2</v>
      </c>
      <c r="O908" s="124">
        <v>68.319999999999993</v>
      </c>
      <c r="P908" s="125">
        <v>179.14</v>
      </c>
      <c r="Q908" s="126">
        <v>0.31</v>
      </c>
      <c r="R908" s="126">
        <v>0.31</v>
      </c>
      <c r="S908" s="121">
        <f t="shared" si="103"/>
        <v>-385.36299765807968</v>
      </c>
      <c r="T908" s="121">
        <f t="shared" si="104"/>
        <v>-84929.032258064515</v>
      </c>
      <c r="U908" s="127">
        <f t="shared" si="105"/>
        <v>-1.94970230160846</v>
      </c>
      <c r="V908" s="126">
        <v>78.84</v>
      </c>
      <c r="W908" s="126">
        <f t="shared" si="106"/>
        <v>67000</v>
      </c>
      <c r="X908" s="126">
        <f t="shared" si="100"/>
        <v>849.82242516489089</v>
      </c>
      <c r="Y908" s="128" t="s">
        <v>1915</v>
      </c>
      <c r="Z908" s="119" t="s">
        <v>35</v>
      </c>
      <c r="AA908" s="119" t="s">
        <v>35</v>
      </c>
      <c r="AB908" s="119" t="s">
        <v>1921</v>
      </c>
      <c r="AC908" s="119">
        <v>0</v>
      </c>
      <c r="AD908" s="119">
        <v>1</v>
      </c>
      <c r="AE908" s="119" t="s">
        <v>1825</v>
      </c>
      <c r="AF908" s="119" t="s">
        <v>43</v>
      </c>
      <c r="AG908" s="119" t="s">
        <v>38</v>
      </c>
      <c r="AH908" s="119" t="s">
        <v>92</v>
      </c>
    </row>
    <row r="909" spans="1:34" x14ac:dyDescent="0.3">
      <c r="A909" s="118" t="s">
        <v>2163</v>
      </c>
      <c r="B909" s="119" t="s">
        <v>2160</v>
      </c>
      <c r="C909" s="119" t="s">
        <v>2161</v>
      </c>
      <c r="D909" s="120">
        <v>45490</v>
      </c>
      <c r="E909" s="121">
        <v>140000</v>
      </c>
      <c r="F909" s="119" t="s">
        <v>81</v>
      </c>
      <c r="G909" s="119" t="s">
        <v>33</v>
      </c>
      <c r="H909" s="121">
        <v>140000</v>
      </c>
      <c r="I909" s="121">
        <v>63000</v>
      </c>
      <c r="J909" s="122">
        <f t="shared" si="101"/>
        <v>45</v>
      </c>
      <c r="K909" s="121">
        <v>146030</v>
      </c>
      <c r="L909" s="121">
        <f>H909-130615</f>
        <v>9385</v>
      </c>
      <c r="M909" s="121">
        <v>15415</v>
      </c>
      <c r="N909" s="123">
        <f t="shared" si="102"/>
        <v>0.11010714285714286</v>
      </c>
      <c r="O909" s="124">
        <v>65.31</v>
      </c>
      <c r="P909" s="125">
        <v>200</v>
      </c>
      <c r="Q909" s="126">
        <v>0.36699999999999999</v>
      </c>
      <c r="R909" s="126">
        <v>0.36699999999999999</v>
      </c>
      <c r="S909" s="121">
        <f t="shared" si="103"/>
        <v>143.69928035522889</v>
      </c>
      <c r="T909" s="121">
        <f t="shared" si="104"/>
        <v>25572.207084468664</v>
      </c>
      <c r="U909" s="127">
        <f t="shared" si="105"/>
        <v>0.58705709560304553</v>
      </c>
      <c r="V909" s="126">
        <v>80</v>
      </c>
      <c r="W909" s="126">
        <f t="shared" si="106"/>
        <v>28000</v>
      </c>
      <c r="X909" s="126">
        <f t="shared" si="100"/>
        <v>350</v>
      </c>
      <c r="Y909" s="128" t="s">
        <v>2162</v>
      </c>
      <c r="Z909" s="119" t="s">
        <v>35</v>
      </c>
      <c r="AA909" s="119" t="s">
        <v>35</v>
      </c>
      <c r="AB909" s="119" t="s">
        <v>2163</v>
      </c>
      <c r="AC909" s="119">
        <v>0</v>
      </c>
      <c r="AD909" s="119">
        <v>1</v>
      </c>
      <c r="AE909" s="119" t="s">
        <v>1968</v>
      </c>
      <c r="AF909" s="119" t="s">
        <v>43</v>
      </c>
      <c r="AG909" s="119" t="s">
        <v>38</v>
      </c>
      <c r="AH909" s="119" t="s">
        <v>92</v>
      </c>
    </row>
    <row r="910" spans="1:34" x14ac:dyDescent="0.3">
      <c r="A910" s="107" t="s">
        <v>2163</v>
      </c>
      <c r="B910" s="108" t="s">
        <v>2164</v>
      </c>
      <c r="C910" s="108" t="s">
        <v>2165</v>
      </c>
      <c r="D910" s="109">
        <v>45278</v>
      </c>
      <c r="E910" s="110">
        <v>260000</v>
      </c>
      <c r="F910" s="108" t="s">
        <v>32</v>
      </c>
      <c r="G910" s="108" t="s">
        <v>33</v>
      </c>
      <c r="H910" s="110">
        <v>260000</v>
      </c>
      <c r="I910" s="110">
        <v>67700</v>
      </c>
      <c r="J910" s="111">
        <f t="shared" si="101"/>
        <v>26.038461538461537</v>
      </c>
      <c r="K910" s="110">
        <v>204445</v>
      </c>
      <c r="L910" s="110">
        <f>H910-170475</f>
        <v>89525</v>
      </c>
      <c r="M910" s="110">
        <v>33970</v>
      </c>
      <c r="N910" s="112">
        <f t="shared" si="102"/>
        <v>0.13065384615384615</v>
      </c>
      <c r="O910" s="113">
        <v>143.93</v>
      </c>
      <c r="P910" s="114">
        <v>436.47</v>
      </c>
      <c r="Q910" s="115">
        <v>1.1970000000000001</v>
      </c>
      <c r="R910" s="115">
        <v>1.1970000000000001</v>
      </c>
      <c r="S910" s="110">
        <f t="shared" si="103"/>
        <v>622.00375182380321</v>
      </c>
      <c r="T910" s="110">
        <f t="shared" si="104"/>
        <v>74791.144527986631</v>
      </c>
      <c r="U910" s="116">
        <f t="shared" si="105"/>
        <v>1.7169684235074985</v>
      </c>
      <c r="V910" s="115">
        <v>119</v>
      </c>
      <c r="W910" s="115">
        <f t="shared" si="106"/>
        <v>52000</v>
      </c>
      <c r="X910" s="115">
        <f t="shared" si="100"/>
        <v>436.97478991596637</v>
      </c>
      <c r="Y910" s="117" t="s">
        <v>2162</v>
      </c>
      <c r="Z910" s="108" t="s">
        <v>35</v>
      </c>
      <c r="AA910" s="108" t="s">
        <v>35</v>
      </c>
      <c r="AB910" s="108" t="s">
        <v>2163</v>
      </c>
      <c r="AC910" s="108">
        <v>0</v>
      </c>
      <c r="AD910" s="108">
        <v>1</v>
      </c>
      <c r="AE910" s="108" t="s">
        <v>42</v>
      </c>
      <c r="AF910" s="108" t="s">
        <v>43</v>
      </c>
      <c r="AG910" s="108" t="s">
        <v>38</v>
      </c>
      <c r="AH910" s="108" t="s">
        <v>92</v>
      </c>
    </row>
    <row r="911" spans="1:34" x14ac:dyDescent="0.3">
      <c r="A911" s="118" t="s">
        <v>2163</v>
      </c>
      <c r="B911" s="119" t="s">
        <v>2312</v>
      </c>
      <c r="C911" s="119" t="s">
        <v>2313</v>
      </c>
      <c r="D911" s="120">
        <v>45559</v>
      </c>
      <c r="E911" s="121">
        <v>296500</v>
      </c>
      <c r="F911" s="119" t="s">
        <v>32</v>
      </c>
      <c r="G911" s="119" t="s">
        <v>66</v>
      </c>
      <c r="H911" s="121">
        <v>296500</v>
      </c>
      <c r="I911" s="121">
        <v>80100</v>
      </c>
      <c r="J911" s="122">
        <f t="shared" si="101"/>
        <v>27.015177065767286</v>
      </c>
      <c r="K911" s="121">
        <v>175537</v>
      </c>
      <c r="L911" s="121">
        <f>H911-139567</f>
        <v>156933</v>
      </c>
      <c r="M911" s="121">
        <v>35970</v>
      </c>
      <c r="N911" s="123">
        <f t="shared" si="102"/>
        <v>0.12131534569983136</v>
      </c>
      <c r="O911" s="124">
        <v>74.55</v>
      </c>
      <c r="P911" s="125">
        <v>230.79</v>
      </c>
      <c r="Q911" s="126">
        <v>1.5</v>
      </c>
      <c r="R911" s="126">
        <v>1.05</v>
      </c>
      <c r="S911" s="121">
        <f t="shared" si="103"/>
        <v>2105.0704225352115</v>
      </c>
      <c r="T911" s="121">
        <f t="shared" si="104"/>
        <v>104622</v>
      </c>
      <c r="U911" s="127">
        <f t="shared" si="105"/>
        <v>2.4017906336088153</v>
      </c>
      <c r="V911" s="126">
        <v>85</v>
      </c>
      <c r="W911" s="126">
        <f t="shared" si="106"/>
        <v>59300</v>
      </c>
      <c r="X911" s="126">
        <f t="shared" si="100"/>
        <v>697.64705882352939</v>
      </c>
      <c r="Y911" s="128" t="s">
        <v>2162</v>
      </c>
      <c r="Z911" s="119" t="s">
        <v>35</v>
      </c>
      <c r="AA911" s="119" t="s">
        <v>2314</v>
      </c>
      <c r="AB911" s="119" t="s">
        <v>2163</v>
      </c>
      <c r="AC911" s="119">
        <v>0</v>
      </c>
      <c r="AD911" s="119">
        <v>0</v>
      </c>
      <c r="AE911" s="119" t="s">
        <v>42</v>
      </c>
      <c r="AF911" s="119" t="s">
        <v>43</v>
      </c>
      <c r="AG911" s="119" t="s">
        <v>38</v>
      </c>
      <c r="AH911" s="119"/>
    </row>
    <row r="912" spans="1:34" x14ac:dyDescent="0.3">
      <c r="A912" s="107" t="s">
        <v>2567</v>
      </c>
      <c r="B912" s="108" t="s">
        <v>2564</v>
      </c>
      <c r="C912" s="108" t="s">
        <v>2565</v>
      </c>
      <c r="D912" s="109">
        <v>45499</v>
      </c>
      <c r="E912" s="110">
        <v>80000</v>
      </c>
      <c r="F912" s="108" t="s">
        <v>32</v>
      </c>
      <c r="G912" s="108" t="s">
        <v>33</v>
      </c>
      <c r="H912" s="110">
        <v>80000</v>
      </c>
      <c r="I912" s="110">
        <v>51200</v>
      </c>
      <c r="J912" s="111">
        <f t="shared" si="101"/>
        <v>64</v>
      </c>
      <c r="K912" s="110">
        <v>112076</v>
      </c>
      <c r="L912" s="110">
        <f>H912-94207</f>
        <v>-14207</v>
      </c>
      <c r="M912" s="110">
        <v>17869</v>
      </c>
      <c r="N912" s="112">
        <f t="shared" si="102"/>
        <v>0.22336249999999999</v>
      </c>
      <c r="O912" s="113">
        <v>81.22</v>
      </c>
      <c r="P912" s="114">
        <v>190</v>
      </c>
      <c r="Q912" s="115">
        <v>0.52</v>
      </c>
      <c r="R912" s="115">
        <v>0.32700000000000001</v>
      </c>
      <c r="S912" s="110">
        <f t="shared" si="103"/>
        <v>-174.91997045062791</v>
      </c>
      <c r="T912" s="110">
        <f t="shared" si="104"/>
        <v>-27321.153846153844</v>
      </c>
      <c r="U912" s="116">
        <f t="shared" si="105"/>
        <v>-0.62720738857102487</v>
      </c>
      <c r="V912" s="115">
        <v>100</v>
      </c>
      <c r="W912" s="115">
        <f t="shared" si="106"/>
        <v>16000</v>
      </c>
      <c r="X912" s="115">
        <f t="shared" si="100"/>
        <v>160</v>
      </c>
      <c r="Y912" s="117" t="s">
        <v>2566</v>
      </c>
      <c r="Z912" s="108" t="s">
        <v>35</v>
      </c>
      <c r="AA912" s="108" t="s">
        <v>35</v>
      </c>
      <c r="AB912" s="108" t="s">
        <v>2567</v>
      </c>
      <c r="AC912" s="108">
        <v>0</v>
      </c>
      <c r="AD912" s="108">
        <v>0</v>
      </c>
      <c r="AE912" s="108" t="s">
        <v>42</v>
      </c>
      <c r="AF912" s="108" t="s">
        <v>43</v>
      </c>
      <c r="AG912" s="108" t="s">
        <v>38</v>
      </c>
      <c r="AH912" s="108" t="s">
        <v>1830</v>
      </c>
    </row>
    <row r="913" spans="1:34" x14ac:dyDescent="0.3">
      <c r="A913" s="107" t="s">
        <v>2840</v>
      </c>
      <c r="B913" s="108" t="s">
        <v>2837</v>
      </c>
      <c r="C913" s="108" t="s">
        <v>2838</v>
      </c>
      <c r="D913" s="109">
        <v>45636</v>
      </c>
      <c r="E913" s="110">
        <v>7500</v>
      </c>
      <c r="F913" s="108" t="s">
        <v>32</v>
      </c>
      <c r="G913" s="108" t="s">
        <v>33</v>
      </c>
      <c r="H913" s="110">
        <v>7500</v>
      </c>
      <c r="I913" s="110">
        <v>14100</v>
      </c>
      <c r="J913" s="111">
        <f t="shared" si="101"/>
        <v>188</v>
      </c>
      <c r="K913" s="110">
        <v>29961</v>
      </c>
      <c r="L913" s="110">
        <f>H913-0</f>
        <v>7500</v>
      </c>
      <c r="M913" s="110">
        <v>29961</v>
      </c>
      <c r="N913" s="112">
        <f t="shared" si="102"/>
        <v>3.9948000000000001</v>
      </c>
      <c r="O913" s="113">
        <v>152.86000000000001</v>
      </c>
      <c r="P913" s="114">
        <v>285</v>
      </c>
      <c r="Q913" s="115">
        <v>1</v>
      </c>
      <c r="R913" s="115">
        <v>1</v>
      </c>
      <c r="S913" s="110">
        <f t="shared" si="103"/>
        <v>49.06450346722491</v>
      </c>
      <c r="T913" s="110">
        <f t="shared" si="104"/>
        <v>7500</v>
      </c>
      <c r="U913" s="116">
        <f t="shared" si="105"/>
        <v>0.17217630853994489</v>
      </c>
      <c r="V913" s="115">
        <v>152.86000000000001</v>
      </c>
      <c r="W913" s="115">
        <f t="shared" si="106"/>
        <v>1500</v>
      </c>
      <c r="X913" s="115">
        <f t="shared" si="100"/>
        <v>9.8129006934449823</v>
      </c>
      <c r="Y913" s="117" t="s">
        <v>2839</v>
      </c>
      <c r="Z913" s="108" t="s">
        <v>35</v>
      </c>
      <c r="AA913" s="108" t="s">
        <v>35</v>
      </c>
      <c r="AB913" s="108" t="s">
        <v>2840</v>
      </c>
      <c r="AC913" s="108">
        <v>0</v>
      </c>
      <c r="AD913" s="108">
        <v>1</v>
      </c>
      <c r="AE913" s="108" t="s">
        <v>37</v>
      </c>
      <c r="AF913" s="108" t="s">
        <v>35</v>
      </c>
      <c r="AG913" s="108" t="s">
        <v>61</v>
      </c>
      <c r="AH913" s="108" t="s">
        <v>92</v>
      </c>
    </row>
    <row r="914" spans="1:34" x14ac:dyDescent="0.3">
      <c r="A914" s="118" t="s">
        <v>2840</v>
      </c>
      <c r="B914" s="119" t="s">
        <v>2841</v>
      </c>
      <c r="C914" s="119" t="s">
        <v>2842</v>
      </c>
      <c r="D914" s="120">
        <v>45369</v>
      </c>
      <c r="E914" s="121">
        <v>175000</v>
      </c>
      <c r="F914" s="119" t="s">
        <v>32</v>
      </c>
      <c r="G914" s="119" t="s">
        <v>33</v>
      </c>
      <c r="H914" s="121">
        <v>175000</v>
      </c>
      <c r="I914" s="121">
        <v>64500</v>
      </c>
      <c r="J914" s="122">
        <f t="shared" si="101"/>
        <v>36.857142857142854</v>
      </c>
      <c r="K914" s="121">
        <v>168627</v>
      </c>
      <c r="L914" s="121">
        <f>H914-153258</f>
        <v>21742</v>
      </c>
      <c r="M914" s="121">
        <v>15369</v>
      </c>
      <c r="N914" s="123">
        <f t="shared" si="102"/>
        <v>8.7822857142857147E-2</v>
      </c>
      <c r="O914" s="124">
        <v>78.41</v>
      </c>
      <c r="P914" s="125">
        <v>300</v>
      </c>
      <c r="Q914" s="126">
        <v>0.52600000000000002</v>
      </c>
      <c r="R914" s="126">
        <v>0.52600000000000002</v>
      </c>
      <c r="S914" s="121">
        <f t="shared" si="103"/>
        <v>277.28606045147302</v>
      </c>
      <c r="T914" s="121">
        <f t="shared" si="104"/>
        <v>41334.600760456269</v>
      </c>
      <c r="U914" s="127">
        <f t="shared" si="105"/>
        <v>0.94891186318770127</v>
      </c>
      <c r="V914" s="126">
        <v>76.430000000000007</v>
      </c>
      <c r="W914" s="126">
        <f t="shared" si="106"/>
        <v>35000</v>
      </c>
      <c r="X914" s="126">
        <f t="shared" si="100"/>
        <v>457.93536569409912</v>
      </c>
      <c r="Y914" s="128" t="s">
        <v>2839</v>
      </c>
      <c r="Z914" s="119" t="s">
        <v>35</v>
      </c>
      <c r="AA914" s="119" t="s">
        <v>35</v>
      </c>
      <c r="AB914" s="119" t="s">
        <v>2840</v>
      </c>
      <c r="AC914" s="119">
        <v>0</v>
      </c>
      <c r="AD914" s="119">
        <v>1</v>
      </c>
      <c r="AE914" s="119" t="s">
        <v>42</v>
      </c>
      <c r="AF914" s="119" t="s">
        <v>43</v>
      </c>
      <c r="AG914" s="119" t="s">
        <v>38</v>
      </c>
      <c r="AH914" s="119" t="s">
        <v>92</v>
      </c>
    </row>
    <row r="915" spans="1:34" x14ac:dyDescent="0.3">
      <c r="A915" s="118" t="s">
        <v>958</v>
      </c>
      <c r="B915" s="119" t="s">
        <v>961</v>
      </c>
      <c r="C915" s="119" t="s">
        <v>962</v>
      </c>
      <c r="D915" s="120">
        <v>45121</v>
      </c>
      <c r="E915" s="121">
        <v>108000</v>
      </c>
      <c r="F915" s="119" t="s">
        <v>32</v>
      </c>
      <c r="G915" s="119" t="s">
        <v>33</v>
      </c>
      <c r="H915" s="121">
        <v>108000</v>
      </c>
      <c r="I915" s="121">
        <v>46400</v>
      </c>
      <c r="J915" s="122">
        <f t="shared" si="101"/>
        <v>42.962962962962962</v>
      </c>
      <c r="K915" s="121">
        <v>106105</v>
      </c>
      <c r="L915" s="121">
        <f>H915-97072</f>
        <v>10928</v>
      </c>
      <c r="M915" s="121">
        <v>9033</v>
      </c>
      <c r="N915" s="123">
        <f t="shared" si="102"/>
        <v>8.3638888888888888E-2</v>
      </c>
      <c r="O915" s="124">
        <v>52.82</v>
      </c>
      <c r="P915" s="125">
        <v>100</v>
      </c>
      <c r="Q915" s="126">
        <v>0.13800000000000001</v>
      </c>
      <c r="R915" s="126">
        <v>0.13800000000000001</v>
      </c>
      <c r="S915" s="121">
        <f t="shared" si="103"/>
        <v>206.89132904202953</v>
      </c>
      <c r="T915" s="121">
        <f t="shared" si="104"/>
        <v>79188.405797101441</v>
      </c>
      <c r="U915" s="127">
        <f t="shared" si="105"/>
        <v>1.8179156519077466</v>
      </c>
      <c r="V915" s="126">
        <v>60</v>
      </c>
      <c r="W915" s="126">
        <f t="shared" si="106"/>
        <v>21600</v>
      </c>
      <c r="X915" s="126">
        <f t="shared" si="100"/>
        <v>360</v>
      </c>
      <c r="Y915" s="128" t="s">
        <v>957</v>
      </c>
      <c r="Z915" s="119" t="s">
        <v>35</v>
      </c>
      <c r="AA915" s="119" t="s">
        <v>35</v>
      </c>
      <c r="AB915" s="119" t="s">
        <v>958</v>
      </c>
      <c r="AC915" s="119">
        <v>0</v>
      </c>
      <c r="AD915" s="119">
        <v>1</v>
      </c>
      <c r="AE915" s="119" t="s">
        <v>37</v>
      </c>
      <c r="AF915" s="119" t="s">
        <v>43</v>
      </c>
      <c r="AG915" s="119" t="s">
        <v>38</v>
      </c>
      <c r="AH915" s="119" t="s">
        <v>92</v>
      </c>
    </row>
    <row r="916" spans="1:34" x14ac:dyDescent="0.3">
      <c r="A916" s="107" t="s">
        <v>958</v>
      </c>
      <c r="B916" s="108" t="s">
        <v>959</v>
      </c>
      <c r="C916" s="108" t="s">
        <v>960</v>
      </c>
      <c r="D916" s="109">
        <v>45743</v>
      </c>
      <c r="E916" s="110">
        <v>194880</v>
      </c>
      <c r="F916" s="108" t="s">
        <v>32</v>
      </c>
      <c r="G916" s="108" t="s">
        <v>33</v>
      </c>
      <c r="H916" s="110">
        <v>194880</v>
      </c>
      <c r="I916" s="110">
        <v>62800</v>
      </c>
      <c r="J916" s="111">
        <f t="shared" si="101"/>
        <v>32.22495894909688</v>
      </c>
      <c r="K916" s="110">
        <v>131005</v>
      </c>
      <c r="L916" s="110">
        <f>H916-117325</f>
        <v>77555</v>
      </c>
      <c r="M916" s="110">
        <v>13680</v>
      </c>
      <c r="N916" s="112">
        <f t="shared" si="102"/>
        <v>7.0197044334975367E-2</v>
      </c>
      <c r="O916" s="113">
        <v>80</v>
      </c>
      <c r="P916" s="114">
        <v>129</v>
      </c>
      <c r="Q916" s="115">
        <v>0.23699999999999999</v>
      </c>
      <c r="R916" s="115">
        <v>0.23699999999999999</v>
      </c>
      <c r="S916" s="110">
        <f t="shared" si="103"/>
        <v>969.4375</v>
      </c>
      <c r="T916" s="110">
        <f t="shared" si="104"/>
        <v>327236.28691983124</v>
      </c>
      <c r="U916" s="116">
        <f t="shared" si="105"/>
        <v>7.5123114536233064</v>
      </c>
      <c r="V916" s="115">
        <v>80</v>
      </c>
      <c r="W916" s="115">
        <f t="shared" si="106"/>
        <v>38976</v>
      </c>
      <c r="X916" s="115">
        <f t="shared" si="100"/>
        <v>487.2</v>
      </c>
      <c r="Y916" s="117" t="s">
        <v>957</v>
      </c>
      <c r="Z916" s="108" t="s">
        <v>35</v>
      </c>
      <c r="AA916" s="108" t="s">
        <v>35</v>
      </c>
      <c r="AB916" s="108" t="s">
        <v>958</v>
      </c>
      <c r="AC916" s="108">
        <v>0</v>
      </c>
      <c r="AD916" s="108">
        <v>1</v>
      </c>
      <c r="AE916" s="108" t="s">
        <v>42</v>
      </c>
      <c r="AF916" s="108" t="s">
        <v>35</v>
      </c>
      <c r="AG916" s="108" t="s">
        <v>38</v>
      </c>
      <c r="AH916" s="108" t="s">
        <v>92</v>
      </c>
    </row>
    <row r="917" spans="1:34" x14ac:dyDescent="0.3">
      <c r="A917" s="107" t="s">
        <v>958</v>
      </c>
      <c r="B917" s="108" t="s">
        <v>955</v>
      </c>
      <c r="C917" s="108" t="s">
        <v>956</v>
      </c>
      <c r="D917" s="109">
        <v>45469</v>
      </c>
      <c r="E917" s="110">
        <v>170000</v>
      </c>
      <c r="F917" s="108" t="s">
        <v>32</v>
      </c>
      <c r="G917" s="108" t="s">
        <v>33</v>
      </c>
      <c r="H917" s="110">
        <v>170000</v>
      </c>
      <c r="I917" s="110">
        <v>77500</v>
      </c>
      <c r="J917" s="111">
        <f t="shared" si="101"/>
        <v>45.588235294117645</v>
      </c>
      <c r="K917" s="110">
        <v>160176</v>
      </c>
      <c r="L917" s="110">
        <f>H917-153336</f>
        <v>16664</v>
      </c>
      <c r="M917" s="110">
        <v>6840</v>
      </c>
      <c r="N917" s="112">
        <f t="shared" si="102"/>
        <v>4.0235294117647057E-2</v>
      </c>
      <c r="O917" s="113">
        <v>40</v>
      </c>
      <c r="P917" s="114">
        <v>129</v>
      </c>
      <c r="Q917" s="115">
        <v>0.11799999999999999</v>
      </c>
      <c r="R917" s="115">
        <v>0.11799999999999999</v>
      </c>
      <c r="S917" s="110">
        <f t="shared" si="103"/>
        <v>416.6</v>
      </c>
      <c r="T917" s="110">
        <f t="shared" si="104"/>
        <v>141220.33898305087</v>
      </c>
      <c r="U917" s="116">
        <f t="shared" si="105"/>
        <v>3.2419728875815168</v>
      </c>
      <c r="V917" s="115">
        <v>40</v>
      </c>
      <c r="W917" s="115">
        <f t="shared" si="106"/>
        <v>34000</v>
      </c>
      <c r="X917" s="115">
        <f t="shared" si="100"/>
        <v>850</v>
      </c>
      <c r="Y917" s="117" t="s">
        <v>957</v>
      </c>
      <c r="Z917" s="108" t="s">
        <v>35</v>
      </c>
      <c r="AA917" s="108" t="s">
        <v>35</v>
      </c>
      <c r="AB917" s="108" t="s">
        <v>958</v>
      </c>
      <c r="AC917" s="108">
        <v>0</v>
      </c>
      <c r="AD917" s="108">
        <v>1</v>
      </c>
      <c r="AE917" s="108" t="s">
        <v>42</v>
      </c>
      <c r="AF917" s="108" t="s">
        <v>43</v>
      </c>
      <c r="AG917" s="108" t="s">
        <v>38</v>
      </c>
      <c r="AH917" s="108" t="s">
        <v>92</v>
      </c>
    </row>
    <row r="918" spans="1:34" x14ac:dyDescent="0.3">
      <c r="A918" s="118" t="s">
        <v>1402</v>
      </c>
      <c r="B918" s="119" t="s">
        <v>1403</v>
      </c>
      <c r="C918" s="119" t="s">
        <v>1404</v>
      </c>
      <c r="D918" s="120">
        <v>45615</v>
      </c>
      <c r="E918" s="121">
        <v>157000</v>
      </c>
      <c r="F918" s="119" t="s">
        <v>32</v>
      </c>
      <c r="G918" s="119" t="s">
        <v>33</v>
      </c>
      <c r="H918" s="121">
        <v>157000</v>
      </c>
      <c r="I918" s="121">
        <v>68100</v>
      </c>
      <c r="J918" s="122">
        <f t="shared" si="101"/>
        <v>43.375796178343947</v>
      </c>
      <c r="K918" s="121">
        <v>150301</v>
      </c>
      <c r="L918" s="121">
        <f>H918-143620</f>
        <v>13380</v>
      </c>
      <c r="M918" s="121">
        <v>6681</v>
      </c>
      <c r="N918" s="123">
        <f t="shared" si="102"/>
        <v>4.2554140127388534E-2</v>
      </c>
      <c r="O918" s="124">
        <v>50.23</v>
      </c>
      <c r="P918" s="125">
        <v>133.22</v>
      </c>
      <c r="Q918" s="126">
        <v>0.153</v>
      </c>
      <c r="R918" s="126">
        <v>0.153</v>
      </c>
      <c r="S918" s="121">
        <f t="shared" si="103"/>
        <v>266.37467648815448</v>
      </c>
      <c r="T918" s="121">
        <f t="shared" si="104"/>
        <v>87450.980392156867</v>
      </c>
      <c r="U918" s="127">
        <f t="shared" si="105"/>
        <v>2.0075982642827563</v>
      </c>
      <c r="V918" s="126">
        <v>50</v>
      </c>
      <c r="W918" s="126">
        <f t="shared" si="106"/>
        <v>31400</v>
      </c>
      <c r="X918" s="126">
        <f t="shared" si="100"/>
        <v>628</v>
      </c>
      <c r="Y918" s="128" t="s">
        <v>1401</v>
      </c>
      <c r="Z918" s="119" t="s">
        <v>35</v>
      </c>
      <c r="AA918" s="119" t="s">
        <v>35</v>
      </c>
      <c r="AB918" s="119" t="s">
        <v>1402</v>
      </c>
      <c r="AC918" s="119">
        <v>0</v>
      </c>
      <c r="AD918" s="119">
        <v>1</v>
      </c>
      <c r="AE918" s="119" t="s">
        <v>412</v>
      </c>
      <c r="AF918" s="119" t="s">
        <v>35</v>
      </c>
      <c r="AG918" s="119" t="s">
        <v>38</v>
      </c>
      <c r="AH918" s="119" t="s">
        <v>92</v>
      </c>
    </row>
    <row r="919" spans="1:34" x14ac:dyDescent="0.3">
      <c r="A919" s="107" t="s">
        <v>1402</v>
      </c>
      <c r="B919" s="108" t="s">
        <v>1399</v>
      </c>
      <c r="C919" s="108" t="s">
        <v>1400</v>
      </c>
      <c r="D919" s="109">
        <v>45177</v>
      </c>
      <c r="E919" s="110">
        <v>260000</v>
      </c>
      <c r="F919" s="108" t="s">
        <v>32</v>
      </c>
      <c r="G919" s="108" t="s">
        <v>33</v>
      </c>
      <c r="H919" s="110">
        <v>260000</v>
      </c>
      <c r="I919" s="110">
        <v>86900</v>
      </c>
      <c r="J919" s="111">
        <f t="shared" si="101"/>
        <v>33.42307692307692</v>
      </c>
      <c r="K919" s="110">
        <v>218074</v>
      </c>
      <c r="L919" s="110">
        <f>H919-211449</f>
        <v>48551</v>
      </c>
      <c r="M919" s="110">
        <v>6625</v>
      </c>
      <c r="N919" s="112">
        <f t="shared" si="102"/>
        <v>2.548076923076923E-2</v>
      </c>
      <c r="O919" s="113">
        <v>49.81</v>
      </c>
      <c r="P919" s="114">
        <v>131</v>
      </c>
      <c r="Q919" s="115">
        <v>0.15</v>
      </c>
      <c r="R919" s="115">
        <v>0.15</v>
      </c>
      <c r="S919" s="110">
        <f t="shared" si="103"/>
        <v>974.72395101385257</v>
      </c>
      <c r="T919" s="110">
        <f t="shared" si="104"/>
        <v>323673.33333333337</v>
      </c>
      <c r="U919" s="116">
        <f t="shared" si="105"/>
        <v>7.4305172941536588</v>
      </c>
      <c r="V919" s="115">
        <v>50</v>
      </c>
      <c r="W919" s="115">
        <f t="shared" si="106"/>
        <v>52000</v>
      </c>
      <c r="X919" s="115">
        <f t="shared" si="100"/>
        <v>1040</v>
      </c>
      <c r="Y919" s="117" t="s">
        <v>1401</v>
      </c>
      <c r="Z919" s="108" t="s">
        <v>35</v>
      </c>
      <c r="AA919" s="108" t="s">
        <v>35</v>
      </c>
      <c r="AB919" s="108" t="s">
        <v>1402</v>
      </c>
      <c r="AC919" s="108">
        <v>0</v>
      </c>
      <c r="AD919" s="108">
        <v>1</v>
      </c>
      <c r="AE919" s="108" t="s">
        <v>412</v>
      </c>
      <c r="AF919" s="108" t="s">
        <v>43</v>
      </c>
      <c r="AG919" s="108" t="s">
        <v>38</v>
      </c>
      <c r="AH919" s="108" t="s">
        <v>92</v>
      </c>
    </row>
    <row r="920" spans="1:34" x14ac:dyDescent="0.3">
      <c r="A920" s="107" t="s">
        <v>2590</v>
      </c>
      <c r="B920" s="108" t="s">
        <v>2587</v>
      </c>
      <c r="C920" s="108" t="s">
        <v>2588</v>
      </c>
      <c r="D920" s="109">
        <v>45562</v>
      </c>
      <c r="E920" s="110">
        <v>169900</v>
      </c>
      <c r="F920" s="108" t="s">
        <v>32</v>
      </c>
      <c r="G920" s="108" t="s">
        <v>33</v>
      </c>
      <c r="H920" s="110">
        <v>169900</v>
      </c>
      <c r="I920" s="110">
        <v>86000</v>
      </c>
      <c r="J920" s="111">
        <f t="shared" si="101"/>
        <v>50.618010594467336</v>
      </c>
      <c r="K920" s="110">
        <v>185289</v>
      </c>
      <c r="L920" s="110">
        <f>H920-177695</f>
        <v>-7795</v>
      </c>
      <c r="M920" s="110">
        <v>7594</v>
      </c>
      <c r="N920" s="112">
        <f t="shared" si="102"/>
        <v>4.4696880517951738E-2</v>
      </c>
      <c r="O920" s="113">
        <v>51.66</v>
      </c>
      <c r="P920" s="114">
        <v>148.28</v>
      </c>
      <c r="Q920" s="115">
        <v>0.20399999999999999</v>
      </c>
      <c r="R920" s="115">
        <v>0.20399999999999999</v>
      </c>
      <c r="S920" s="110">
        <f t="shared" si="103"/>
        <v>-150.89043747580334</v>
      </c>
      <c r="T920" s="110">
        <f t="shared" si="104"/>
        <v>-38210.784313725489</v>
      </c>
      <c r="U920" s="116">
        <f t="shared" si="105"/>
        <v>-0.87719890527377153</v>
      </c>
      <c r="V920" s="115">
        <v>60</v>
      </c>
      <c r="W920" s="115">
        <f t="shared" si="106"/>
        <v>33980</v>
      </c>
      <c r="X920" s="115">
        <f t="shared" si="100"/>
        <v>566.33333333333337</v>
      </c>
      <c r="Y920" s="117" t="s">
        <v>2589</v>
      </c>
      <c r="Z920" s="108" t="s">
        <v>35</v>
      </c>
      <c r="AA920" s="108" t="s">
        <v>35</v>
      </c>
      <c r="AB920" s="108" t="s">
        <v>2590</v>
      </c>
      <c r="AC920" s="108">
        <v>0</v>
      </c>
      <c r="AD920" s="108">
        <v>1</v>
      </c>
      <c r="AE920" s="108" t="s">
        <v>42</v>
      </c>
      <c r="AF920" s="108" t="s">
        <v>35</v>
      </c>
      <c r="AG920" s="108" t="s">
        <v>38</v>
      </c>
      <c r="AH920" s="108" t="s">
        <v>92</v>
      </c>
    </row>
    <row r="921" spans="1:34" x14ac:dyDescent="0.3">
      <c r="A921" s="107" t="s">
        <v>558</v>
      </c>
      <c r="B921" s="108" t="s">
        <v>561</v>
      </c>
      <c r="C921" s="108" t="s">
        <v>562</v>
      </c>
      <c r="D921" s="109">
        <v>45044</v>
      </c>
      <c r="E921" s="110">
        <v>123000</v>
      </c>
      <c r="F921" s="108" t="s">
        <v>32</v>
      </c>
      <c r="G921" s="108" t="s">
        <v>33</v>
      </c>
      <c r="H921" s="110">
        <v>123000</v>
      </c>
      <c r="I921" s="110">
        <v>64200</v>
      </c>
      <c r="J921" s="111">
        <f t="shared" si="101"/>
        <v>52.195121951219512</v>
      </c>
      <c r="K921" s="110">
        <v>154537</v>
      </c>
      <c r="L921" s="110">
        <f>H921-143476</f>
        <v>-20476</v>
      </c>
      <c r="M921" s="110">
        <v>11061</v>
      </c>
      <c r="N921" s="112">
        <f t="shared" si="102"/>
        <v>8.992682926829268E-2</v>
      </c>
      <c r="O921" s="113">
        <v>64.3</v>
      </c>
      <c r="P921" s="114">
        <v>118.34</v>
      </c>
      <c r="Q921" s="115">
        <v>0.33500000000000002</v>
      </c>
      <c r="R921" s="115">
        <v>0.16800000000000001</v>
      </c>
      <c r="S921" s="110">
        <f t="shared" si="103"/>
        <v>-318.44479004665629</v>
      </c>
      <c r="T921" s="110">
        <f t="shared" si="104"/>
        <v>-61122.388059701487</v>
      </c>
      <c r="U921" s="116">
        <f t="shared" si="105"/>
        <v>-1.4031769527020543</v>
      </c>
      <c r="V921" s="115">
        <v>62</v>
      </c>
      <c r="W921" s="115">
        <f t="shared" si="106"/>
        <v>24600</v>
      </c>
      <c r="X921" s="115">
        <f t="shared" si="100"/>
        <v>396.77419354838707</v>
      </c>
      <c r="Y921" s="117" t="s">
        <v>557</v>
      </c>
      <c r="Z921" s="108" t="s">
        <v>35</v>
      </c>
      <c r="AA921" s="108" t="s">
        <v>35</v>
      </c>
      <c r="AB921" s="108" t="s">
        <v>558</v>
      </c>
      <c r="AC921" s="108">
        <v>0</v>
      </c>
      <c r="AD921" s="108">
        <v>1</v>
      </c>
      <c r="AE921" s="108" t="s">
        <v>37</v>
      </c>
      <c r="AF921" s="108" t="s">
        <v>43</v>
      </c>
      <c r="AG921" s="108" t="s">
        <v>38</v>
      </c>
      <c r="AH921" s="108" t="s">
        <v>92</v>
      </c>
    </row>
    <row r="922" spans="1:34" x14ac:dyDescent="0.3">
      <c r="A922" s="118" t="s">
        <v>558</v>
      </c>
      <c r="B922" s="119" t="s">
        <v>559</v>
      </c>
      <c r="C922" s="119" t="s">
        <v>560</v>
      </c>
      <c r="D922" s="120">
        <v>45524</v>
      </c>
      <c r="E922" s="121">
        <v>137000</v>
      </c>
      <c r="F922" s="119" t="s">
        <v>32</v>
      </c>
      <c r="G922" s="119" t="s">
        <v>33</v>
      </c>
      <c r="H922" s="121">
        <v>137000</v>
      </c>
      <c r="I922" s="121">
        <v>67600</v>
      </c>
      <c r="J922" s="122">
        <f t="shared" si="101"/>
        <v>49.343065693430653</v>
      </c>
      <c r="K922" s="121">
        <v>151788</v>
      </c>
      <c r="L922" s="121">
        <f>H922-141352</f>
        <v>-4352</v>
      </c>
      <c r="M922" s="121">
        <v>10436</v>
      </c>
      <c r="N922" s="123">
        <f t="shared" si="102"/>
        <v>7.6175182481751827E-2</v>
      </c>
      <c r="O922" s="124">
        <v>60.67</v>
      </c>
      <c r="P922" s="125">
        <v>105</v>
      </c>
      <c r="Q922" s="126">
        <v>0.15</v>
      </c>
      <c r="R922" s="126">
        <v>0.15</v>
      </c>
      <c r="S922" s="121">
        <f t="shared" si="103"/>
        <v>-71.732322399868139</v>
      </c>
      <c r="T922" s="121">
        <f t="shared" si="104"/>
        <v>-29013.333333333336</v>
      </c>
      <c r="U922" s="127">
        <f t="shared" si="105"/>
        <v>-0.66605448423630242</v>
      </c>
      <c r="V922" s="126">
        <v>62.1</v>
      </c>
      <c r="W922" s="126">
        <f t="shared" si="106"/>
        <v>27400</v>
      </c>
      <c r="X922" s="126">
        <f t="shared" si="100"/>
        <v>441.22383252818037</v>
      </c>
      <c r="Y922" s="128" t="s">
        <v>557</v>
      </c>
      <c r="Z922" s="119" t="s">
        <v>35</v>
      </c>
      <c r="AA922" s="119" t="s">
        <v>35</v>
      </c>
      <c r="AB922" s="119" t="s">
        <v>558</v>
      </c>
      <c r="AC922" s="119">
        <v>0</v>
      </c>
      <c r="AD922" s="119">
        <v>1</v>
      </c>
      <c r="AE922" s="119" t="s">
        <v>42</v>
      </c>
      <c r="AF922" s="119" t="s">
        <v>43</v>
      </c>
      <c r="AG922" s="119" t="s">
        <v>38</v>
      </c>
      <c r="AH922" s="119" t="s">
        <v>92</v>
      </c>
    </row>
    <row r="923" spans="1:34" x14ac:dyDescent="0.3">
      <c r="A923" s="118" t="s">
        <v>558</v>
      </c>
      <c r="B923" s="119" t="s">
        <v>571</v>
      </c>
      <c r="C923" s="119" t="s">
        <v>572</v>
      </c>
      <c r="D923" s="120">
        <v>45649</v>
      </c>
      <c r="E923" s="121">
        <v>117000</v>
      </c>
      <c r="F923" s="119" t="s">
        <v>32</v>
      </c>
      <c r="G923" s="119" t="s">
        <v>33</v>
      </c>
      <c r="H923" s="121">
        <v>117000</v>
      </c>
      <c r="I923" s="121">
        <v>58600</v>
      </c>
      <c r="J923" s="122">
        <f t="shared" si="101"/>
        <v>50.085470085470085</v>
      </c>
      <c r="K923" s="121">
        <v>132776</v>
      </c>
      <c r="L923" s="121">
        <f>H923-124640</f>
        <v>-7640</v>
      </c>
      <c r="M923" s="121">
        <v>8136</v>
      </c>
      <c r="N923" s="123">
        <f t="shared" si="102"/>
        <v>6.9538461538461535E-2</v>
      </c>
      <c r="O923" s="124">
        <v>47.3</v>
      </c>
      <c r="P923" s="125">
        <v>110</v>
      </c>
      <c r="Q923" s="126">
        <v>0.11899999999999999</v>
      </c>
      <c r="R923" s="126">
        <v>0.11899999999999999</v>
      </c>
      <c r="S923" s="121">
        <f t="shared" si="103"/>
        <v>-161.52219873150108</v>
      </c>
      <c r="T923" s="121">
        <f t="shared" si="104"/>
        <v>-64201.680672268907</v>
      </c>
      <c r="U923" s="127">
        <f t="shared" si="105"/>
        <v>-1.4738677840282117</v>
      </c>
      <c r="V923" s="126">
        <v>47.3</v>
      </c>
      <c r="W923" s="126">
        <f t="shared" si="106"/>
        <v>23400</v>
      </c>
      <c r="X923" s="126">
        <f t="shared" ref="X923:X986" si="107">W923/V923</f>
        <v>494.7145877378436</v>
      </c>
      <c r="Y923" s="128" t="s">
        <v>557</v>
      </c>
      <c r="Z923" s="119" t="s">
        <v>35</v>
      </c>
      <c r="AA923" s="119" t="s">
        <v>35</v>
      </c>
      <c r="AB923" s="119" t="s">
        <v>558</v>
      </c>
      <c r="AC923" s="119">
        <v>0</v>
      </c>
      <c r="AD923" s="119">
        <v>1</v>
      </c>
      <c r="AE923" s="119" t="s">
        <v>37</v>
      </c>
      <c r="AF923" s="119" t="s">
        <v>35</v>
      </c>
      <c r="AG923" s="119" t="s">
        <v>38</v>
      </c>
      <c r="AH923" s="119" t="s">
        <v>92</v>
      </c>
    </row>
    <row r="924" spans="1:34" x14ac:dyDescent="0.3">
      <c r="A924" s="107" t="s">
        <v>558</v>
      </c>
      <c r="B924" s="108" t="s">
        <v>567</v>
      </c>
      <c r="C924" s="108" t="s">
        <v>568</v>
      </c>
      <c r="D924" s="109">
        <v>45509</v>
      </c>
      <c r="E924" s="110">
        <v>165000</v>
      </c>
      <c r="F924" s="108" t="s">
        <v>32</v>
      </c>
      <c r="G924" s="108" t="s">
        <v>33</v>
      </c>
      <c r="H924" s="110">
        <v>165000</v>
      </c>
      <c r="I924" s="110">
        <v>69600</v>
      </c>
      <c r="J924" s="111">
        <f t="shared" si="101"/>
        <v>42.18181818181818</v>
      </c>
      <c r="K924" s="110">
        <v>156023</v>
      </c>
      <c r="L924" s="110">
        <f>H924-144838</f>
        <v>20162</v>
      </c>
      <c r="M924" s="110">
        <v>11185</v>
      </c>
      <c r="N924" s="112">
        <f t="shared" si="102"/>
        <v>6.7787878787878786E-2</v>
      </c>
      <c r="O924" s="113">
        <v>65.02</v>
      </c>
      <c r="P924" s="114">
        <v>121</v>
      </c>
      <c r="Q924" s="115">
        <v>0.17199999999999999</v>
      </c>
      <c r="R924" s="115">
        <v>0.17199999999999999</v>
      </c>
      <c r="S924" s="110">
        <f t="shared" si="103"/>
        <v>310.08920332205474</v>
      </c>
      <c r="T924" s="110">
        <f t="shared" si="104"/>
        <v>117220.93023255815</v>
      </c>
      <c r="U924" s="116">
        <f t="shared" si="105"/>
        <v>2.6910222734747049</v>
      </c>
      <c r="V924" s="115">
        <v>62</v>
      </c>
      <c r="W924" s="115">
        <f t="shared" si="106"/>
        <v>33000</v>
      </c>
      <c r="X924" s="115">
        <f t="shared" si="107"/>
        <v>532.25806451612902</v>
      </c>
      <c r="Y924" s="117" t="s">
        <v>557</v>
      </c>
      <c r="Z924" s="108" t="s">
        <v>35</v>
      </c>
      <c r="AA924" s="108" t="s">
        <v>35</v>
      </c>
      <c r="AB924" s="108" t="s">
        <v>558</v>
      </c>
      <c r="AC924" s="108">
        <v>0</v>
      </c>
      <c r="AD924" s="108">
        <v>1</v>
      </c>
      <c r="AE924" s="108" t="s">
        <v>412</v>
      </c>
      <c r="AF924" s="108" t="s">
        <v>43</v>
      </c>
      <c r="AG924" s="108" t="s">
        <v>38</v>
      </c>
      <c r="AH924" s="108" t="s">
        <v>92</v>
      </c>
    </row>
    <row r="925" spans="1:34" x14ac:dyDescent="0.3">
      <c r="A925" s="118" t="s">
        <v>558</v>
      </c>
      <c r="B925" s="119" t="s">
        <v>565</v>
      </c>
      <c r="C925" s="119" t="s">
        <v>566</v>
      </c>
      <c r="D925" s="120">
        <v>45288</v>
      </c>
      <c r="E925" s="121">
        <v>140000</v>
      </c>
      <c r="F925" s="119" t="s">
        <v>32</v>
      </c>
      <c r="G925" s="119" t="s">
        <v>33</v>
      </c>
      <c r="H925" s="121">
        <v>140000</v>
      </c>
      <c r="I925" s="121">
        <v>55500</v>
      </c>
      <c r="J925" s="122">
        <f t="shared" si="101"/>
        <v>39.642857142857139</v>
      </c>
      <c r="K925" s="121">
        <v>134764</v>
      </c>
      <c r="L925" s="121">
        <f>H925-126537</f>
        <v>13463</v>
      </c>
      <c r="M925" s="121">
        <v>8227</v>
      </c>
      <c r="N925" s="123">
        <f t="shared" si="102"/>
        <v>5.8764285714285713E-2</v>
      </c>
      <c r="O925" s="124">
        <v>47.83</v>
      </c>
      <c r="P925" s="125">
        <v>105.99</v>
      </c>
      <c r="Q925" s="126">
        <v>0.11600000000000001</v>
      </c>
      <c r="R925" s="126">
        <v>0.11600000000000001</v>
      </c>
      <c r="S925" s="121">
        <f t="shared" si="103"/>
        <v>281.47606104955048</v>
      </c>
      <c r="T925" s="121">
        <f t="shared" si="104"/>
        <v>116060.3448275862</v>
      </c>
      <c r="U925" s="127">
        <f t="shared" si="105"/>
        <v>2.6643788987049173</v>
      </c>
      <c r="V925" s="126">
        <v>50.59</v>
      </c>
      <c r="W925" s="126">
        <f t="shared" si="106"/>
        <v>28000</v>
      </c>
      <c r="X925" s="126">
        <f t="shared" si="107"/>
        <v>553.46906503261505</v>
      </c>
      <c r="Y925" s="128" t="s">
        <v>557</v>
      </c>
      <c r="Z925" s="119" t="s">
        <v>35</v>
      </c>
      <c r="AA925" s="119" t="s">
        <v>35</v>
      </c>
      <c r="AB925" s="119" t="s">
        <v>558</v>
      </c>
      <c r="AC925" s="119">
        <v>0</v>
      </c>
      <c r="AD925" s="119">
        <v>1</v>
      </c>
      <c r="AE925" s="119" t="s">
        <v>37</v>
      </c>
      <c r="AF925" s="119" t="s">
        <v>43</v>
      </c>
      <c r="AG925" s="119" t="s">
        <v>38</v>
      </c>
      <c r="AH925" s="119" t="s">
        <v>92</v>
      </c>
    </row>
    <row r="926" spans="1:34" x14ac:dyDescent="0.3">
      <c r="A926" s="107" t="s">
        <v>558</v>
      </c>
      <c r="B926" s="108" t="s">
        <v>569</v>
      </c>
      <c r="C926" s="108" t="s">
        <v>570</v>
      </c>
      <c r="D926" s="109">
        <v>45730</v>
      </c>
      <c r="E926" s="110">
        <v>164900</v>
      </c>
      <c r="F926" s="108" t="s">
        <v>32</v>
      </c>
      <c r="G926" s="108" t="s">
        <v>33</v>
      </c>
      <c r="H926" s="110">
        <v>164900</v>
      </c>
      <c r="I926" s="110">
        <v>64200</v>
      </c>
      <c r="J926" s="111">
        <f t="shared" si="101"/>
        <v>38.93268647665252</v>
      </c>
      <c r="K926" s="110">
        <v>144883</v>
      </c>
      <c r="L926" s="110">
        <f>H926-136725</f>
        <v>28175</v>
      </c>
      <c r="M926" s="110">
        <v>8158</v>
      </c>
      <c r="N926" s="112">
        <f t="shared" si="102"/>
        <v>4.9472407519708918E-2</v>
      </c>
      <c r="O926" s="113">
        <v>47.42</v>
      </c>
      <c r="P926" s="114">
        <v>104.05</v>
      </c>
      <c r="Q926" s="115">
        <v>0.114</v>
      </c>
      <c r="R926" s="115">
        <v>0.114</v>
      </c>
      <c r="S926" s="110">
        <f t="shared" si="103"/>
        <v>594.15858287642345</v>
      </c>
      <c r="T926" s="110">
        <f t="shared" si="104"/>
        <v>247149.12280701753</v>
      </c>
      <c r="U926" s="116">
        <f t="shared" si="105"/>
        <v>5.6737631498397043</v>
      </c>
      <c r="V926" s="115">
        <v>50.6</v>
      </c>
      <c r="W926" s="115">
        <f t="shared" si="106"/>
        <v>32980</v>
      </c>
      <c r="X926" s="115">
        <f t="shared" si="107"/>
        <v>651.77865612648225</v>
      </c>
      <c r="Y926" s="117" t="s">
        <v>557</v>
      </c>
      <c r="Z926" s="108" t="s">
        <v>35</v>
      </c>
      <c r="AA926" s="108" t="s">
        <v>35</v>
      </c>
      <c r="AB926" s="108" t="s">
        <v>558</v>
      </c>
      <c r="AC926" s="108">
        <v>0</v>
      </c>
      <c r="AD926" s="108">
        <v>1</v>
      </c>
      <c r="AE926" s="108" t="s">
        <v>37</v>
      </c>
      <c r="AF926" s="108" t="s">
        <v>35</v>
      </c>
      <c r="AG926" s="108" t="s">
        <v>38</v>
      </c>
      <c r="AH926" s="108" t="s">
        <v>92</v>
      </c>
    </row>
    <row r="927" spans="1:34" x14ac:dyDescent="0.3">
      <c r="A927" s="107" t="s">
        <v>558</v>
      </c>
      <c r="B927" s="108" t="s">
        <v>563</v>
      </c>
      <c r="C927" s="108" t="s">
        <v>564</v>
      </c>
      <c r="D927" s="109">
        <v>45071</v>
      </c>
      <c r="E927" s="110">
        <v>135000</v>
      </c>
      <c r="F927" s="108" t="s">
        <v>32</v>
      </c>
      <c r="G927" s="108" t="s">
        <v>33</v>
      </c>
      <c r="H927" s="110">
        <v>135000</v>
      </c>
      <c r="I927" s="110">
        <v>54800</v>
      </c>
      <c r="J927" s="111">
        <f t="shared" si="101"/>
        <v>40.592592592592588</v>
      </c>
      <c r="K927" s="110">
        <v>133360</v>
      </c>
      <c r="L927" s="110">
        <f>H927-124640</f>
        <v>10360</v>
      </c>
      <c r="M927" s="110">
        <v>8720</v>
      </c>
      <c r="N927" s="112">
        <f t="shared" si="102"/>
        <v>6.459259259259259E-2</v>
      </c>
      <c r="O927" s="113">
        <v>50.7</v>
      </c>
      <c r="P927" s="114">
        <v>103.21</v>
      </c>
      <c r="Q927" s="115">
        <v>0.14099999999999999</v>
      </c>
      <c r="R927" s="115">
        <v>0.14099999999999999</v>
      </c>
      <c r="S927" s="110">
        <f t="shared" si="103"/>
        <v>204.33925049309664</v>
      </c>
      <c r="T927" s="110">
        <f t="shared" si="104"/>
        <v>73475.177304964542</v>
      </c>
      <c r="U927" s="116">
        <f t="shared" si="105"/>
        <v>1.6867579730248976</v>
      </c>
      <c r="V927" s="115">
        <v>37.729999999999997</v>
      </c>
      <c r="W927" s="115">
        <f t="shared" si="106"/>
        <v>27000</v>
      </c>
      <c r="X927" s="115">
        <f t="shared" si="107"/>
        <v>715.61091969255244</v>
      </c>
      <c r="Y927" s="117" t="s">
        <v>557</v>
      </c>
      <c r="Z927" s="108" t="s">
        <v>35</v>
      </c>
      <c r="AA927" s="108" t="s">
        <v>35</v>
      </c>
      <c r="AB927" s="108" t="s">
        <v>558</v>
      </c>
      <c r="AC927" s="108">
        <v>0</v>
      </c>
      <c r="AD927" s="108">
        <v>1</v>
      </c>
      <c r="AE927" s="108" t="s">
        <v>37</v>
      </c>
      <c r="AF927" s="108" t="s">
        <v>43</v>
      </c>
      <c r="AG927" s="108" t="s">
        <v>38</v>
      </c>
      <c r="AH927" s="108" t="s">
        <v>92</v>
      </c>
    </row>
    <row r="928" spans="1:34" x14ac:dyDescent="0.3">
      <c r="A928" s="118" t="s">
        <v>558</v>
      </c>
      <c r="B928" s="119" t="s">
        <v>563</v>
      </c>
      <c r="C928" s="119" t="s">
        <v>564</v>
      </c>
      <c r="D928" s="120">
        <v>45548</v>
      </c>
      <c r="E928" s="121">
        <v>140000</v>
      </c>
      <c r="F928" s="119" t="s">
        <v>32</v>
      </c>
      <c r="G928" s="119" t="s">
        <v>33</v>
      </c>
      <c r="H928" s="121">
        <v>140000</v>
      </c>
      <c r="I928" s="121">
        <v>58900</v>
      </c>
      <c r="J928" s="122">
        <f t="shared" si="101"/>
        <v>42.071428571428569</v>
      </c>
      <c r="K928" s="121">
        <v>133360</v>
      </c>
      <c r="L928" s="121">
        <f>H928-124640</f>
        <v>15360</v>
      </c>
      <c r="M928" s="121">
        <v>8720</v>
      </c>
      <c r="N928" s="123">
        <f t="shared" si="102"/>
        <v>6.2285714285714285E-2</v>
      </c>
      <c r="O928" s="124">
        <v>50.7</v>
      </c>
      <c r="P928" s="125">
        <v>103.21</v>
      </c>
      <c r="Q928" s="126">
        <v>0.14099999999999999</v>
      </c>
      <c r="R928" s="126">
        <v>0.14099999999999999</v>
      </c>
      <c r="S928" s="121">
        <f t="shared" si="103"/>
        <v>302.95857988165676</v>
      </c>
      <c r="T928" s="121">
        <f t="shared" si="104"/>
        <v>108936.17021276597</v>
      </c>
      <c r="U928" s="127">
        <f t="shared" si="105"/>
        <v>2.50083035382842</v>
      </c>
      <c r="V928" s="126">
        <v>37.729999999999997</v>
      </c>
      <c r="W928" s="126">
        <f t="shared" si="106"/>
        <v>28000</v>
      </c>
      <c r="X928" s="126">
        <f t="shared" si="107"/>
        <v>742.11502782931359</v>
      </c>
      <c r="Y928" s="128" t="s">
        <v>557</v>
      </c>
      <c r="Z928" s="119" t="s">
        <v>35</v>
      </c>
      <c r="AA928" s="119" t="s">
        <v>35</v>
      </c>
      <c r="AB928" s="119" t="s">
        <v>558</v>
      </c>
      <c r="AC928" s="119">
        <v>0</v>
      </c>
      <c r="AD928" s="119">
        <v>1</v>
      </c>
      <c r="AE928" s="119" t="s">
        <v>37</v>
      </c>
      <c r="AF928" s="119" t="s">
        <v>43</v>
      </c>
      <c r="AG928" s="119" t="s">
        <v>38</v>
      </c>
      <c r="AH928" s="119" t="s">
        <v>92</v>
      </c>
    </row>
    <row r="929" spans="1:34" x14ac:dyDescent="0.3">
      <c r="A929" s="118" t="s">
        <v>558</v>
      </c>
      <c r="B929" s="119" t="s">
        <v>555</v>
      </c>
      <c r="C929" s="119" t="s">
        <v>556</v>
      </c>
      <c r="D929" s="120">
        <v>45373</v>
      </c>
      <c r="E929" s="121">
        <v>175000</v>
      </c>
      <c r="F929" s="119" t="s">
        <v>32</v>
      </c>
      <c r="G929" s="119" t="s">
        <v>33</v>
      </c>
      <c r="H929" s="121">
        <v>175000</v>
      </c>
      <c r="I929" s="121">
        <v>60100</v>
      </c>
      <c r="J929" s="122">
        <f t="shared" si="101"/>
        <v>34.342857142857142</v>
      </c>
      <c r="K929" s="121">
        <v>145985</v>
      </c>
      <c r="L929" s="121">
        <f>H929-138551</f>
        <v>36449</v>
      </c>
      <c r="M929" s="121">
        <v>7434</v>
      </c>
      <c r="N929" s="123">
        <f t="shared" si="102"/>
        <v>4.2479999999999997E-2</v>
      </c>
      <c r="O929" s="124">
        <v>43.22</v>
      </c>
      <c r="P929" s="125">
        <v>105</v>
      </c>
      <c r="Q929" s="126">
        <v>0.107</v>
      </c>
      <c r="R929" s="126">
        <v>0.107</v>
      </c>
      <c r="S929" s="121">
        <f t="shared" si="103"/>
        <v>843.33641832484966</v>
      </c>
      <c r="T929" s="121">
        <f t="shared" si="104"/>
        <v>340644.85981308413</v>
      </c>
      <c r="U929" s="127">
        <f t="shared" si="105"/>
        <v>7.8201299314298467</v>
      </c>
      <c r="V929" s="126">
        <v>44.24</v>
      </c>
      <c r="W929" s="126">
        <f t="shared" si="106"/>
        <v>35000</v>
      </c>
      <c r="X929" s="126">
        <f t="shared" si="107"/>
        <v>791.13924050632909</v>
      </c>
      <c r="Y929" s="128" t="s">
        <v>557</v>
      </c>
      <c r="Z929" s="119" t="s">
        <v>35</v>
      </c>
      <c r="AA929" s="119" t="s">
        <v>35</v>
      </c>
      <c r="AB929" s="119" t="s">
        <v>558</v>
      </c>
      <c r="AC929" s="119">
        <v>0</v>
      </c>
      <c r="AD929" s="119">
        <v>1</v>
      </c>
      <c r="AE929" s="119" t="s">
        <v>42</v>
      </c>
      <c r="AF929" s="119" t="s">
        <v>43</v>
      </c>
      <c r="AG929" s="119" t="s">
        <v>38</v>
      </c>
      <c r="AH929" s="119" t="s">
        <v>92</v>
      </c>
    </row>
    <row r="930" spans="1:34" x14ac:dyDescent="0.3">
      <c r="A930" s="107" t="s">
        <v>1577</v>
      </c>
      <c r="B930" s="108" t="s">
        <v>1578</v>
      </c>
      <c r="C930" s="108" t="s">
        <v>1579</v>
      </c>
      <c r="D930" s="109">
        <v>45209</v>
      </c>
      <c r="E930" s="110">
        <v>144900</v>
      </c>
      <c r="F930" s="108" t="s">
        <v>32</v>
      </c>
      <c r="G930" s="108" t="s">
        <v>33</v>
      </c>
      <c r="H930" s="110">
        <v>144900</v>
      </c>
      <c r="I930" s="110">
        <v>49600</v>
      </c>
      <c r="J930" s="111">
        <f t="shared" si="101"/>
        <v>34.230503795721184</v>
      </c>
      <c r="K930" s="110">
        <v>123393</v>
      </c>
      <c r="L930" s="110">
        <f>H930-112553</f>
        <v>32347</v>
      </c>
      <c r="M930" s="110">
        <v>10840</v>
      </c>
      <c r="N930" s="112">
        <f t="shared" si="102"/>
        <v>7.4810213940648726E-2</v>
      </c>
      <c r="O930" s="113">
        <v>41.21</v>
      </c>
      <c r="P930" s="114">
        <v>181</v>
      </c>
      <c r="Q930" s="115">
        <v>0.17899999999999999</v>
      </c>
      <c r="R930" s="115">
        <v>0.17899999999999999</v>
      </c>
      <c r="S930" s="110">
        <f t="shared" si="103"/>
        <v>784.93084202863383</v>
      </c>
      <c r="T930" s="110">
        <f t="shared" si="104"/>
        <v>180709.49720670391</v>
      </c>
      <c r="U930" s="116">
        <f t="shared" si="105"/>
        <v>4.1485192196213019</v>
      </c>
      <c r="V930" s="115">
        <v>43</v>
      </c>
      <c r="W930" s="115">
        <f t="shared" si="106"/>
        <v>28980</v>
      </c>
      <c r="X930" s="115">
        <f t="shared" si="107"/>
        <v>673.95348837209303</v>
      </c>
      <c r="Y930" s="117" t="s">
        <v>1576</v>
      </c>
      <c r="Z930" s="108" t="s">
        <v>35</v>
      </c>
      <c r="AA930" s="108" t="s">
        <v>35</v>
      </c>
      <c r="AB930" s="108" t="s">
        <v>1577</v>
      </c>
      <c r="AC930" s="108">
        <v>0</v>
      </c>
      <c r="AD930" s="108">
        <v>1</v>
      </c>
      <c r="AE930" s="108" t="s">
        <v>37</v>
      </c>
      <c r="AF930" s="108" t="s">
        <v>43</v>
      </c>
      <c r="AG930" s="108" t="s">
        <v>38</v>
      </c>
      <c r="AH930" s="108" t="s">
        <v>92</v>
      </c>
    </row>
    <row r="931" spans="1:34" x14ac:dyDescent="0.3">
      <c r="A931" s="107" t="s">
        <v>1577</v>
      </c>
      <c r="B931" s="108" t="s">
        <v>1574</v>
      </c>
      <c r="C931" s="108" t="s">
        <v>1575</v>
      </c>
      <c r="D931" s="109">
        <v>45681</v>
      </c>
      <c r="E931" s="110">
        <v>157000</v>
      </c>
      <c r="F931" s="108" t="s">
        <v>32</v>
      </c>
      <c r="G931" s="108" t="s">
        <v>33</v>
      </c>
      <c r="H931" s="110">
        <v>157000</v>
      </c>
      <c r="I931" s="110">
        <v>46900</v>
      </c>
      <c r="J931" s="111">
        <f t="shared" si="101"/>
        <v>29.872611464968152</v>
      </c>
      <c r="K931" s="110">
        <v>119375</v>
      </c>
      <c r="L931" s="110">
        <f>H931-108535</f>
        <v>48465</v>
      </c>
      <c r="M931" s="110">
        <v>10840</v>
      </c>
      <c r="N931" s="112">
        <f t="shared" si="102"/>
        <v>6.9044585987261153E-2</v>
      </c>
      <c r="O931" s="113">
        <v>41.21</v>
      </c>
      <c r="P931" s="114">
        <v>181</v>
      </c>
      <c r="Q931" s="115">
        <v>0.17899999999999999</v>
      </c>
      <c r="R931" s="115">
        <v>0.17899999999999999</v>
      </c>
      <c r="S931" s="110">
        <f t="shared" si="103"/>
        <v>1176.0495025479252</v>
      </c>
      <c r="T931" s="110">
        <f t="shared" si="104"/>
        <v>270754.18994413409</v>
      </c>
      <c r="U931" s="116">
        <f t="shared" si="105"/>
        <v>6.2156609261738769</v>
      </c>
      <c r="V931" s="115">
        <v>43</v>
      </c>
      <c r="W931" s="115">
        <f t="shared" si="106"/>
        <v>31400</v>
      </c>
      <c r="X931" s="115">
        <f t="shared" si="107"/>
        <v>730.23255813953483</v>
      </c>
      <c r="Y931" s="117" t="s">
        <v>1576</v>
      </c>
      <c r="Z931" s="108" t="s">
        <v>35</v>
      </c>
      <c r="AA931" s="108" t="s">
        <v>35</v>
      </c>
      <c r="AB931" s="108" t="s">
        <v>1577</v>
      </c>
      <c r="AC931" s="108">
        <v>0</v>
      </c>
      <c r="AD931" s="108">
        <v>1</v>
      </c>
      <c r="AE931" s="108" t="s">
        <v>42</v>
      </c>
      <c r="AF931" s="108" t="s">
        <v>35</v>
      </c>
      <c r="AG931" s="108" t="s">
        <v>38</v>
      </c>
      <c r="AH931" s="108" t="s">
        <v>92</v>
      </c>
    </row>
    <row r="932" spans="1:34" x14ac:dyDescent="0.3">
      <c r="A932" s="118" t="s">
        <v>601</v>
      </c>
      <c r="B932" s="119" t="s">
        <v>602</v>
      </c>
      <c r="C932" s="119" t="s">
        <v>603</v>
      </c>
      <c r="D932" s="120">
        <v>45078</v>
      </c>
      <c r="E932" s="121">
        <v>35000</v>
      </c>
      <c r="F932" s="119" t="s">
        <v>32</v>
      </c>
      <c r="G932" s="119" t="s">
        <v>33</v>
      </c>
      <c r="H932" s="121">
        <v>35000</v>
      </c>
      <c r="I932" s="121">
        <v>13000</v>
      </c>
      <c r="J932" s="122">
        <f t="shared" si="101"/>
        <v>37.142857142857146</v>
      </c>
      <c r="K932" s="121">
        <v>29770</v>
      </c>
      <c r="L932" s="121">
        <f>H932-0</f>
        <v>35000</v>
      </c>
      <c r="M932" s="121">
        <v>29770</v>
      </c>
      <c r="N932" s="123">
        <f t="shared" si="102"/>
        <v>0.85057142857142853</v>
      </c>
      <c r="O932" s="124">
        <v>65</v>
      </c>
      <c r="P932" s="125">
        <v>120</v>
      </c>
      <c r="Q932" s="126">
        <v>0.17899999999999999</v>
      </c>
      <c r="R932" s="126">
        <v>0.17899999999999999</v>
      </c>
      <c r="S932" s="121">
        <f t="shared" si="103"/>
        <v>538.46153846153845</v>
      </c>
      <c r="T932" s="121">
        <f t="shared" si="104"/>
        <v>195530.72625698324</v>
      </c>
      <c r="U932" s="127">
        <f t="shared" si="105"/>
        <v>4.4887678204082473</v>
      </c>
      <c r="V932" s="126">
        <v>65</v>
      </c>
      <c r="W932" s="126">
        <f t="shared" si="106"/>
        <v>7000</v>
      </c>
      <c r="X932" s="126">
        <f t="shared" si="107"/>
        <v>107.69230769230769</v>
      </c>
      <c r="Y932" s="128" t="s">
        <v>600</v>
      </c>
      <c r="Z932" s="119" t="s">
        <v>35</v>
      </c>
      <c r="AA932" s="119" t="s">
        <v>35</v>
      </c>
      <c r="AB932" s="119" t="s">
        <v>601</v>
      </c>
      <c r="AC932" s="119">
        <v>0</v>
      </c>
      <c r="AD932" s="119">
        <v>1</v>
      </c>
      <c r="AE932" s="119" t="s">
        <v>37</v>
      </c>
      <c r="AF932" s="119" t="s">
        <v>43</v>
      </c>
      <c r="AG932" s="119" t="s">
        <v>61</v>
      </c>
      <c r="AH932" s="119" t="s">
        <v>92</v>
      </c>
    </row>
    <row r="933" spans="1:34" x14ac:dyDescent="0.3">
      <c r="A933" s="118" t="s">
        <v>601</v>
      </c>
      <c r="B933" s="119" t="s">
        <v>598</v>
      </c>
      <c r="C933" s="119" t="s">
        <v>599</v>
      </c>
      <c r="D933" s="120">
        <v>45079</v>
      </c>
      <c r="E933" s="121">
        <v>320000</v>
      </c>
      <c r="F933" s="119" t="s">
        <v>32</v>
      </c>
      <c r="G933" s="119" t="s">
        <v>33</v>
      </c>
      <c r="H933" s="121">
        <v>320000</v>
      </c>
      <c r="I933" s="121">
        <v>144000</v>
      </c>
      <c r="J933" s="122">
        <f t="shared" si="101"/>
        <v>45</v>
      </c>
      <c r="K933" s="121">
        <v>341226</v>
      </c>
      <c r="L933" s="121">
        <f>H933-311456</f>
        <v>8544</v>
      </c>
      <c r="M933" s="121">
        <v>29770</v>
      </c>
      <c r="N933" s="123">
        <f t="shared" si="102"/>
        <v>9.3031249999999996E-2</v>
      </c>
      <c r="O933" s="124">
        <v>65</v>
      </c>
      <c r="P933" s="125">
        <v>120</v>
      </c>
      <c r="Q933" s="126">
        <v>0.17899999999999999</v>
      </c>
      <c r="R933" s="126">
        <v>0.17899999999999999</v>
      </c>
      <c r="S933" s="121">
        <f t="shared" si="103"/>
        <v>131.44615384615383</v>
      </c>
      <c r="T933" s="121">
        <f t="shared" si="104"/>
        <v>47731.843575419</v>
      </c>
      <c r="U933" s="127">
        <f t="shared" si="105"/>
        <v>1.0957723502162304</v>
      </c>
      <c r="V933" s="126">
        <v>65</v>
      </c>
      <c r="W933" s="126">
        <f t="shared" si="106"/>
        <v>64000</v>
      </c>
      <c r="X933" s="126">
        <f t="shared" si="107"/>
        <v>984.61538461538464</v>
      </c>
      <c r="Y933" s="128" t="s">
        <v>600</v>
      </c>
      <c r="Z933" s="119" t="s">
        <v>35</v>
      </c>
      <c r="AA933" s="119" t="s">
        <v>35</v>
      </c>
      <c r="AB933" s="119" t="s">
        <v>601</v>
      </c>
      <c r="AC933" s="119">
        <v>0</v>
      </c>
      <c r="AD933" s="119">
        <v>1</v>
      </c>
      <c r="AE933" s="119" t="s">
        <v>37</v>
      </c>
      <c r="AF933" s="119" t="s">
        <v>43</v>
      </c>
      <c r="AG933" s="119" t="s">
        <v>38</v>
      </c>
      <c r="AH933" s="119" t="s">
        <v>92</v>
      </c>
    </row>
    <row r="934" spans="1:34" x14ac:dyDescent="0.3">
      <c r="A934" s="107" t="s">
        <v>192</v>
      </c>
      <c r="B934" s="108" t="s">
        <v>199</v>
      </c>
      <c r="C934" s="108" t="s">
        <v>200</v>
      </c>
      <c r="D934" s="109">
        <v>45519</v>
      </c>
      <c r="E934" s="110">
        <v>4500</v>
      </c>
      <c r="F934" s="108" t="s">
        <v>32</v>
      </c>
      <c r="G934" s="108" t="s">
        <v>33</v>
      </c>
      <c r="H934" s="110">
        <v>4500</v>
      </c>
      <c r="I934" s="110">
        <v>3400</v>
      </c>
      <c r="J934" s="111">
        <f t="shared" si="101"/>
        <v>75.555555555555557</v>
      </c>
      <c r="K934" s="110">
        <v>6815</v>
      </c>
      <c r="L934" s="110">
        <f>H934-0</f>
        <v>4500</v>
      </c>
      <c r="M934" s="110">
        <v>6815</v>
      </c>
      <c r="N934" s="112">
        <f t="shared" si="102"/>
        <v>1.5144444444444445</v>
      </c>
      <c r="O934" s="113">
        <v>40.08</v>
      </c>
      <c r="P934" s="114">
        <v>115.5</v>
      </c>
      <c r="Q934" s="115">
        <v>0.106</v>
      </c>
      <c r="R934" s="115">
        <v>0.106</v>
      </c>
      <c r="S934" s="110">
        <f t="shared" si="103"/>
        <v>112.27544910179641</v>
      </c>
      <c r="T934" s="110">
        <f t="shared" si="104"/>
        <v>42452.830188679247</v>
      </c>
      <c r="U934" s="116">
        <f t="shared" si="105"/>
        <v>0.97458287852799008</v>
      </c>
      <c r="V934" s="115">
        <v>40</v>
      </c>
      <c r="W934" s="115">
        <f t="shared" si="106"/>
        <v>900</v>
      </c>
      <c r="X934" s="115">
        <f t="shared" si="107"/>
        <v>22.5</v>
      </c>
      <c r="Y934" s="117" t="s">
        <v>191</v>
      </c>
      <c r="Z934" s="108" t="s">
        <v>35</v>
      </c>
      <c r="AA934" s="108" t="s">
        <v>35</v>
      </c>
      <c r="AB934" s="108" t="s">
        <v>192</v>
      </c>
      <c r="AC934" s="108">
        <v>0</v>
      </c>
      <c r="AD934" s="108">
        <v>0</v>
      </c>
      <c r="AE934" s="108" t="s">
        <v>37</v>
      </c>
      <c r="AF934" s="108" t="s">
        <v>43</v>
      </c>
      <c r="AG934" s="108" t="s">
        <v>61</v>
      </c>
      <c r="AH934" s="108" t="s">
        <v>92</v>
      </c>
    </row>
    <row r="935" spans="1:34" x14ac:dyDescent="0.3">
      <c r="A935" s="107" t="s">
        <v>192</v>
      </c>
      <c r="B935" s="108" t="s">
        <v>201</v>
      </c>
      <c r="C935" s="108" t="s">
        <v>202</v>
      </c>
      <c r="D935" s="109">
        <v>45117</v>
      </c>
      <c r="E935" s="110">
        <v>170000</v>
      </c>
      <c r="F935" s="108" t="s">
        <v>32</v>
      </c>
      <c r="G935" s="108" t="s">
        <v>33</v>
      </c>
      <c r="H935" s="110">
        <v>170000</v>
      </c>
      <c r="I935" s="110">
        <v>73800</v>
      </c>
      <c r="J935" s="111">
        <f t="shared" si="101"/>
        <v>43.411764705882355</v>
      </c>
      <c r="K935" s="110">
        <v>193696</v>
      </c>
      <c r="L935" s="110">
        <f>H935-173252</f>
        <v>-3252</v>
      </c>
      <c r="M935" s="110">
        <v>20444</v>
      </c>
      <c r="N935" s="112">
        <f t="shared" si="102"/>
        <v>0.12025882352941177</v>
      </c>
      <c r="O935" s="113">
        <v>120.26</v>
      </c>
      <c r="P935" s="114">
        <v>115.5</v>
      </c>
      <c r="Q935" s="115">
        <v>0.318</v>
      </c>
      <c r="R935" s="115">
        <v>0.318</v>
      </c>
      <c r="S935" s="110">
        <f t="shared" si="103"/>
        <v>-27.041410277731579</v>
      </c>
      <c r="T935" s="110">
        <f t="shared" si="104"/>
        <v>-10226.415094339622</v>
      </c>
      <c r="U935" s="116">
        <f t="shared" si="105"/>
        <v>-0.23476618673874247</v>
      </c>
      <c r="V935" s="115">
        <v>120</v>
      </c>
      <c r="W935" s="115">
        <f t="shared" si="106"/>
        <v>34000</v>
      </c>
      <c r="X935" s="115">
        <f t="shared" si="107"/>
        <v>283.33333333333331</v>
      </c>
      <c r="Y935" s="117" t="s">
        <v>191</v>
      </c>
      <c r="Z935" s="108" t="s">
        <v>35</v>
      </c>
      <c r="AA935" s="108" t="s">
        <v>35</v>
      </c>
      <c r="AB935" s="108" t="s">
        <v>192</v>
      </c>
      <c r="AC935" s="108">
        <v>0</v>
      </c>
      <c r="AD935" s="108">
        <v>1</v>
      </c>
      <c r="AE935" s="108" t="s">
        <v>42</v>
      </c>
      <c r="AF935" s="108" t="s">
        <v>43</v>
      </c>
      <c r="AG935" s="108" t="s">
        <v>38</v>
      </c>
      <c r="AH935" s="108" t="s">
        <v>92</v>
      </c>
    </row>
    <row r="936" spans="1:34" x14ac:dyDescent="0.3">
      <c r="A936" s="107" t="s">
        <v>192</v>
      </c>
      <c r="B936" s="108" t="s">
        <v>189</v>
      </c>
      <c r="C936" s="108" t="s">
        <v>190</v>
      </c>
      <c r="D936" s="109">
        <v>45562</v>
      </c>
      <c r="E936" s="110">
        <v>167300</v>
      </c>
      <c r="F936" s="108" t="s">
        <v>32</v>
      </c>
      <c r="G936" s="108" t="s">
        <v>33</v>
      </c>
      <c r="H936" s="110">
        <v>167300</v>
      </c>
      <c r="I936" s="110">
        <v>34900</v>
      </c>
      <c r="J936" s="111">
        <f t="shared" si="101"/>
        <v>20.860729228930065</v>
      </c>
      <c r="K936" s="110">
        <v>73571</v>
      </c>
      <c r="L936" s="110">
        <f>H936-53818</f>
        <v>113482</v>
      </c>
      <c r="M936" s="110">
        <v>19753</v>
      </c>
      <c r="N936" s="112">
        <f t="shared" si="102"/>
        <v>0.11806933652121937</v>
      </c>
      <c r="O936" s="113">
        <v>116.19</v>
      </c>
      <c r="P936" s="114">
        <v>120.52</v>
      </c>
      <c r="Q936" s="115">
        <v>0.314</v>
      </c>
      <c r="R936" s="115">
        <v>0.314</v>
      </c>
      <c r="S936" s="110">
        <f t="shared" si="103"/>
        <v>976.69334710388159</v>
      </c>
      <c r="T936" s="110">
        <f t="shared" si="104"/>
        <v>361407.64331210189</v>
      </c>
      <c r="U936" s="116">
        <f t="shared" si="105"/>
        <v>8.2967778538131753</v>
      </c>
      <c r="V936" s="115">
        <v>113.5</v>
      </c>
      <c r="W936" s="115">
        <f t="shared" si="106"/>
        <v>33460</v>
      </c>
      <c r="X936" s="115">
        <f t="shared" si="107"/>
        <v>294.80176211453744</v>
      </c>
      <c r="Y936" s="117" t="s">
        <v>191</v>
      </c>
      <c r="Z936" s="108" t="s">
        <v>35</v>
      </c>
      <c r="AA936" s="108" t="s">
        <v>35</v>
      </c>
      <c r="AB936" s="108" t="s">
        <v>192</v>
      </c>
      <c r="AC936" s="108">
        <v>0</v>
      </c>
      <c r="AD936" s="108">
        <v>1</v>
      </c>
      <c r="AE936" s="108" t="s">
        <v>42</v>
      </c>
      <c r="AF936" s="108" t="s">
        <v>43</v>
      </c>
      <c r="AG936" s="108" t="s">
        <v>38</v>
      </c>
      <c r="AH936" s="108" t="s">
        <v>92</v>
      </c>
    </row>
    <row r="937" spans="1:34" x14ac:dyDescent="0.3">
      <c r="A937" s="118" t="s">
        <v>192</v>
      </c>
      <c r="B937" s="119" t="s">
        <v>197</v>
      </c>
      <c r="C937" s="119" t="s">
        <v>198</v>
      </c>
      <c r="D937" s="120">
        <v>45443</v>
      </c>
      <c r="E937" s="121">
        <v>170000</v>
      </c>
      <c r="F937" s="119" t="s">
        <v>32</v>
      </c>
      <c r="G937" s="119" t="s">
        <v>33</v>
      </c>
      <c r="H937" s="121">
        <v>170000</v>
      </c>
      <c r="I937" s="121">
        <v>55100</v>
      </c>
      <c r="J937" s="122">
        <f t="shared" si="101"/>
        <v>32.411764705882348</v>
      </c>
      <c r="K937" s="121">
        <v>127329</v>
      </c>
      <c r="L937" s="121">
        <f>H937-111144</f>
        <v>58856</v>
      </c>
      <c r="M937" s="121">
        <v>16185</v>
      </c>
      <c r="N937" s="123">
        <f t="shared" si="102"/>
        <v>9.5205882352941182E-2</v>
      </c>
      <c r="O937" s="124">
        <v>95.2</v>
      </c>
      <c r="P937" s="125">
        <v>115.5</v>
      </c>
      <c r="Q937" s="126">
        <v>0.252</v>
      </c>
      <c r="R937" s="126">
        <v>0.252</v>
      </c>
      <c r="S937" s="121">
        <f t="shared" si="103"/>
        <v>618.23529411764707</v>
      </c>
      <c r="T937" s="121">
        <f t="shared" si="104"/>
        <v>233555.55555555556</v>
      </c>
      <c r="U937" s="127">
        <f t="shared" si="105"/>
        <v>5.3616977859402102</v>
      </c>
      <c r="V937" s="126">
        <v>95</v>
      </c>
      <c r="W937" s="126">
        <f t="shared" si="106"/>
        <v>34000</v>
      </c>
      <c r="X937" s="126">
        <f t="shared" si="107"/>
        <v>357.89473684210526</v>
      </c>
      <c r="Y937" s="128" t="s">
        <v>191</v>
      </c>
      <c r="Z937" s="119" t="s">
        <v>35</v>
      </c>
      <c r="AA937" s="119" t="s">
        <v>35</v>
      </c>
      <c r="AB937" s="119" t="s">
        <v>192</v>
      </c>
      <c r="AC937" s="119">
        <v>0</v>
      </c>
      <c r="AD937" s="119">
        <v>1</v>
      </c>
      <c r="AE937" s="119" t="s">
        <v>42</v>
      </c>
      <c r="AF937" s="119" t="s">
        <v>43</v>
      </c>
      <c r="AG937" s="119" t="s">
        <v>38</v>
      </c>
      <c r="AH937" s="119" t="s">
        <v>92</v>
      </c>
    </row>
    <row r="938" spans="1:34" x14ac:dyDescent="0.3">
      <c r="A938" s="107" t="s">
        <v>192</v>
      </c>
      <c r="B938" s="108" t="s">
        <v>262</v>
      </c>
      <c r="C938" s="108" t="s">
        <v>263</v>
      </c>
      <c r="D938" s="109">
        <v>45161</v>
      </c>
      <c r="E938" s="110">
        <v>295000</v>
      </c>
      <c r="F938" s="108" t="s">
        <v>32</v>
      </c>
      <c r="G938" s="108" t="s">
        <v>33</v>
      </c>
      <c r="H938" s="110">
        <v>295000</v>
      </c>
      <c r="I938" s="110">
        <v>74300</v>
      </c>
      <c r="J938" s="111">
        <f t="shared" si="101"/>
        <v>25.186440677966104</v>
      </c>
      <c r="K938" s="110">
        <v>305961</v>
      </c>
      <c r="L938" s="110">
        <f>H938-277106</f>
        <v>17894</v>
      </c>
      <c r="M938" s="110">
        <v>28855</v>
      </c>
      <c r="N938" s="112">
        <f t="shared" si="102"/>
        <v>9.7813559322033894E-2</v>
      </c>
      <c r="O938" s="113">
        <v>169.73</v>
      </c>
      <c r="P938" s="114">
        <v>325.56</v>
      </c>
      <c r="Q938" s="115">
        <v>0.754</v>
      </c>
      <c r="R938" s="115">
        <v>0.754</v>
      </c>
      <c r="S938" s="110">
        <f t="shared" si="103"/>
        <v>105.42626524480058</v>
      </c>
      <c r="T938" s="110">
        <f t="shared" si="104"/>
        <v>23732.095490716179</v>
      </c>
      <c r="U938" s="116">
        <f t="shared" si="105"/>
        <v>0.5448139460678646</v>
      </c>
      <c r="V938" s="115">
        <v>100.88</v>
      </c>
      <c r="W938" s="115">
        <f t="shared" si="106"/>
        <v>59000</v>
      </c>
      <c r="X938" s="115">
        <f t="shared" si="107"/>
        <v>584.85329103885806</v>
      </c>
      <c r="Y938" s="117" t="s">
        <v>195</v>
      </c>
      <c r="Z938" s="108" t="s">
        <v>35</v>
      </c>
      <c r="AA938" s="108" t="s">
        <v>35</v>
      </c>
      <c r="AB938" s="108" t="s">
        <v>192</v>
      </c>
      <c r="AC938" s="108">
        <v>0</v>
      </c>
      <c r="AD938" s="108">
        <v>0</v>
      </c>
      <c r="AE938" s="108" t="s">
        <v>37</v>
      </c>
      <c r="AF938" s="108" t="s">
        <v>43</v>
      </c>
      <c r="AG938" s="108" t="s">
        <v>38</v>
      </c>
      <c r="AH938" s="108" t="s">
        <v>92</v>
      </c>
    </row>
    <row r="939" spans="1:34" x14ac:dyDescent="0.3">
      <c r="A939" s="118" t="s">
        <v>192</v>
      </c>
      <c r="B939" s="119" t="s">
        <v>206</v>
      </c>
      <c r="C939" s="119" t="s">
        <v>207</v>
      </c>
      <c r="D939" s="120">
        <v>45681</v>
      </c>
      <c r="E939" s="121">
        <v>128000</v>
      </c>
      <c r="F939" s="119" t="s">
        <v>32</v>
      </c>
      <c r="G939" s="119" t="s">
        <v>33</v>
      </c>
      <c r="H939" s="121">
        <v>128000</v>
      </c>
      <c r="I939" s="121">
        <v>41200</v>
      </c>
      <c r="J939" s="122">
        <f t="shared" si="101"/>
        <v>32.1875</v>
      </c>
      <c r="K939" s="121">
        <v>96751</v>
      </c>
      <c r="L939" s="121">
        <f>H939-89936</f>
        <v>38064</v>
      </c>
      <c r="M939" s="121">
        <v>6815</v>
      </c>
      <c r="N939" s="123">
        <f t="shared" si="102"/>
        <v>5.3242187500000003E-2</v>
      </c>
      <c r="O939" s="124">
        <v>40.08</v>
      </c>
      <c r="P939" s="125">
        <v>115.5</v>
      </c>
      <c r="Q939" s="126">
        <v>0.106</v>
      </c>
      <c r="R939" s="126">
        <v>0.106</v>
      </c>
      <c r="S939" s="121">
        <f t="shared" si="103"/>
        <v>949.70059880239523</v>
      </c>
      <c r="T939" s="121">
        <f t="shared" si="104"/>
        <v>359094.33962264151</v>
      </c>
      <c r="U939" s="127">
        <f t="shared" si="105"/>
        <v>8.2436717085087583</v>
      </c>
      <c r="V939" s="126">
        <v>40</v>
      </c>
      <c r="W939" s="126">
        <f t="shared" si="106"/>
        <v>25600</v>
      </c>
      <c r="X939" s="126">
        <f t="shared" si="107"/>
        <v>640</v>
      </c>
      <c r="Y939" s="128" t="s">
        <v>191</v>
      </c>
      <c r="Z939" s="119" t="s">
        <v>35</v>
      </c>
      <c r="AA939" s="119" t="s">
        <v>35</v>
      </c>
      <c r="AB939" s="119" t="s">
        <v>192</v>
      </c>
      <c r="AC939" s="119">
        <v>0</v>
      </c>
      <c r="AD939" s="119">
        <v>1</v>
      </c>
      <c r="AE939" s="119" t="s">
        <v>42</v>
      </c>
      <c r="AF939" s="119" t="s">
        <v>35</v>
      </c>
      <c r="AG939" s="119" t="s">
        <v>38</v>
      </c>
      <c r="AH939" s="119" t="s">
        <v>92</v>
      </c>
    </row>
    <row r="940" spans="1:34" x14ac:dyDescent="0.3">
      <c r="A940" s="107" t="s">
        <v>192</v>
      </c>
      <c r="B940" s="108" t="s">
        <v>208</v>
      </c>
      <c r="C940" s="108" t="s">
        <v>209</v>
      </c>
      <c r="D940" s="109">
        <v>45435</v>
      </c>
      <c r="E940" s="110">
        <v>132000</v>
      </c>
      <c r="F940" s="108" t="s">
        <v>32</v>
      </c>
      <c r="G940" s="108" t="s">
        <v>33</v>
      </c>
      <c r="H940" s="110">
        <v>132000</v>
      </c>
      <c r="I940" s="110">
        <v>49100</v>
      </c>
      <c r="J940" s="111">
        <f t="shared" si="101"/>
        <v>37.196969696969695</v>
      </c>
      <c r="K940" s="110">
        <v>113465</v>
      </c>
      <c r="L940" s="110">
        <f>H940-106650</f>
        <v>25350</v>
      </c>
      <c r="M940" s="110">
        <v>6815</v>
      </c>
      <c r="N940" s="112">
        <f t="shared" si="102"/>
        <v>5.1628787878787878E-2</v>
      </c>
      <c r="O940" s="113">
        <v>40.08</v>
      </c>
      <c r="P940" s="114">
        <v>115.5</v>
      </c>
      <c r="Q940" s="115">
        <v>0.106</v>
      </c>
      <c r="R940" s="115">
        <v>0.106</v>
      </c>
      <c r="S940" s="110">
        <f t="shared" si="103"/>
        <v>632.48502994011983</v>
      </c>
      <c r="T940" s="110">
        <f t="shared" si="104"/>
        <v>239150.94339622642</v>
      </c>
      <c r="U940" s="116">
        <f t="shared" si="105"/>
        <v>5.4901502157076774</v>
      </c>
      <c r="V940" s="115">
        <v>40</v>
      </c>
      <c r="W940" s="115">
        <f t="shared" si="106"/>
        <v>26400</v>
      </c>
      <c r="X940" s="115">
        <f t="shared" si="107"/>
        <v>660</v>
      </c>
      <c r="Y940" s="117" t="s">
        <v>191</v>
      </c>
      <c r="Z940" s="108" t="s">
        <v>35</v>
      </c>
      <c r="AA940" s="108" t="s">
        <v>35</v>
      </c>
      <c r="AB940" s="108" t="s">
        <v>192</v>
      </c>
      <c r="AC940" s="108">
        <v>0</v>
      </c>
      <c r="AD940" s="108">
        <v>1</v>
      </c>
      <c r="AE940" s="108" t="s">
        <v>210</v>
      </c>
      <c r="AF940" s="108" t="s">
        <v>43</v>
      </c>
      <c r="AG940" s="108" t="s">
        <v>38</v>
      </c>
      <c r="AH940" s="108" t="s">
        <v>92</v>
      </c>
    </row>
    <row r="941" spans="1:34" x14ac:dyDescent="0.3">
      <c r="A941" s="118" t="s">
        <v>192</v>
      </c>
      <c r="B941" s="119" t="s">
        <v>203</v>
      </c>
      <c r="C941" s="119" t="s">
        <v>204</v>
      </c>
      <c r="D941" s="120">
        <v>45729</v>
      </c>
      <c r="E941" s="121">
        <v>137000</v>
      </c>
      <c r="F941" s="119" t="s">
        <v>32</v>
      </c>
      <c r="G941" s="119" t="s">
        <v>33</v>
      </c>
      <c r="H941" s="121">
        <v>137000</v>
      </c>
      <c r="I941" s="121">
        <v>62300</v>
      </c>
      <c r="J941" s="122">
        <f t="shared" si="101"/>
        <v>45.474452554744524</v>
      </c>
      <c r="K941" s="121">
        <v>138315</v>
      </c>
      <c r="L941" s="121">
        <f>H941-131500</f>
        <v>5500</v>
      </c>
      <c r="M941" s="121">
        <v>6815</v>
      </c>
      <c r="N941" s="123">
        <f t="shared" si="102"/>
        <v>4.9744525547445254E-2</v>
      </c>
      <c r="O941" s="124">
        <v>40.08</v>
      </c>
      <c r="P941" s="125">
        <v>115.5</v>
      </c>
      <c r="Q941" s="126">
        <v>0.106</v>
      </c>
      <c r="R941" s="126">
        <v>0.106</v>
      </c>
      <c r="S941" s="121">
        <f t="shared" si="103"/>
        <v>137.22554890219561</v>
      </c>
      <c r="T941" s="121">
        <f t="shared" si="104"/>
        <v>51886.792452830188</v>
      </c>
      <c r="U941" s="127">
        <f t="shared" si="105"/>
        <v>1.1911568515342099</v>
      </c>
      <c r="V941" s="126">
        <v>40</v>
      </c>
      <c r="W941" s="126">
        <f t="shared" si="106"/>
        <v>27400</v>
      </c>
      <c r="X941" s="126">
        <f t="shared" si="107"/>
        <v>685</v>
      </c>
      <c r="Y941" s="128" t="s">
        <v>191</v>
      </c>
      <c r="Z941" s="119" t="s">
        <v>35</v>
      </c>
      <c r="AA941" s="119" t="s">
        <v>35</v>
      </c>
      <c r="AB941" s="119" t="s">
        <v>192</v>
      </c>
      <c r="AC941" s="119">
        <v>0</v>
      </c>
      <c r="AD941" s="119">
        <v>1</v>
      </c>
      <c r="AE941" s="119" t="s">
        <v>205</v>
      </c>
      <c r="AF941" s="119" t="s">
        <v>35</v>
      </c>
      <c r="AG941" s="119" t="s">
        <v>38</v>
      </c>
      <c r="AH941" s="119" t="s">
        <v>92</v>
      </c>
    </row>
    <row r="942" spans="1:34" x14ac:dyDescent="0.3">
      <c r="A942" s="107" t="s">
        <v>192</v>
      </c>
      <c r="B942" s="108" t="s">
        <v>211</v>
      </c>
      <c r="C942" s="108" t="s">
        <v>212</v>
      </c>
      <c r="D942" s="109">
        <v>45691</v>
      </c>
      <c r="E942" s="110">
        <v>148000</v>
      </c>
      <c r="F942" s="108" t="s">
        <v>32</v>
      </c>
      <c r="G942" s="108" t="s">
        <v>33</v>
      </c>
      <c r="H942" s="110">
        <v>148000</v>
      </c>
      <c r="I942" s="110">
        <v>81000</v>
      </c>
      <c r="J942" s="111">
        <f t="shared" si="101"/>
        <v>54.729729729729726</v>
      </c>
      <c r="K942" s="110">
        <v>181436</v>
      </c>
      <c r="L942" s="110">
        <f>H942-174621</f>
        <v>-26621</v>
      </c>
      <c r="M942" s="110">
        <v>6815</v>
      </c>
      <c r="N942" s="112">
        <f t="shared" si="102"/>
        <v>4.6047297297297299E-2</v>
      </c>
      <c r="O942" s="113">
        <v>40.08</v>
      </c>
      <c r="P942" s="114">
        <v>115.5</v>
      </c>
      <c r="Q942" s="115">
        <v>0.106</v>
      </c>
      <c r="R942" s="115">
        <v>0.106</v>
      </c>
      <c r="S942" s="110">
        <f t="shared" si="103"/>
        <v>-664.1966067864272</v>
      </c>
      <c r="T942" s="110">
        <f t="shared" si="104"/>
        <v>-251141.50943396226</v>
      </c>
      <c r="U942" s="116">
        <f t="shared" si="105"/>
        <v>-5.7654157353985829</v>
      </c>
      <c r="V942" s="115">
        <v>40</v>
      </c>
      <c r="W942" s="115">
        <f t="shared" si="106"/>
        <v>29600</v>
      </c>
      <c r="X942" s="115">
        <f t="shared" si="107"/>
        <v>740</v>
      </c>
      <c r="Y942" s="117" t="s">
        <v>191</v>
      </c>
      <c r="Z942" s="108" t="s">
        <v>35</v>
      </c>
      <c r="AA942" s="108" t="s">
        <v>35</v>
      </c>
      <c r="AB942" s="108" t="s">
        <v>192</v>
      </c>
      <c r="AC942" s="108">
        <v>0</v>
      </c>
      <c r="AD942" s="108">
        <v>1</v>
      </c>
      <c r="AE942" s="108" t="s">
        <v>37</v>
      </c>
      <c r="AF942" s="108" t="s">
        <v>35</v>
      </c>
      <c r="AG942" s="108" t="s">
        <v>38</v>
      </c>
      <c r="AH942" s="108" t="s">
        <v>92</v>
      </c>
    </row>
    <row r="943" spans="1:34" x14ac:dyDescent="0.3">
      <c r="A943" s="118" t="s">
        <v>192</v>
      </c>
      <c r="B943" s="119" t="s">
        <v>193</v>
      </c>
      <c r="C943" s="119" t="s">
        <v>194</v>
      </c>
      <c r="D943" s="120">
        <v>45233</v>
      </c>
      <c r="E943" s="121">
        <v>172500</v>
      </c>
      <c r="F943" s="119" t="s">
        <v>32</v>
      </c>
      <c r="G943" s="119" t="s">
        <v>33</v>
      </c>
      <c r="H943" s="121">
        <v>172500</v>
      </c>
      <c r="I943" s="121">
        <v>69700</v>
      </c>
      <c r="J943" s="122">
        <f t="shared" si="101"/>
        <v>40.405797101449274</v>
      </c>
      <c r="K943" s="121">
        <v>164209</v>
      </c>
      <c r="L943" s="121">
        <f>H943-157394</f>
        <v>15106</v>
      </c>
      <c r="M943" s="121">
        <v>6815</v>
      </c>
      <c r="N943" s="123">
        <f t="shared" si="102"/>
        <v>3.9507246376811592E-2</v>
      </c>
      <c r="O943" s="124">
        <v>40.08</v>
      </c>
      <c r="P943" s="125">
        <v>115.5</v>
      </c>
      <c r="Q943" s="126">
        <v>0.106</v>
      </c>
      <c r="R943" s="126">
        <v>0.106</v>
      </c>
      <c r="S943" s="121">
        <f t="shared" si="103"/>
        <v>376.89620758483034</v>
      </c>
      <c r="T943" s="121">
        <f t="shared" si="104"/>
        <v>142509.43396226416</v>
      </c>
      <c r="U943" s="127">
        <f t="shared" si="105"/>
        <v>3.2715664362319594</v>
      </c>
      <c r="V943" s="126">
        <v>40</v>
      </c>
      <c r="W943" s="126">
        <f t="shared" si="106"/>
        <v>34500</v>
      </c>
      <c r="X943" s="126">
        <f t="shared" si="107"/>
        <v>862.5</v>
      </c>
      <c r="Y943" s="128" t="s">
        <v>195</v>
      </c>
      <c r="Z943" s="119" t="s">
        <v>35</v>
      </c>
      <c r="AA943" s="119" t="s">
        <v>35</v>
      </c>
      <c r="AB943" s="119" t="s">
        <v>192</v>
      </c>
      <c r="AC943" s="119">
        <v>0</v>
      </c>
      <c r="AD943" s="119">
        <v>1</v>
      </c>
      <c r="AE943" s="119" t="s">
        <v>196</v>
      </c>
      <c r="AF943" s="119" t="s">
        <v>43</v>
      </c>
      <c r="AG943" s="119" t="s">
        <v>38</v>
      </c>
      <c r="AH943" s="119" t="s">
        <v>92</v>
      </c>
    </row>
    <row r="944" spans="1:34" x14ac:dyDescent="0.3">
      <c r="A944" s="118" t="s">
        <v>117</v>
      </c>
      <c r="B944" s="119" t="s">
        <v>122</v>
      </c>
      <c r="C944" s="119" t="s">
        <v>123</v>
      </c>
      <c r="D944" s="120">
        <v>45302</v>
      </c>
      <c r="E944" s="121">
        <v>153500</v>
      </c>
      <c r="F944" s="119" t="s">
        <v>32</v>
      </c>
      <c r="G944" s="119" t="s">
        <v>66</v>
      </c>
      <c r="H944" s="121">
        <v>153500</v>
      </c>
      <c r="I944" s="121">
        <v>53300</v>
      </c>
      <c r="J944" s="122">
        <f t="shared" si="101"/>
        <v>34.723127035830622</v>
      </c>
      <c r="K944" s="121">
        <v>129283</v>
      </c>
      <c r="L944" s="121">
        <f>H944-113575</f>
        <v>39925</v>
      </c>
      <c r="M944" s="121">
        <v>15708</v>
      </c>
      <c r="N944" s="123">
        <f t="shared" si="102"/>
        <v>0.10233224755700326</v>
      </c>
      <c r="O944" s="124">
        <v>83.1</v>
      </c>
      <c r="P944" s="125">
        <v>259</v>
      </c>
      <c r="Q944" s="126">
        <v>0.23799999999999999</v>
      </c>
      <c r="R944" s="126">
        <v>0.11899999999999999</v>
      </c>
      <c r="S944" s="121">
        <f t="shared" si="103"/>
        <v>480.44524669073411</v>
      </c>
      <c r="T944" s="121">
        <f t="shared" si="104"/>
        <v>167752.10084033615</v>
      </c>
      <c r="U944" s="127">
        <f t="shared" si="105"/>
        <v>3.8510583296679557</v>
      </c>
      <c r="V944" s="126">
        <v>80</v>
      </c>
      <c r="W944" s="126">
        <f t="shared" si="106"/>
        <v>30700</v>
      </c>
      <c r="X944" s="126">
        <f t="shared" si="107"/>
        <v>383.75</v>
      </c>
      <c r="Y944" s="128" t="s">
        <v>116</v>
      </c>
      <c r="Z944" s="119" t="s">
        <v>35</v>
      </c>
      <c r="AA944" s="119" t="s">
        <v>124</v>
      </c>
      <c r="AB944" s="119" t="s">
        <v>117</v>
      </c>
      <c r="AC944" s="119">
        <v>0</v>
      </c>
      <c r="AD944" s="119">
        <v>1</v>
      </c>
      <c r="AE944" s="119" t="s">
        <v>37</v>
      </c>
      <c r="AF944" s="119" t="s">
        <v>43</v>
      </c>
      <c r="AG944" s="119" t="s">
        <v>38</v>
      </c>
      <c r="AH944" s="119" t="s">
        <v>92</v>
      </c>
    </row>
    <row r="945" spans="1:34" x14ac:dyDescent="0.3">
      <c r="A945" s="107" t="s">
        <v>117</v>
      </c>
      <c r="B945" s="108" t="s">
        <v>125</v>
      </c>
      <c r="C945" s="108" t="s">
        <v>126</v>
      </c>
      <c r="D945" s="109">
        <v>45280</v>
      </c>
      <c r="E945" s="110">
        <v>135000</v>
      </c>
      <c r="F945" s="108" t="s">
        <v>81</v>
      </c>
      <c r="G945" s="108" t="s">
        <v>33</v>
      </c>
      <c r="H945" s="110">
        <v>135000</v>
      </c>
      <c r="I945" s="110">
        <v>57900</v>
      </c>
      <c r="J945" s="111">
        <f t="shared" si="101"/>
        <v>42.888888888888886</v>
      </c>
      <c r="K945" s="110">
        <v>141148</v>
      </c>
      <c r="L945" s="110">
        <f>H945-130291</f>
        <v>4709</v>
      </c>
      <c r="M945" s="110">
        <v>10857</v>
      </c>
      <c r="N945" s="112">
        <f t="shared" si="102"/>
        <v>8.0422222222222228E-2</v>
      </c>
      <c r="O945" s="113">
        <v>57.44</v>
      </c>
      <c r="P945" s="114">
        <v>110</v>
      </c>
      <c r="Q945" s="115">
        <v>0.152</v>
      </c>
      <c r="R945" s="115">
        <v>0.152</v>
      </c>
      <c r="S945" s="110">
        <f t="shared" si="103"/>
        <v>81.981197771587745</v>
      </c>
      <c r="T945" s="110">
        <f t="shared" si="104"/>
        <v>30980.263157894737</v>
      </c>
      <c r="U945" s="116">
        <f t="shared" si="105"/>
        <v>0.71120897974964958</v>
      </c>
      <c r="V945" s="115">
        <v>60</v>
      </c>
      <c r="W945" s="115">
        <f t="shared" si="106"/>
        <v>27000</v>
      </c>
      <c r="X945" s="115">
        <f t="shared" si="107"/>
        <v>450</v>
      </c>
      <c r="Y945" s="117" t="s">
        <v>116</v>
      </c>
      <c r="Z945" s="108" t="s">
        <v>35</v>
      </c>
      <c r="AA945" s="108" t="s">
        <v>35</v>
      </c>
      <c r="AB945" s="108" t="s">
        <v>117</v>
      </c>
      <c r="AC945" s="108">
        <v>0</v>
      </c>
      <c r="AD945" s="108">
        <v>1</v>
      </c>
      <c r="AE945" s="108" t="s">
        <v>42</v>
      </c>
      <c r="AF945" s="108" t="s">
        <v>43</v>
      </c>
      <c r="AG945" s="108" t="s">
        <v>38</v>
      </c>
      <c r="AH945" s="108" t="s">
        <v>92</v>
      </c>
    </row>
    <row r="946" spans="1:34" x14ac:dyDescent="0.3">
      <c r="A946" s="107" t="s">
        <v>117</v>
      </c>
      <c r="B946" s="108" t="s">
        <v>118</v>
      </c>
      <c r="C946" s="108" t="s">
        <v>119</v>
      </c>
      <c r="D946" s="109">
        <v>45121</v>
      </c>
      <c r="E946" s="110">
        <v>145000</v>
      </c>
      <c r="F946" s="108" t="s">
        <v>32</v>
      </c>
      <c r="G946" s="108" t="s">
        <v>33</v>
      </c>
      <c r="H946" s="110">
        <v>145000</v>
      </c>
      <c r="I946" s="110">
        <v>59900</v>
      </c>
      <c r="J946" s="111">
        <f t="shared" si="101"/>
        <v>41.310344827586206</v>
      </c>
      <c r="K946" s="110">
        <v>144581</v>
      </c>
      <c r="L946" s="110">
        <f>H946-136818</f>
        <v>8182</v>
      </c>
      <c r="M946" s="110">
        <v>7763</v>
      </c>
      <c r="N946" s="112">
        <f t="shared" si="102"/>
        <v>5.3537931034482761E-2</v>
      </c>
      <c r="O946" s="113">
        <v>41.07</v>
      </c>
      <c r="P946" s="114">
        <v>126.53</v>
      </c>
      <c r="Q946" s="115">
        <v>0.11600000000000001</v>
      </c>
      <c r="R946" s="115">
        <v>0.11600000000000001</v>
      </c>
      <c r="S946" s="110">
        <f t="shared" si="103"/>
        <v>199.22084246408571</v>
      </c>
      <c r="T946" s="110">
        <f t="shared" si="104"/>
        <v>70534.482758620681</v>
      </c>
      <c r="U946" s="116">
        <f t="shared" si="105"/>
        <v>1.6192489154871599</v>
      </c>
      <c r="V946" s="115">
        <v>40</v>
      </c>
      <c r="W946" s="115">
        <f t="shared" si="106"/>
        <v>29000</v>
      </c>
      <c r="X946" s="115">
        <f t="shared" si="107"/>
        <v>725</v>
      </c>
      <c r="Y946" s="117" t="s">
        <v>116</v>
      </c>
      <c r="Z946" s="108" t="s">
        <v>35</v>
      </c>
      <c r="AA946" s="108" t="s">
        <v>35</v>
      </c>
      <c r="AB946" s="108" t="s">
        <v>117</v>
      </c>
      <c r="AC946" s="108">
        <v>0</v>
      </c>
      <c r="AD946" s="108">
        <v>1</v>
      </c>
      <c r="AE946" s="108" t="s">
        <v>37</v>
      </c>
      <c r="AF946" s="108" t="s">
        <v>43</v>
      </c>
      <c r="AG946" s="108" t="s">
        <v>38</v>
      </c>
      <c r="AH946" s="108" t="s">
        <v>92</v>
      </c>
    </row>
    <row r="947" spans="1:34" x14ac:dyDescent="0.3">
      <c r="A947" s="118" t="s">
        <v>117</v>
      </c>
      <c r="B947" s="119" t="s">
        <v>120</v>
      </c>
      <c r="C947" s="119" t="s">
        <v>121</v>
      </c>
      <c r="D947" s="120">
        <v>45722</v>
      </c>
      <c r="E947" s="121">
        <v>160000</v>
      </c>
      <c r="F947" s="119" t="s">
        <v>32</v>
      </c>
      <c r="G947" s="119" t="s">
        <v>33</v>
      </c>
      <c r="H947" s="121">
        <v>160000</v>
      </c>
      <c r="I947" s="121">
        <v>67200</v>
      </c>
      <c r="J947" s="122">
        <f t="shared" si="101"/>
        <v>42</v>
      </c>
      <c r="K947" s="121">
        <v>148426</v>
      </c>
      <c r="L947" s="121">
        <f>H947-140372</f>
        <v>19628</v>
      </c>
      <c r="M947" s="121">
        <v>8054</v>
      </c>
      <c r="N947" s="123">
        <f t="shared" si="102"/>
        <v>5.03375E-2</v>
      </c>
      <c r="O947" s="124">
        <v>42.61</v>
      </c>
      <c r="P947" s="125">
        <v>136.19</v>
      </c>
      <c r="Q947" s="126">
        <v>0.125</v>
      </c>
      <c r="R947" s="126">
        <v>0.125</v>
      </c>
      <c r="S947" s="121">
        <f t="shared" si="103"/>
        <v>460.6430415395447</v>
      </c>
      <c r="T947" s="121">
        <f t="shared" si="104"/>
        <v>157024</v>
      </c>
      <c r="U947" s="127">
        <f t="shared" si="105"/>
        <v>3.6047750229568409</v>
      </c>
      <c r="V947" s="126">
        <v>40</v>
      </c>
      <c r="W947" s="126">
        <f t="shared" si="106"/>
        <v>32000</v>
      </c>
      <c r="X947" s="126">
        <f t="shared" si="107"/>
        <v>800</v>
      </c>
      <c r="Y947" s="128" t="s">
        <v>116</v>
      </c>
      <c r="Z947" s="119" t="s">
        <v>35</v>
      </c>
      <c r="AA947" s="119" t="s">
        <v>35</v>
      </c>
      <c r="AB947" s="119" t="s">
        <v>117</v>
      </c>
      <c r="AC947" s="119">
        <v>0</v>
      </c>
      <c r="AD947" s="119">
        <v>1</v>
      </c>
      <c r="AE947" s="119" t="s">
        <v>37</v>
      </c>
      <c r="AF947" s="119" t="s">
        <v>35</v>
      </c>
      <c r="AG947" s="119" t="s">
        <v>38</v>
      </c>
      <c r="AH947" s="119" t="s">
        <v>92</v>
      </c>
    </row>
    <row r="948" spans="1:34" x14ac:dyDescent="0.3">
      <c r="A948" s="107" t="s">
        <v>117</v>
      </c>
      <c r="B948" s="108" t="s">
        <v>114</v>
      </c>
      <c r="C948" s="108" t="s">
        <v>115</v>
      </c>
      <c r="D948" s="109">
        <v>45742</v>
      </c>
      <c r="E948" s="110">
        <v>164900</v>
      </c>
      <c r="F948" s="108" t="s">
        <v>32</v>
      </c>
      <c r="G948" s="108" t="s">
        <v>33</v>
      </c>
      <c r="H948" s="110">
        <v>164900</v>
      </c>
      <c r="I948" s="110">
        <v>61800</v>
      </c>
      <c r="J948" s="111">
        <f t="shared" si="101"/>
        <v>37.477258944815041</v>
      </c>
      <c r="K948" s="110">
        <v>136286</v>
      </c>
      <c r="L948" s="110">
        <f>H948-128297</f>
        <v>36603</v>
      </c>
      <c r="M948" s="110">
        <v>7989</v>
      </c>
      <c r="N948" s="112">
        <f t="shared" si="102"/>
        <v>4.8447543966040021E-2</v>
      </c>
      <c r="O948" s="113">
        <v>42.26</v>
      </c>
      <c r="P948" s="114">
        <v>134</v>
      </c>
      <c r="Q948" s="115">
        <v>0.123</v>
      </c>
      <c r="R948" s="115">
        <v>0.123</v>
      </c>
      <c r="S948" s="110">
        <f t="shared" si="103"/>
        <v>866.13819214387127</v>
      </c>
      <c r="T948" s="110">
        <f t="shared" si="104"/>
        <v>297585.36585365853</v>
      </c>
      <c r="U948" s="116">
        <f t="shared" si="105"/>
        <v>6.8316199690922526</v>
      </c>
      <c r="V948" s="115">
        <v>40</v>
      </c>
      <c r="W948" s="115">
        <f t="shared" si="106"/>
        <v>32980</v>
      </c>
      <c r="X948" s="115">
        <f t="shared" si="107"/>
        <v>824.5</v>
      </c>
      <c r="Y948" s="117" t="s">
        <v>116</v>
      </c>
      <c r="Z948" s="108" t="s">
        <v>35</v>
      </c>
      <c r="AA948" s="108" t="s">
        <v>35</v>
      </c>
      <c r="AB948" s="108" t="s">
        <v>117</v>
      </c>
      <c r="AC948" s="108">
        <v>0</v>
      </c>
      <c r="AD948" s="108">
        <v>1</v>
      </c>
      <c r="AE948" s="108" t="s">
        <v>37</v>
      </c>
      <c r="AF948" s="108" t="s">
        <v>35</v>
      </c>
      <c r="AG948" s="108" t="s">
        <v>38</v>
      </c>
      <c r="AH948" s="108" t="s">
        <v>92</v>
      </c>
    </row>
    <row r="949" spans="1:34" x14ac:dyDescent="0.3">
      <c r="A949" s="107" t="s">
        <v>2768</v>
      </c>
      <c r="B949" s="108" t="s">
        <v>2766</v>
      </c>
      <c r="C949" s="108" t="s">
        <v>2767</v>
      </c>
      <c r="D949" s="109">
        <v>45380</v>
      </c>
      <c r="E949" s="110">
        <v>176000</v>
      </c>
      <c r="F949" s="108" t="s">
        <v>32</v>
      </c>
      <c r="G949" s="108" t="s">
        <v>33</v>
      </c>
      <c r="H949" s="110">
        <v>176000</v>
      </c>
      <c r="I949" s="110">
        <v>68900</v>
      </c>
      <c r="J949" s="111">
        <f t="shared" si="101"/>
        <v>39.147727272727273</v>
      </c>
      <c r="K949" s="110">
        <v>182958</v>
      </c>
      <c r="L949" s="110">
        <f>H949-169412</f>
        <v>6588</v>
      </c>
      <c r="M949" s="110">
        <v>13546</v>
      </c>
      <c r="N949" s="112">
        <f t="shared" si="102"/>
        <v>7.6965909090909085E-2</v>
      </c>
      <c r="O949" s="113">
        <v>66.400000000000006</v>
      </c>
      <c r="P949" s="114">
        <v>115</v>
      </c>
      <c r="Q949" s="115">
        <v>0.17899999999999999</v>
      </c>
      <c r="R949" s="115">
        <v>0.17899999999999999</v>
      </c>
      <c r="S949" s="110">
        <f t="shared" si="103"/>
        <v>99.216867469879503</v>
      </c>
      <c r="T949" s="110">
        <f t="shared" si="104"/>
        <v>36804.469273743016</v>
      </c>
      <c r="U949" s="116">
        <f t="shared" si="105"/>
        <v>0.84491435430998663</v>
      </c>
      <c r="V949" s="115">
        <v>67.83</v>
      </c>
      <c r="W949" s="115">
        <f t="shared" si="106"/>
        <v>35200</v>
      </c>
      <c r="X949" s="115">
        <f t="shared" si="107"/>
        <v>518.9444198732125</v>
      </c>
      <c r="Y949" s="117" t="s">
        <v>2593</v>
      </c>
      <c r="Z949" s="108" t="s">
        <v>35</v>
      </c>
      <c r="AA949" s="108" t="s">
        <v>35</v>
      </c>
      <c r="AB949" s="108" t="s">
        <v>2768</v>
      </c>
      <c r="AC949" s="108">
        <v>0</v>
      </c>
      <c r="AD949" s="108">
        <v>1</v>
      </c>
      <c r="AE949" s="108" t="s">
        <v>37</v>
      </c>
      <c r="AF949" s="108" t="s">
        <v>43</v>
      </c>
      <c r="AG949" s="108" t="s">
        <v>38</v>
      </c>
      <c r="AH949" s="108" t="s">
        <v>92</v>
      </c>
    </row>
    <row r="950" spans="1:34" x14ac:dyDescent="0.3">
      <c r="A950" s="118" t="s">
        <v>2768</v>
      </c>
      <c r="B950" s="119" t="s">
        <v>2769</v>
      </c>
      <c r="C950" s="119" t="s">
        <v>2770</v>
      </c>
      <c r="D950" s="120">
        <v>45196</v>
      </c>
      <c r="E950" s="121">
        <v>200000</v>
      </c>
      <c r="F950" s="119" t="s">
        <v>32</v>
      </c>
      <c r="G950" s="119" t="s">
        <v>33</v>
      </c>
      <c r="H950" s="121">
        <v>200000</v>
      </c>
      <c r="I950" s="121">
        <v>70700</v>
      </c>
      <c r="J950" s="122">
        <f t="shared" si="101"/>
        <v>35.35</v>
      </c>
      <c r="K950" s="121">
        <v>184312</v>
      </c>
      <c r="L950" s="121">
        <f>H950-170094</f>
        <v>29906</v>
      </c>
      <c r="M950" s="121">
        <v>14218</v>
      </c>
      <c r="N950" s="123">
        <f t="shared" si="102"/>
        <v>7.109E-2</v>
      </c>
      <c r="O950" s="124">
        <v>69.69</v>
      </c>
      <c r="P950" s="125">
        <v>137.97</v>
      </c>
      <c r="Q950" s="126">
        <v>0.20599999999999999</v>
      </c>
      <c r="R950" s="126">
        <v>0.20599999999999999</v>
      </c>
      <c r="S950" s="121">
        <f t="shared" si="103"/>
        <v>429.12899985650739</v>
      </c>
      <c r="T950" s="121">
        <f t="shared" si="104"/>
        <v>145174.75728155341</v>
      </c>
      <c r="U950" s="127">
        <f t="shared" si="105"/>
        <v>3.3327538402560468</v>
      </c>
      <c r="V950" s="126">
        <v>65</v>
      </c>
      <c r="W950" s="126">
        <f t="shared" si="106"/>
        <v>40000</v>
      </c>
      <c r="X950" s="126">
        <f t="shared" si="107"/>
        <v>615.38461538461536</v>
      </c>
      <c r="Y950" s="128" t="s">
        <v>2593</v>
      </c>
      <c r="Z950" s="119" t="s">
        <v>35</v>
      </c>
      <c r="AA950" s="119" t="s">
        <v>35</v>
      </c>
      <c r="AB950" s="119" t="s">
        <v>2768</v>
      </c>
      <c r="AC950" s="119">
        <v>0</v>
      </c>
      <c r="AD950" s="119">
        <v>1</v>
      </c>
      <c r="AE950" s="119" t="s">
        <v>42</v>
      </c>
      <c r="AF950" s="119" t="s">
        <v>43</v>
      </c>
      <c r="AG950" s="119" t="s">
        <v>38</v>
      </c>
      <c r="AH950" s="119" t="s">
        <v>92</v>
      </c>
    </row>
    <row r="951" spans="1:34" x14ac:dyDescent="0.3">
      <c r="A951" s="118" t="s">
        <v>2074</v>
      </c>
      <c r="B951" s="119" t="s">
        <v>2075</v>
      </c>
      <c r="C951" s="119" t="s">
        <v>2076</v>
      </c>
      <c r="D951" s="120">
        <v>45204</v>
      </c>
      <c r="E951" s="121">
        <v>300000</v>
      </c>
      <c r="F951" s="119" t="s">
        <v>32</v>
      </c>
      <c r="G951" s="119" t="s">
        <v>33</v>
      </c>
      <c r="H951" s="121">
        <v>300000</v>
      </c>
      <c r="I951" s="121">
        <v>146800</v>
      </c>
      <c r="J951" s="122">
        <f t="shared" si="101"/>
        <v>48.933333333333337</v>
      </c>
      <c r="K951" s="121">
        <v>334792</v>
      </c>
      <c r="L951" s="121">
        <f>H951-297893</f>
        <v>2107</v>
      </c>
      <c r="M951" s="121">
        <v>36899</v>
      </c>
      <c r="N951" s="123">
        <f t="shared" si="102"/>
        <v>0.12299666666666667</v>
      </c>
      <c r="O951" s="124">
        <v>89.77</v>
      </c>
      <c r="P951" s="125">
        <v>130.57</v>
      </c>
      <c r="Q951" s="126">
        <v>0.30599999999999999</v>
      </c>
      <c r="R951" s="126">
        <v>0.30599999999999999</v>
      </c>
      <c r="S951" s="121">
        <f t="shared" si="103"/>
        <v>23.471092792692438</v>
      </c>
      <c r="T951" s="121">
        <f t="shared" si="104"/>
        <v>6885.6209150326795</v>
      </c>
      <c r="U951" s="127">
        <f t="shared" si="105"/>
        <v>0.15807210548743525</v>
      </c>
      <c r="V951" s="126">
        <v>98.59</v>
      </c>
      <c r="W951" s="126">
        <f t="shared" si="106"/>
        <v>60000</v>
      </c>
      <c r="X951" s="126">
        <f t="shared" si="107"/>
        <v>608.58099198701689</v>
      </c>
      <c r="Y951" s="128" t="s">
        <v>2073</v>
      </c>
      <c r="Z951" s="119" t="s">
        <v>35</v>
      </c>
      <c r="AA951" s="119" t="s">
        <v>35</v>
      </c>
      <c r="AB951" s="119" t="s">
        <v>2074</v>
      </c>
      <c r="AC951" s="119">
        <v>0</v>
      </c>
      <c r="AD951" s="119">
        <v>1</v>
      </c>
      <c r="AE951" s="119" t="s">
        <v>37</v>
      </c>
      <c r="AF951" s="119" t="s">
        <v>43</v>
      </c>
      <c r="AG951" s="119" t="s">
        <v>38</v>
      </c>
      <c r="AH951" s="119" t="s">
        <v>92</v>
      </c>
    </row>
    <row r="952" spans="1:34" x14ac:dyDescent="0.3">
      <c r="A952" s="118" t="s">
        <v>2074</v>
      </c>
      <c r="B952" s="119" t="s">
        <v>2071</v>
      </c>
      <c r="C952" s="119" t="s">
        <v>2072</v>
      </c>
      <c r="D952" s="120">
        <v>45247</v>
      </c>
      <c r="E952" s="121">
        <v>350000</v>
      </c>
      <c r="F952" s="119" t="s">
        <v>32</v>
      </c>
      <c r="G952" s="119" t="s">
        <v>33</v>
      </c>
      <c r="H952" s="121">
        <v>350000</v>
      </c>
      <c r="I952" s="121">
        <v>164200</v>
      </c>
      <c r="J952" s="122">
        <f t="shared" si="101"/>
        <v>46.914285714285711</v>
      </c>
      <c r="K952" s="121">
        <v>373742</v>
      </c>
      <c r="L952" s="121">
        <f>H952-343341</f>
        <v>6659</v>
      </c>
      <c r="M952" s="121">
        <v>30401</v>
      </c>
      <c r="N952" s="123">
        <f t="shared" si="102"/>
        <v>8.6860000000000007E-2</v>
      </c>
      <c r="O952" s="124">
        <v>73.959999999999994</v>
      </c>
      <c r="P952" s="125">
        <v>160.49</v>
      </c>
      <c r="Q952" s="126">
        <v>0.27600000000000002</v>
      </c>
      <c r="R952" s="126">
        <v>0.27600000000000002</v>
      </c>
      <c r="S952" s="121">
        <f t="shared" si="103"/>
        <v>90.035154137371563</v>
      </c>
      <c r="T952" s="121">
        <f t="shared" si="104"/>
        <v>24126.811594202896</v>
      </c>
      <c r="U952" s="127">
        <f t="shared" si="105"/>
        <v>0.55387538095047972</v>
      </c>
      <c r="V952" s="126">
        <v>75</v>
      </c>
      <c r="W952" s="126">
        <f t="shared" si="106"/>
        <v>70000</v>
      </c>
      <c r="X952" s="126">
        <f t="shared" si="107"/>
        <v>933.33333333333337</v>
      </c>
      <c r="Y952" s="128" t="s">
        <v>2073</v>
      </c>
      <c r="Z952" s="119" t="s">
        <v>35</v>
      </c>
      <c r="AA952" s="119" t="s">
        <v>35</v>
      </c>
      <c r="AB952" s="119" t="s">
        <v>2074</v>
      </c>
      <c r="AC952" s="119">
        <v>0</v>
      </c>
      <c r="AD952" s="119">
        <v>1</v>
      </c>
      <c r="AE952" s="119" t="s">
        <v>37</v>
      </c>
      <c r="AF952" s="119" t="s">
        <v>43</v>
      </c>
      <c r="AG952" s="119" t="s">
        <v>38</v>
      </c>
      <c r="AH952" s="119" t="s">
        <v>92</v>
      </c>
    </row>
    <row r="953" spans="1:34" x14ac:dyDescent="0.3">
      <c r="A953" s="118" t="s">
        <v>1408</v>
      </c>
      <c r="B953" s="119" t="s">
        <v>1511</v>
      </c>
      <c r="C953" s="119" t="s">
        <v>1512</v>
      </c>
      <c r="D953" s="120">
        <v>45547</v>
      </c>
      <c r="E953" s="121">
        <v>375000</v>
      </c>
      <c r="F953" s="119" t="s">
        <v>32</v>
      </c>
      <c r="G953" s="119" t="s">
        <v>33</v>
      </c>
      <c r="H953" s="121">
        <v>375000</v>
      </c>
      <c r="I953" s="121">
        <v>161700</v>
      </c>
      <c r="J953" s="122">
        <f t="shared" si="101"/>
        <v>43.120000000000005</v>
      </c>
      <c r="K953" s="121">
        <v>343552</v>
      </c>
      <c r="L953" s="121">
        <f>H953-301783</f>
        <v>73217</v>
      </c>
      <c r="M953" s="121">
        <v>41769</v>
      </c>
      <c r="N953" s="123">
        <f t="shared" si="102"/>
        <v>0.111384</v>
      </c>
      <c r="O953" s="124">
        <v>101.62</v>
      </c>
      <c r="P953" s="125">
        <v>111</v>
      </c>
      <c r="Q953" s="126">
        <v>0.23799999999999999</v>
      </c>
      <c r="R953" s="126">
        <v>0.23799999999999999</v>
      </c>
      <c r="S953" s="121">
        <f t="shared" si="103"/>
        <v>720.49793347766183</v>
      </c>
      <c r="T953" s="121">
        <f t="shared" si="104"/>
        <v>307634.45378151262</v>
      </c>
      <c r="U953" s="127">
        <f t="shared" si="105"/>
        <v>7.0623152842404187</v>
      </c>
      <c r="V953" s="126">
        <v>130</v>
      </c>
      <c r="W953" s="126">
        <f t="shared" si="106"/>
        <v>75000</v>
      </c>
      <c r="X953" s="126">
        <f t="shared" si="107"/>
        <v>576.92307692307691</v>
      </c>
      <c r="Y953" s="128" t="s">
        <v>1407</v>
      </c>
      <c r="Z953" s="119" t="s">
        <v>35</v>
      </c>
      <c r="AA953" s="119" t="s">
        <v>35</v>
      </c>
      <c r="AB953" s="119" t="s">
        <v>1408</v>
      </c>
      <c r="AC953" s="119">
        <v>0</v>
      </c>
      <c r="AD953" s="119">
        <v>1</v>
      </c>
      <c r="AE953" s="119" t="s">
        <v>37</v>
      </c>
      <c r="AF953" s="119" t="s">
        <v>43</v>
      </c>
      <c r="AG953" s="119" t="s">
        <v>38</v>
      </c>
      <c r="AH953" s="119" t="s">
        <v>92</v>
      </c>
    </row>
    <row r="954" spans="1:34" x14ac:dyDescent="0.3">
      <c r="A954" s="118" t="s">
        <v>1408</v>
      </c>
      <c r="B954" s="119" t="s">
        <v>1405</v>
      </c>
      <c r="C954" s="119" t="s">
        <v>1406</v>
      </c>
      <c r="D954" s="120">
        <v>45646</v>
      </c>
      <c r="E954" s="121">
        <v>360990</v>
      </c>
      <c r="F954" s="119" t="s">
        <v>32</v>
      </c>
      <c r="G954" s="119" t="s">
        <v>33</v>
      </c>
      <c r="H954" s="121">
        <v>360990</v>
      </c>
      <c r="I954" s="121">
        <v>176600</v>
      </c>
      <c r="J954" s="122">
        <f t="shared" si="101"/>
        <v>48.921022743012273</v>
      </c>
      <c r="K954" s="121">
        <v>379561</v>
      </c>
      <c r="L954" s="121">
        <f>H954-334351</f>
        <v>26639</v>
      </c>
      <c r="M954" s="121">
        <v>45210</v>
      </c>
      <c r="N954" s="123">
        <f t="shared" si="102"/>
        <v>0.12523892628604671</v>
      </c>
      <c r="O954" s="124">
        <v>110</v>
      </c>
      <c r="P954" s="125">
        <v>120</v>
      </c>
      <c r="Q954" s="126">
        <v>0.28199999999999997</v>
      </c>
      <c r="R954" s="126">
        <v>0.28199999999999997</v>
      </c>
      <c r="S954" s="121">
        <f t="shared" si="103"/>
        <v>242.17272727272729</v>
      </c>
      <c r="T954" s="121">
        <f t="shared" si="104"/>
        <v>94464.539007092215</v>
      </c>
      <c r="U954" s="127">
        <f t="shared" si="105"/>
        <v>2.1686074152225028</v>
      </c>
      <c r="V954" s="126">
        <v>125</v>
      </c>
      <c r="W954" s="126">
        <f t="shared" si="106"/>
        <v>72198</v>
      </c>
      <c r="X954" s="126">
        <f t="shared" si="107"/>
        <v>577.58399999999995</v>
      </c>
      <c r="Y954" s="128" t="s">
        <v>1407</v>
      </c>
      <c r="Z954" s="119" t="s">
        <v>35</v>
      </c>
      <c r="AA954" s="119" t="s">
        <v>35</v>
      </c>
      <c r="AB954" s="119" t="s">
        <v>1408</v>
      </c>
      <c r="AC954" s="119">
        <v>0</v>
      </c>
      <c r="AD954" s="119">
        <v>0</v>
      </c>
      <c r="AE954" s="119" t="s">
        <v>37</v>
      </c>
      <c r="AF954" s="119" t="s">
        <v>35</v>
      </c>
      <c r="AG954" s="119" t="s">
        <v>38</v>
      </c>
      <c r="AH954" s="119" t="s">
        <v>92</v>
      </c>
    </row>
    <row r="955" spans="1:34" x14ac:dyDescent="0.3">
      <c r="A955" s="118" t="s">
        <v>1408</v>
      </c>
      <c r="B955" s="119" t="s">
        <v>1438</v>
      </c>
      <c r="C955" s="119" t="s">
        <v>1439</v>
      </c>
      <c r="D955" s="120">
        <v>45523</v>
      </c>
      <c r="E955" s="121">
        <v>344000</v>
      </c>
      <c r="F955" s="119" t="s">
        <v>32</v>
      </c>
      <c r="G955" s="119" t="s">
        <v>33</v>
      </c>
      <c r="H955" s="121">
        <v>344000</v>
      </c>
      <c r="I955" s="121">
        <v>70700</v>
      </c>
      <c r="J955" s="122">
        <f t="shared" si="101"/>
        <v>20.552325581395348</v>
      </c>
      <c r="K955" s="121">
        <v>313311</v>
      </c>
      <c r="L955" s="121">
        <f>H955-281527</f>
        <v>62473</v>
      </c>
      <c r="M955" s="121">
        <v>31784</v>
      </c>
      <c r="N955" s="123">
        <f t="shared" si="102"/>
        <v>9.2395348837209304E-2</v>
      </c>
      <c r="O955" s="124">
        <v>77.33</v>
      </c>
      <c r="P955" s="125">
        <v>120</v>
      </c>
      <c r="Q955" s="126">
        <v>0.2</v>
      </c>
      <c r="R955" s="126">
        <v>0.2</v>
      </c>
      <c r="S955" s="121">
        <f t="shared" si="103"/>
        <v>807.87533945428686</v>
      </c>
      <c r="T955" s="121">
        <f t="shared" si="104"/>
        <v>312365</v>
      </c>
      <c r="U955" s="127">
        <f t="shared" si="105"/>
        <v>7.1709136822773187</v>
      </c>
      <c r="V955" s="126">
        <v>87</v>
      </c>
      <c r="W955" s="126">
        <f t="shared" si="106"/>
        <v>68800</v>
      </c>
      <c r="X955" s="126">
        <f t="shared" si="107"/>
        <v>790.80459770114942</v>
      </c>
      <c r="Y955" s="128" t="s">
        <v>1407</v>
      </c>
      <c r="Z955" s="119" t="s">
        <v>35</v>
      </c>
      <c r="AA955" s="119" t="s">
        <v>35</v>
      </c>
      <c r="AB955" s="119" t="s">
        <v>1408</v>
      </c>
      <c r="AC955" s="119">
        <v>0</v>
      </c>
      <c r="AD955" s="119">
        <v>0</v>
      </c>
      <c r="AE955" s="119" t="s">
        <v>37</v>
      </c>
      <c r="AF955" s="119" t="s">
        <v>43</v>
      </c>
      <c r="AG955" s="119" t="s">
        <v>38</v>
      </c>
      <c r="AH955" s="119" t="s">
        <v>92</v>
      </c>
    </row>
    <row r="956" spans="1:34" x14ac:dyDescent="0.3">
      <c r="A956" s="118" t="s">
        <v>1408</v>
      </c>
      <c r="B956" s="119" t="s">
        <v>1414</v>
      </c>
      <c r="C956" s="119" t="s">
        <v>1415</v>
      </c>
      <c r="D956" s="120">
        <v>45044</v>
      </c>
      <c r="E956" s="121">
        <v>304990</v>
      </c>
      <c r="F956" s="119" t="s">
        <v>32</v>
      </c>
      <c r="G956" s="119" t="s">
        <v>33</v>
      </c>
      <c r="H956" s="121">
        <v>304990</v>
      </c>
      <c r="I956" s="121">
        <v>62500</v>
      </c>
      <c r="J956" s="122">
        <f t="shared" si="101"/>
        <v>20.492475163120101</v>
      </c>
      <c r="K956" s="121">
        <v>313634</v>
      </c>
      <c r="L956" s="121">
        <f>H956-281266</f>
        <v>23724</v>
      </c>
      <c r="M956" s="121">
        <v>32368</v>
      </c>
      <c r="N956" s="123">
        <f t="shared" si="102"/>
        <v>0.10612806977277943</v>
      </c>
      <c r="O956" s="124">
        <v>78.75</v>
      </c>
      <c r="P956" s="125">
        <v>133.5</v>
      </c>
      <c r="Q956" s="126">
        <v>0.22500000000000001</v>
      </c>
      <c r="R956" s="126">
        <v>0.22500000000000001</v>
      </c>
      <c r="S956" s="121">
        <f t="shared" si="103"/>
        <v>301.25714285714287</v>
      </c>
      <c r="T956" s="121">
        <f t="shared" si="104"/>
        <v>105440</v>
      </c>
      <c r="U956" s="127">
        <f t="shared" si="105"/>
        <v>2.4205693296602386</v>
      </c>
      <c r="V956" s="126">
        <v>77</v>
      </c>
      <c r="W956" s="126">
        <f t="shared" si="106"/>
        <v>60998</v>
      </c>
      <c r="X956" s="126">
        <f t="shared" si="107"/>
        <v>792.18181818181813</v>
      </c>
      <c r="Y956" s="128" t="s">
        <v>1407</v>
      </c>
      <c r="Z956" s="119" t="s">
        <v>35</v>
      </c>
      <c r="AA956" s="119" t="s">
        <v>35</v>
      </c>
      <c r="AB956" s="119" t="s">
        <v>1408</v>
      </c>
      <c r="AC956" s="119">
        <v>0</v>
      </c>
      <c r="AD956" s="119">
        <v>0</v>
      </c>
      <c r="AE956" s="119" t="s">
        <v>37</v>
      </c>
      <c r="AF956" s="119" t="s">
        <v>43</v>
      </c>
      <c r="AG956" s="119" t="s">
        <v>38</v>
      </c>
      <c r="AH956" s="119" t="s">
        <v>92</v>
      </c>
    </row>
    <row r="957" spans="1:34" x14ac:dyDescent="0.3">
      <c r="A957" s="107" t="s">
        <v>1408</v>
      </c>
      <c r="B957" s="108" t="s">
        <v>1458</v>
      </c>
      <c r="C957" s="108" t="s">
        <v>1459</v>
      </c>
      <c r="D957" s="109">
        <v>45408</v>
      </c>
      <c r="E957" s="110">
        <v>337990</v>
      </c>
      <c r="F957" s="108" t="s">
        <v>32</v>
      </c>
      <c r="G957" s="108" t="s">
        <v>33</v>
      </c>
      <c r="H957" s="110">
        <v>337990</v>
      </c>
      <c r="I957" s="110">
        <v>25300</v>
      </c>
      <c r="J957" s="111">
        <f t="shared" si="101"/>
        <v>7.4854285629752351</v>
      </c>
      <c r="K957" s="110">
        <v>318373</v>
      </c>
      <c r="L957" s="110">
        <f>H957-283027</f>
        <v>54963</v>
      </c>
      <c r="M957" s="110">
        <v>35346</v>
      </c>
      <c r="N957" s="112">
        <f t="shared" si="102"/>
        <v>0.10457705849285481</v>
      </c>
      <c r="O957" s="113">
        <v>86</v>
      </c>
      <c r="P957" s="114">
        <v>120</v>
      </c>
      <c r="Q957" s="115">
        <v>0.24</v>
      </c>
      <c r="R957" s="115">
        <v>0.24</v>
      </c>
      <c r="S957" s="110">
        <f t="shared" si="103"/>
        <v>639.10465116279067</v>
      </c>
      <c r="T957" s="110">
        <f t="shared" si="104"/>
        <v>229012.5</v>
      </c>
      <c r="U957" s="116">
        <f t="shared" si="105"/>
        <v>5.2574035812672175</v>
      </c>
      <c r="V957" s="115">
        <v>84</v>
      </c>
      <c r="W957" s="115">
        <f t="shared" si="106"/>
        <v>67598</v>
      </c>
      <c r="X957" s="115">
        <f t="shared" si="107"/>
        <v>804.73809523809518</v>
      </c>
      <c r="Y957" s="117" t="s">
        <v>1407</v>
      </c>
      <c r="Z957" s="108" t="s">
        <v>35</v>
      </c>
      <c r="AA957" s="108" t="s">
        <v>35</v>
      </c>
      <c r="AB957" s="108" t="s">
        <v>1408</v>
      </c>
      <c r="AC957" s="108">
        <v>0</v>
      </c>
      <c r="AD957" s="108">
        <v>0</v>
      </c>
      <c r="AE957" s="108" t="s">
        <v>37</v>
      </c>
      <c r="AF957" s="108" t="s">
        <v>43</v>
      </c>
      <c r="AG957" s="108" t="s">
        <v>38</v>
      </c>
      <c r="AH957" s="108" t="s">
        <v>92</v>
      </c>
    </row>
    <row r="958" spans="1:34" x14ac:dyDescent="0.3">
      <c r="A958" s="118" t="s">
        <v>1408</v>
      </c>
      <c r="B958" s="119" t="s">
        <v>1432</v>
      </c>
      <c r="C958" s="119" t="s">
        <v>1433</v>
      </c>
      <c r="D958" s="120">
        <v>45317</v>
      </c>
      <c r="E958" s="121">
        <v>299900</v>
      </c>
      <c r="F958" s="119" t="s">
        <v>32</v>
      </c>
      <c r="G958" s="119" t="s">
        <v>33</v>
      </c>
      <c r="H958" s="121">
        <v>299900</v>
      </c>
      <c r="I958" s="121">
        <v>130000</v>
      </c>
      <c r="J958" s="122">
        <f t="shared" si="101"/>
        <v>43.347782594198065</v>
      </c>
      <c r="K958" s="121">
        <v>278123</v>
      </c>
      <c r="L958" s="121">
        <f>H958-249353</f>
        <v>50547</v>
      </c>
      <c r="M958" s="121">
        <v>28770</v>
      </c>
      <c r="N958" s="123">
        <f t="shared" si="102"/>
        <v>9.5931977325775256E-2</v>
      </c>
      <c r="O958" s="124">
        <v>70</v>
      </c>
      <c r="P958" s="125">
        <v>120</v>
      </c>
      <c r="Q958" s="126">
        <v>0.193</v>
      </c>
      <c r="R958" s="126">
        <v>0.193</v>
      </c>
      <c r="S958" s="121">
        <f t="shared" si="103"/>
        <v>722.1</v>
      </c>
      <c r="T958" s="121">
        <f t="shared" si="104"/>
        <v>261901.55440414508</v>
      </c>
      <c r="U958" s="127">
        <f t="shared" si="105"/>
        <v>6.0124323784238998</v>
      </c>
      <c r="V958" s="126">
        <v>70</v>
      </c>
      <c r="W958" s="126">
        <f t="shared" si="106"/>
        <v>59980</v>
      </c>
      <c r="X958" s="126">
        <f t="shared" si="107"/>
        <v>856.85714285714289</v>
      </c>
      <c r="Y958" s="128" t="s">
        <v>1407</v>
      </c>
      <c r="Z958" s="119" t="s">
        <v>35</v>
      </c>
      <c r="AA958" s="119" t="s">
        <v>35</v>
      </c>
      <c r="AB958" s="119" t="s">
        <v>1408</v>
      </c>
      <c r="AC958" s="119">
        <v>0</v>
      </c>
      <c r="AD958" s="119">
        <v>1</v>
      </c>
      <c r="AE958" s="119" t="s">
        <v>37</v>
      </c>
      <c r="AF958" s="119" t="s">
        <v>43</v>
      </c>
      <c r="AG958" s="119" t="s">
        <v>38</v>
      </c>
      <c r="AH958" s="119" t="s">
        <v>92</v>
      </c>
    </row>
    <row r="959" spans="1:34" x14ac:dyDescent="0.3">
      <c r="A959" s="118" t="s">
        <v>1408</v>
      </c>
      <c r="B959" s="119" t="s">
        <v>1456</v>
      </c>
      <c r="C959" s="119" t="s">
        <v>1457</v>
      </c>
      <c r="D959" s="120">
        <v>45443</v>
      </c>
      <c r="E959" s="121">
        <v>362490</v>
      </c>
      <c r="F959" s="119" t="s">
        <v>32</v>
      </c>
      <c r="G959" s="119" t="s">
        <v>33</v>
      </c>
      <c r="H959" s="121">
        <v>362490</v>
      </c>
      <c r="I959" s="121">
        <v>16100</v>
      </c>
      <c r="J959" s="122">
        <f t="shared" si="101"/>
        <v>4.4415018345333666</v>
      </c>
      <c r="K959" s="121">
        <v>380522</v>
      </c>
      <c r="L959" s="121">
        <f>H959-344765</f>
        <v>17725</v>
      </c>
      <c r="M959" s="121">
        <v>35757</v>
      </c>
      <c r="N959" s="123">
        <f t="shared" si="102"/>
        <v>9.8642721178515275E-2</v>
      </c>
      <c r="O959" s="124">
        <v>87</v>
      </c>
      <c r="P959" s="125">
        <v>120</v>
      </c>
      <c r="Q959" s="126">
        <v>0.24399999999999999</v>
      </c>
      <c r="R959" s="126">
        <v>0.24399999999999999</v>
      </c>
      <c r="S959" s="121">
        <f t="shared" si="103"/>
        <v>203.73563218390805</v>
      </c>
      <c r="T959" s="121">
        <f t="shared" si="104"/>
        <v>72643.442622950824</v>
      </c>
      <c r="U959" s="127">
        <f t="shared" si="105"/>
        <v>1.6676639720603954</v>
      </c>
      <c r="V959" s="126">
        <v>84</v>
      </c>
      <c r="W959" s="126">
        <f t="shared" si="106"/>
        <v>72498</v>
      </c>
      <c r="X959" s="126">
        <f t="shared" si="107"/>
        <v>863.07142857142856</v>
      </c>
      <c r="Y959" s="128" t="s">
        <v>1407</v>
      </c>
      <c r="Z959" s="119" t="s">
        <v>35</v>
      </c>
      <c r="AA959" s="119" t="s">
        <v>35</v>
      </c>
      <c r="AB959" s="119" t="s">
        <v>1408</v>
      </c>
      <c r="AC959" s="119">
        <v>0</v>
      </c>
      <c r="AD959" s="119">
        <v>0</v>
      </c>
      <c r="AE959" s="119" t="s">
        <v>37</v>
      </c>
      <c r="AF959" s="119" t="s">
        <v>43</v>
      </c>
      <c r="AG959" s="119" t="s">
        <v>38</v>
      </c>
      <c r="AH959" s="119" t="s">
        <v>92</v>
      </c>
    </row>
    <row r="960" spans="1:34" x14ac:dyDescent="0.3">
      <c r="A960" s="118" t="s">
        <v>1408</v>
      </c>
      <c r="B960" s="119" t="s">
        <v>1454</v>
      </c>
      <c r="C960" s="119" t="s">
        <v>1455</v>
      </c>
      <c r="D960" s="120">
        <v>45442</v>
      </c>
      <c r="E960" s="121">
        <v>356990</v>
      </c>
      <c r="F960" s="119" t="s">
        <v>32</v>
      </c>
      <c r="G960" s="119" t="s">
        <v>33</v>
      </c>
      <c r="H960" s="121">
        <v>356990</v>
      </c>
      <c r="I960" s="121">
        <v>19200</v>
      </c>
      <c r="J960" s="122">
        <f t="shared" si="101"/>
        <v>5.3783019132188574</v>
      </c>
      <c r="K960" s="121">
        <v>347388</v>
      </c>
      <c r="L960" s="121">
        <f>H960-304825</f>
        <v>52165</v>
      </c>
      <c r="M960" s="121">
        <v>42563</v>
      </c>
      <c r="N960" s="123">
        <f t="shared" si="102"/>
        <v>0.11922742933975741</v>
      </c>
      <c r="O960" s="124">
        <v>103.55</v>
      </c>
      <c r="P960" s="125">
        <v>134</v>
      </c>
      <c r="Q960" s="126">
        <v>0.27800000000000002</v>
      </c>
      <c r="R960" s="126">
        <v>0.32600000000000001</v>
      </c>
      <c r="S960" s="121">
        <f t="shared" si="103"/>
        <v>503.76629647513278</v>
      </c>
      <c r="T960" s="121">
        <f t="shared" si="104"/>
        <v>187643.88489208632</v>
      </c>
      <c r="U960" s="127">
        <f t="shared" si="105"/>
        <v>4.3077108561085016</v>
      </c>
      <c r="V960" s="126">
        <v>82</v>
      </c>
      <c r="W960" s="126">
        <f t="shared" si="106"/>
        <v>71398</v>
      </c>
      <c r="X960" s="126">
        <f t="shared" si="107"/>
        <v>870.70731707317077</v>
      </c>
      <c r="Y960" s="128" t="s">
        <v>1407</v>
      </c>
      <c r="Z960" s="119" t="s">
        <v>35</v>
      </c>
      <c r="AA960" s="119" t="s">
        <v>35</v>
      </c>
      <c r="AB960" s="119" t="s">
        <v>1408</v>
      </c>
      <c r="AC960" s="119">
        <v>0</v>
      </c>
      <c r="AD960" s="119">
        <v>0</v>
      </c>
      <c r="AE960" s="119" t="s">
        <v>37</v>
      </c>
      <c r="AF960" s="119" t="s">
        <v>43</v>
      </c>
      <c r="AG960" s="119" t="s">
        <v>38</v>
      </c>
      <c r="AH960" s="119" t="s">
        <v>92</v>
      </c>
    </row>
    <row r="961" spans="1:34" x14ac:dyDescent="0.3">
      <c r="A961" s="107" t="s">
        <v>1408</v>
      </c>
      <c r="B961" s="108" t="s">
        <v>1436</v>
      </c>
      <c r="C961" s="108" t="s">
        <v>1437</v>
      </c>
      <c r="D961" s="109">
        <v>45463</v>
      </c>
      <c r="E961" s="110">
        <v>465000</v>
      </c>
      <c r="F961" s="108" t="s">
        <v>32</v>
      </c>
      <c r="G961" s="108" t="s">
        <v>33</v>
      </c>
      <c r="H961" s="110">
        <v>465000</v>
      </c>
      <c r="I961" s="110">
        <v>177700</v>
      </c>
      <c r="J961" s="111">
        <f t="shared" si="101"/>
        <v>38.215053763440856</v>
      </c>
      <c r="K961" s="110">
        <v>377651</v>
      </c>
      <c r="L961" s="110">
        <f>H961-341195</f>
        <v>123805</v>
      </c>
      <c r="M961" s="110">
        <v>36456</v>
      </c>
      <c r="N961" s="112">
        <f t="shared" si="102"/>
        <v>7.8399999999999997E-2</v>
      </c>
      <c r="O961" s="113">
        <v>88.7</v>
      </c>
      <c r="P961" s="114">
        <v>121</v>
      </c>
      <c r="Q961" s="115">
        <v>0.224</v>
      </c>
      <c r="R961" s="115">
        <v>0.224</v>
      </c>
      <c r="S961" s="110">
        <f t="shared" si="103"/>
        <v>1395.772266065389</v>
      </c>
      <c r="T961" s="110">
        <f t="shared" si="104"/>
        <v>552700.89285714284</v>
      </c>
      <c r="U961" s="116">
        <f t="shared" si="105"/>
        <v>12.688266594516595</v>
      </c>
      <c r="V961" s="115">
        <v>104</v>
      </c>
      <c r="W961" s="115">
        <f t="shared" si="106"/>
        <v>93000</v>
      </c>
      <c r="X961" s="115">
        <f t="shared" si="107"/>
        <v>894.23076923076928</v>
      </c>
      <c r="Y961" s="117" t="s">
        <v>1407</v>
      </c>
      <c r="Z961" s="108" t="s">
        <v>35</v>
      </c>
      <c r="AA961" s="108" t="s">
        <v>35</v>
      </c>
      <c r="AB961" s="108" t="s">
        <v>1408</v>
      </c>
      <c r="AC961" s="108">
        <v>0</v>
      </c>
      <c r="AD961" s="108">
        <v>1</v>
      </c>
      <c r="AE961" s="108" t="s">
        <v>37</v>
      </c>
      <c r="AF961" s="108" t="s">
        <v>43</v>
      </c>
      <c r="AG961" s="108" t="s">
        <v>38</v>
      </c>
      <c r="AH961" s="108" t="s">
        <v>92</v>
      </c>
    </row>
    <row r="962" spans="1:34" x14ac:dyDescent="0.3">
      <c r="A962" s="118" t="s">
        <v>1408</v>
      </c>
      <c r="B962" s="119" t="s">
        <v>1502</v>
      </c>
      <c r="C962" s="119" t="s">
        <v>1503</v>
      </c>
      <c r="D962" s="120">
        <v>45065</v>
      </c>
      <c r="E962" s="121">
        <v>314490</v>
      </c>
      <c r="F962" s="119" t="s">
        <v>32</v>
      </c>
      <c r="G962" s="119" t="s">
        <v>33</v>
      </c>
      <c r="H962" s="121">
        <v>314490</v>
      </c>
      <c r="I962" s="121">
        <v>68900</v>
      </c>
      <c r="J962" s="122">
        <f t="shared" ref="J962:J1025" si="108">I962/H962*100</f>
        <v>21.908486756335655</v>
      </c>
      <c r="K962" s="121">
        <v>355590</v>
      </c>
      <c r="L962" s="121">
        <f>H962-326820</f>
        <v>-12330</v>
      </c>
      <c r="M962" s="121">
        <v>28770</v>
      </c>
      <c r="N962" s="123">
        <f t="shared" ref="N962:N1025" si="109">M962/E962</f>
        <v>9.1481446150911E-2</v>
      </c>
      <c r="O962" s="124">
        <v>70</v>
      </c>
      <c r="P962" s="125">
        <v>120</v>
      </c>
      <c r="Q962" s="126">
        <v>0.193</v>
      </c>
      <c r="R962" s="126">
        <v>0.193</v>
      </c>
      <c r="S962" s="121">
        <f t="shared" ref="S962:S1025" si="110">L962/O962</f>
        <v>-176.14285714285714</v>
      </c>
      <c r="T962" s="121">
        <f t="shared" ref="T962:T1025" si="111">L962/Q962</f>
        <v>-63886.010362694302</v>
      </c>
      <c r="U962" s="127">
        <f t="shared" ref="U962:U1025" si="112">L962/Q962/43560</f>
        <v>-1.4666209908791161</v>
      </c>
      <c r="V962" s="126">
        <v>70</v>
      </c>
      <c r="W962" s="126">
        <f t="shared" ref="W962:W1025" si="113">0.2*E962</f>
        <v>62898</v>
      </c>
      <c r="X962" s="126">
        <f t="shared" si="107"/>
        <v>898.54285714285709</v>
      </c>
      <c r="Y962" s="128" t="s">
        <v>1407</v>
      </c>
      <c r="Z962" s="119" t="s">
        <v>35</v>
      </c>
      <c r="AA962" s="119" t="s">
        <v>35</v>
      </c>
      <c r="AB962" s="119" t="s">
        <v>1408</v>
      </c>
      <c r="AC962" s="119">
        <v>0</v>
      </c>
      <c r="AD962" s="119">
        <v>0</v>
      </c>
      <c r="AE962" s="119" t="s">
        <v>37</v>
      </c>
      <c r="AF962" s="119" t="s">
        <v>43</v>
      </c>
      <c r="AG962" s="119" t="s">
        <v>38</v>
      </c>
      <c r="AH962" s="119" t="s">
        <v>92</v>
      </c>
    </row>
    <row r="963" spans="1:34" x14ac:dyDescent="0.3">
      <c r="A963" s="107" t="s">
        <v>1408</v>
      </c>
      <c r="B963" s="108" t="s">
        <v>1428</v>
      </c>
      <c r="C963" s="108" t="s">
        <v>1429</v>
      </c>
      <c r="D963" s="109">
        <v>45042</v>
      </c>
      <c r="E963" s="110">
        <v>317990</v>
      </c>
      <c r="F963" s="108" t="s">
        <v>32</v>
      </c>
      <c r="G963" s="108" t="s">
        <v>33</v>
      </c>
      <c r="H963" s="110">
        <v>317990</v>
      </c>
      <c r="I963" s="110">
        <v>109800</v>
      </c>
      <c r="J963" s="111">
        <f t="shared" si="108"/>
        <v>34.529387716594862</v>
      </c>
      <c r="K963" s="110">
        <v>306268</v>
      </c>
      <c r="L963" s="110">
        <f>H963-277498</f>
        <v>40492</v>
      </c>
      <c r="M963" s="110">
        <v>28770</v>
      </c>
      <c r="N963" s="112">
        <f t="shared" si="109"/>
        <v>9.0474543224629708E-2</v>
      </c>
      <c r="O963" s="113">
        <v>70</v>
      </c>
      <c r="P963" s="114">
        <v>120</v>
      </c>
      <c r="Q963" s="115">
        <v>0.193</v>
      </c>
      <c r="R963" s="115">
        <v>0.193</v>
      </c>
      <c r="S963" s="110">
        <f t="shared" si="110"/>
        <v>578.45714285714291</v>
      </c>
      <c r="T963" s="110">
        <f t="shared" si="111"/>
        <v>209803.10880829016</v>
      </c>
      <c r="U963" s="116">
        <f t="shared" si="112"/>
        <v>4.8164166393087733</v>
      </c>
      <c r="V963" s="115">
        <v>70</v>
      </c>
      <c r="W963" s="115">
        <f t="shared" si="113"/>
        <v>63598</v>
      </c>
      <c r="X963" s="115">
        <f t="shared" si="107"/>
        <v>908.54285714285709</v>
      </c>
      <c r="Y963" s="117" t="s">
        <v>1407</v>
      </c>
      <c r="Z963" s="108" t="s">
        <v>35</v>
      </c>
      <c r="AA963" s="108" t="s">
        <v>35</v>
      </c>
      <c r="AB963" s="108" t="s">
        <v>1408</v>
      </c>
      <c r="AC963" s="108">
        <v>0</v>
      </c>
      <c r="AD963" s="108">
        <v>0</v>
      </c>
      <c r="AE963" s="108" t="s">
        <v>37</v>
      </c>
      <c r="AF963" s="108" t="s">
        <v>43</v>
      </c>
      <c r="AG963" s="108" t="s">
        <v>38</v>
      </c>
      <c r="AH963" s="108" t="s">
        <v>92</v>
      </c>
    </row>
    <row r="964" spans="1:34" x14ac:dyDescent="0.3">
      <c r="A964" s="118" t="s">
        <v>1408</v>
      </c>
      <c r="B964" s="119" t="s">
        <v>1416</v>
      </c>
      <c r="C964" s="119" t="s">
        <v>1417</v>
      </c>
      <c r="D964" s="120">
        <v>45058</v>
      </c>
      <c r="E964" s="121">
        <v>319990</v>
      </c>
      <c r="F964" s="119" t="s">
        <v>32</v>
      </c>
      <c r="G964" s="119" t="s">
        <v>33</v>
      </c>
      <c r="H964" s="121">
        <v>319990</v>
      </c>
      <c r="I964" s="121">
        <v>65200</v>
      </c>
      <c r="J964" s="122">
        <f t="shared" si="108"/>
        <v>20.375636738648083</v>
      </c>
      <c r="K964" s="121">
        <v>310337</v>
      </c>
      <c r="L964" s="121">
        <f>H964-281567</f>
        <v>38423</v>
      </c>
      <c r="M964" s="121">
        <v>28770</v>
      </c>
      <c r="N964" s="123">
        <f t="shared" si="109"/>
        <v>8.9909059658114313E-2</v>
      </c>
      <c r="O964" s="124">
        <v>70</v>
      </c>
      <c r="P964" s="125">
        <v>120</v>
      </c>
      <c r="Q964" s="126">
        <v>0.193</v>
      </c>
      <c r="R964" s="126">
        <v>0.193</v>
      </c>
      <c r="S964" s="121">
        <f t="shared" si="110"/>
        <v>548.9</v>
      </c>
      <c r="T964" s="121">
        <f t="shared" si="111"/>
        <v>199082.90155440415</v>
      </c>
      <c r="U964" s="127">
        <f t="shared" si="112"/>
        <v>4.5703145444078084</v>
      </c>
      <c r="V964" s="126">
        <v>70</v>
      </c>
      <c r="W964" s="126">
        <f t="shared" si="113"/>
        <v>63998</v>
      </c>
      <c r="X964" s="126">
        <f t="shared" si="107"/>
        <v>914.25714285714287</v>
      </c>
      <c r="Y964" s="128" t="s">
        <v>1407</v>
      </c>
      <c r="Z964" s="119" t="s">
        <v>35</v>
      </c>
      <c r="AA964" s="119" t="s">
        <v>35</v>
      </c>
      <c r="AB964" s="119" t="s">
        <v>1408</v>
      </c>
      <c r="AC964" s="119">
        <v>0</v>
      </c>
      <c r="AD964" s="119">
        <v>0</v>
      </c>
      <c r="AE964" s="119" t="s">
        <v>37</v>
      </c>
      <c r="AF964" s="119" t="s">
        <v>43</v>
      </c>
      <c r="AG964" s="119" t="s">
        <v>38</v>
      </c>
      <c r="AH964" s="119" t="s">
        <v>92</v>
      </c>
    </row>
    <row r="965" spans="1:34" x14ac:dyDescent="0.3">
      <c r="A965" s="107" t="s">
        <v>1408</v>
      </c>
      <c r="B965" s="108" t="s">
        <v>1420</v>
      </c>
      <c r="C965" s="108" t="s">
        <v>1421</v>
      </c>
      <c r="D965" s="109">
        <v>45065</v>
      </c>
      <c r="E965" s="110">
        <v>319990</v>
      </c>
      <c r="F965" s="108" t="s">
        <v>32</v>
      </c>
      <c r="G965" s="108" t="s">
        <v>33</v>
      </c>
      <c r="H965" s="110">
        <v>319990</v>
      </c>
      <c r="I965" s="110">
        <v>61500</v>
      </c>
      <c r="J965" s="111">
        <f t="shared" si="108"/>
        <v>19.219350604706399</v>
      </c>
      <c r="K965" s="110">
        <v>310028</v>
      </c>
      <c r="L965" s="110">
        <f>H965-281258</f>
        <v>38732</v>
      </c>
      <c r="M965" s="110">
        <v>28770</v>
      </c>
      <c r="N965" s="112">
        <f t="shared" si="109"/>
        <v>8.9909059658114313E-2</v>
      </c>
      <c r="O965" s="113">
        <v>70</v>
      </c>
      <c r="P965" s="114">
        <v>120</v>
      </c>
      <c r="Q965" s="115">
        <v>0.193</v>
      </c>
      <c r="R965" s="115">
        <v>0.193</v>
      </c>
      <c r="S965" s="110">
        <f t="shared" si="110"/>
        <v>553.31428571428569</v>
      </c>
      <c r="T965" s="110">
        <f t="shared" si="111"/>
        <v>200683.93782383419</v>
      </c>
      <c r="U965" s="116">
        <f t="shared" si="112"/>
        <v>4.6070692797023458</v>
      </c>
      <c r="V965" s="115">
        <v>70</v>
      </c>
      <c r="W965" s="115">
        <f t="shared" si="113"/>
        <v>63998</v>
      </c>
      <c r="X965" s="115">
        <f t="shared" si="107"/>
        <v>914.25714285714287</v>
      </c>
      <c r="Y965" s="117" t="s">
        <v>1407</v>
      </c>
      <c r="Z965" s="108" t="s">
        <v>35</v>
      </c>
      <c r="AA965" s="108" t="s">
        <v>35</v>
      </c>
      <c r="AB965" s="108" t="s">
        <v>1408</v>
      </c>
      <c r="AC965" s="108">
        <v>0</v>
      </c>
      <c r="AD965" s="108">
        <v>0</v>
      </c>
      <c r="AE965" s="108" t="s">
        <v>37</v>
      </c>
      <c r="AF965" s="108" t="s">
        <v>43</v>
      </c>
      <c r="AG965" s="108" t="s">
        <v>38</v>
      </c>
      <c r="AH965" s="108" t="s">
        <v>92</v>
      </c>
    </row>
    <row r="966" spans="1:34" x14ac:dyDescent="0.3">
      <c r="A966" s="118" t="s">
        <v>1408</v>
      </c>
      <c r="B966" s="119" t="s">
        <v>1513</v>
      </c>
      <c r="C966" s="119" t="s">
        <v>1514</v>
      </c>
      <c r="D966" s="120">
        <v>45078</v>
      </c>
      <c r="E966" s="121">
        <v>323000</v>
      </c>
      <c r="F966" s="119" t="s">
        <v>32</v>
      </c>
      <c r="G966" s="119" t="s">
        <v>33</v>
      </c>
      <c r="H966" s="121">
        <v>323000</v>
      </c>
      <c r="I966" s="121">
        <v>64400</v>
      </c>
      <c r="J966" s="122">
        <f t="shared" si="108"/>
        <v>19.938080495356036</v>
      </c>
      <c r="K966" s="121">
        <v>324483</v>
      </c>
      <c r="L966" s="121">
        <f>H966-295713</f>
        <v>27287</v>
      </c>
      <c r="M966" s="121">
        <v>28770</v>
      </c>
      <c r="N966" s="123">
        <f t="shared" si="109"/>
        <v>8.9071207430340554E-2</v>
      </c>
      <c r="O966" s="124">
        <v>70</v>
      </c>
      <c r="P966" s="125">
        <v>120</v>
      </c>
      <c r="Q966" s="126">
        <v>0.193</v>
      </c>
      <c r="R966" s="126">
        <v>0.193</v>
      </c>
      <c r="S966" s="121">
        <f t="shared" si="110"/>
        <v>389.81428571428569</v>
      </c>
      <c r="T966" s="121">
        <f t="shared" si="111"/>
        <v>141383.41968911915</v>
      </c>
      <c r="U966" s="127">
        <f t="shared" si="112"/>
        <v>3.2457167054435065</v>
      </c>
      <c r="V966" s="126">
        <v>70</v>
      </c>
      <c r="W966" s="126">
        <f t="shared" si="113"/>
        <v>64600</v>
      </c>
      <c r="X966" s="126">
        <f t="shared" si="107"/>
        <v>922.85714285714289</v>
      </c>
      <c r="Y966" s="128" t="s">
        <v>1407</v>
      </c>
      <c r="Z966" s="119" t="s">
        <v>35</v>
      </c>
      <c r="AA966" s="119" t="s">
        <v>35</v>
      </c>
      <c r="AB966" s="119" t="s">
        <v>1408</v>
      </c>
      <c r="AC966" s="119">
        <v>0</v>
      </c>
      <c r="AD966" s="119">
        <v>0</v>
      </c>
      <c r="AE966" s="119" t="s">
        <v>37</v>
      </c>
      <c r="AF966" s="119" t="s">
        <v>43</v>
      </c>
      <c r="AG966" s="119" t="s">
        <v>38</v>
      </c>
      <c r="AH966" s="119" t="s">
        <v>92</v>
      </c>
    </row>
    <row r="967" spans="1:34" x14ac:dyDescent="0.3">
      <c r="A967" s="107" t="s">
        <v>1408</v>
      </c>
      <c r="B967" s="108" t="s">
        <v>1500</v>
      </c>
      <c r="C967" s="108" t="s">
        <v>1501</v>
      </c>
      <c r="D967" s="109">
        <v>45037</v>
      </c>
      <c r="E967" s="110">
        <v>324990</v>
      </c>
      <c r="F967" s="108" t="s">
        <v>32</v>
      </c>
      <c r="G967" s="108" t="s">
        <v>33</v>
      </c>
      <c r="H967" s="110">
        <v>324990</v>
      </c>
      <c r="I967" s="110">
        <v>150500</v>
      </c>
      <c r="J967" s="111">
        <f t="shared" si="108"/>
        <v>46.309117203606263</v>
      </c>
      <c r="K967" s="110">
        <v>323095</v>
      </c>
      <c r="L967" s="110">
        <f>H967-294325</f>
        <v>30665</v>
      </c>
      <c r="M967" s="110">
        <v>28770</v>
      </c>
      <c r="N967" s="112">
        <f t="shared" si="109"/>
        <v>8.8525800793870582E-2</v>
      </c>
      <c r="O967" s="113">
        <v>70</v>
      </c>
      <c r="P967" s="114">
        <v>120</v>
      </c>
      <c r="Q967" s="115">
        <v>0.193</v>
      </c>
      <c r="R967" s="115">
        <v>0.193</v>
      </c>
      <c r="S967" s="110">
        <f t="shared" si="110"/>
        <v>438.07142857142856</v>
      </c>
      <c r="T967" s="110">
        <f t="shared" si="111"/>
        <v>158886.0103626943</v>
      </c>
      <c r="U967" s="116">
        <f t="shared" si="112"/>
        <v>3.6475208990517518</v>
      </c>
      <c r="V967" s="115">
        <v>70</v>
      </c>
      <c r="W967" s="115">
        <f t="shared" si="113"/>
        <v>64998</v>
      </c>
      <c r="X967" s="115">
        <f t="shared" si="107"/>
        <v>928.54285714285709</v>
      </c>
      <c r="Y967" s="117" t="s">
        <v>1407</v>
      </c>
      <c r="Z967" s="108" t="s">
        <v>35</v>
      </c>
      <c r="AA967" s="108" t="s">
        <v>35</v>
      </c>
      <c r="AB967" s="108" t="s">
        <v>1408</v>
      </c>
      <c r="AC967" s="108">
        <v>0</v>
      </c>
      <c r="AD967" s="108">
        <v>0</v>
      </c>
      <c r="AE967" s="108" t="s">
        <v>37</v>
      </c>
      <c r="AF967" s="108" t="s">
        <v>43</v>
      </c>
      <c r="AG967" s="108" t="s">
        <v>38</v>
      </c>
      <c r="AH967" s="108" t="s">
        <v>92</v>
      </c>
    </row>
    <row r="968" spans="1:34" x14ac:dyDescent="0.3">
      <c r="A968" s="118" t="s">
        <v>1408</v>
      </c>
      <c r="B968" s="119" t="s">
        <v>1430</v>
      </c>
      <c r="C968" s="119" t="s">
        <v>1431</v>
      </c>
      <c r="D968" s="120">
        <v>45044</v>
      </c>
      <c r="E968" s="121">
        <v>329990</v>
      </c>
      <c r="F968" s="119" t="s">
        <v>32</v>
      </c>
      <c r="G968" s="119" t="s">
        <v>33</v>
      </c>
      <c r="H968" s="121">
        <v>329990</v>
      </c>
      <c r="I968" s="121">
        <v>106600</v>
      </c>
      <c r="J968" s="122">
        <f t="shared" si="108"/>
        <v>32.304009212400373</v>
      </c>
      <c r="K968" s="121">
        <v>336813</v>
      </c>
      <c r="L968" s="121">
        <f>H968-308043</f>
        <v>21947</v>
      </c>
      <c r="M968" s="121">
        <v>28770</v>
      </c>
      <c r="N968" s="123">
        <f t="shared" si="109"/>
        <v>8.7184460135155614E-2</v>
      </c>
      <c r="O968" s="124">
        <v>70</v>
      </c>
      <c r="P968" s="125">
        <v>120</v>
      </c>
      <c r="Q968" s="126">
        <v>0.193</v>
      </c>
      <c r="R968" s="126">
        <v>0.193</v>
      </c>
      <c r="S968" s="121">
        <f t="shared" si="110"/>
        <v>313.52857142857141</v>
      </c>
      <c r="T968" s="121">
        <f t="shared" si="111"/>
        <v>113715.02590673575</v>
      </c>
      <c r="U968" s="127">
        <f t="shared" si="112"/>
        <v>2.6105377848194617</v>
      </c>
      <c r="V968" s="126">
        <v>70</v>
      </c>
      <c r="W968" s="126">
        <f t="shared" si="113"/>
        <v>65998</v>
      </c>
      <c r="X968" s="126">
        <f t="shared" si="107"/>
        <v>942.82857142857142</v>
      </c>
      <c r="Y968" s="128" t="s">
        <v>1407</v>
      </c>
      <c r="Z968" s="119" t="s">
        <v>35</v>
      </c>
      <c r="AA968" s="119" t="s">
        <v>35</v>
      </c>
      <c r="AB968" s="119" t="s">
        <v>1408</v>
      </c>
      <c r="AC968" s="119">
        <v>0</v>
      </c>
      <c r="AD968" s="119">
        <v>0</v>
      </c>
      <c r="AE968" s="119" t="s">
        <v>37</v>
      </c>
      <c r="AF968" s="119" t="s">
        <v>43</v>
      </c>
      <c r="AG968" s="119" t="s">
        <v>38</v>
      </c>
      <c r="AH968" s="119" t="s">
        <v>92</v>
      </c>
    </row>
    <row r="969" spans="1:34" x14ac:dyDescent="0.3">
      <c r="A969" s="118" t="s">
        <v>1408</v>
      </c>
      <c r="B969" s="119" t="s">
        <v>1494</v>
      </c>
      <c r="C969" s="119" t="s">
        <v>1495</v>
      </c>
      <c r="D969" s="120">
        <v>45485</v>
      </c>
      <c r="E969" s="121">
        <v>332000</v>
      </c>
      <c r="F969" s="119" t="s">
        <v>32</v>
      </c>
      <c r="G969" s="119" t="s">
        <v>33</v>
      </c>
      <c r="H969" s="121">
        <v>332000</v>
      </c>
      <c r="I969" s="121">
        <v>146100</v>
      </c>
      <c r="J969" s="122">
        <f t="shared" si="108"/>
        <v>44.006024096385545</v>
      </c>
      <c r="K969" s="121">
        <v>309266</v>
      </c>
      <c r="L969" s="121">
        <f>H969-280496</f>
        <v>51504</v>
      </c>
      <c r="M969" s="121">
        <v>28770</v>
      </c>
      <c r="N969" s="123">
        <f t="shared" si="109"/>
        <v>8.6656626506024098E-2</v>
      </c>
      <c r="O969" s="124">
        <v>70</v>
      </c>
      <c r="P969" s="125">
        <v>120</v>
      </c>
      <c r="Q969" s="126">
        <v>0.193</v>
      </c>
      <c r="R969" s="126">
        <v>0.193</v>
      </c>
      <c r="S969" s="121">
        <f t="shared" si="110"/>
        <v>735.7714285714286</v>
      </c>
      <c r="T969" s="121">
        <f t="shared" si="111"/>
        <v>266860.10362694302</v>
      </c>
      <c r="U969" s="127">
        <f t="shared" si="112"/>
        <v>6.1262650052098948</v>
      </c>
      <c r="V969" s="126">
        <v>70</v>
      </c>
      <c r="W969" s="126">
        <f t="shared" si="113"/>
        <v>66400</v>
      </c>
      <c r="X969" s="126">
        <f t="shared" si="107"/>
        <v>948.57142857142856</v>
      </c>
      <c r="Y969" s="128" t="s">
        <v>1407</v>
      </c>
      <c r="Z969" s="119" t="s">
        <v>35</v>
      </c>
      <c r="AA969" s="119" t="s">
        <v>35</v>
      </c>
      <c r="AB969" s="119" t="s">
        <v>1408</v>
      </c>
      <c r="AC969" s="119">
        <v>0</v>
      </c>
      <c r="AD969" s="119">
        <v>0</v>
      </c>
      <c r="AE969" s="119" t="s">
        <v>37</v>
      </c>
      <c r="AF969" s="119" t="s">
        <v>43</v>
      </c>
      <c r="AG969" s="119" t="s">
        <v>38</v>
      </c>
      <c r="AH969" s="119" t="s">
        <v>92</v>
      </c>
    </row>
    <row r="970" spans="1:34" x14ac:dyDescent="0.3">
      <c r="A970" s="118" t="s">
        <v>1408</v>
      </c>
      <c r="B970" s="119" t="s">
        <v>1440</v>
      </c>
      <c r="C970" s="119" t="s">
        <v>1441</v>
      </c>
      <c r="D970" s="120">
        <v>45665</v>
      </c>
      <c r="E970" s="121">
        <v>334990</v>
      </c>
      <c r="F970" s="119" t="s">
        <v>32</v>
      </c>
      <c r="G970" s="119" t="s">
        <v>33</v>
      </c>
      <c r="H970" s="121">
        <v>334990</v>
      </c>
      <c r="I970" s="121">
        <v>13000</v>
      </c>
      <c r="J970" s="122">
        <f t="shared" si="108"/>
        <v>3.8807128571002116</v>
      </c>
      <c r="K970" s="121">
        <v>340136</v>
      </c>
      <c r="L970" s="121">
        <f>H970-311366</f>
        <v>23624</v>
      </c>
      <c r="M970" s="121">
        <v>28770</v>
      </c>
      <c r="N970" s="123">
        <f t="shared" si="109"/>
        <v>8.5883160691363924E-2</v>
      </c>
      <c r="O970" s="124">
        <v>70</v>
      </c>
      <c r="P970" s="125">
        <v>120</v>
      </c>
      <c r="Q970" s="126">
        <v>0.193</v>
      </c>
      <c r="R970" s="126">
        <v>0.193</v>
      </c>
      <c r="S970" s="121">
        <f t="shared" si="110"/>
        <v>337.48571428571427</v>
      </c>
      <c r="T970" s="121">
        <f t="shared" si="111"/>
        <v>122404.1450777202</v>
      </c>
      <c r="U970" s="127">
        <f t="shared" si="112"/>
        <v>2.8100125132626306</v>
      </c>
      <c r="V970" s="126">
        <v>70</v>
      </c>
      <c r="W970" s="126">
        <f t="shared" si="113"/>
        <v>66998</v>
      </c>
      <c r="X970" s="126">
        <f t="shared" si="107"/>
        <v>957.11428571428576</v>
      </c>
      <c r="Y970" s="128" t="s">
        <v>1407</v>
      </c>
      <c r="Z970" s="119" t="s">
        <v>35</v>
      </c>
      <c r="AA970" s="119" t="s">
        <v>35</v>
      </c>
      <c r="AB970" s="119" t="s">
        <v>1408</v>
      </c>
      <c r="AC970" s="119">
        <v>0</v>
      </c>
      <c r="AD970" s="119">
        <v>0</v>
      </c>
      <c r="AE970" s="119" t="s">
        <v>37</v>
      </c>
      <c r="AF970" s="119" t="s">
        <v>35</v>
      </c>
      <c r="AG970" s="119" t="s">
        <v>38</v>
      </c>
      <c r="AH970" s="119" t="s">
        <v>92</v>
      </c>
    </row>
    <row r="971" spans="1:34" x14ac:dyDescent="0.3">
      <c r="A971" s="107" t="s">
        <v>1408</v>
      </c>
      <c r="B971" s="108" t="s">
        <v>1482</v>
      </c>
      <c r="C971" s="108" t="s">
        <v>1483</v>
      </c>
      <c r="D971" s="109">
        <v>45583</v>
      </c>
      <c r="E971" s="110">
        <v>335990</v>
      </c>
      <c r="F971" s="108" t="s">
        <v>32</v>
      </c>
      <c r="G971" s="108" t="s">
        <v>33</v>
      </c>
      <c r="H971" s="110">
        <v>335990</v>
      </c>
      <c r="I971" s="110">
        <v>13000</v>
      </c>
      <c r="J971" s="111">
        <f t="shared" si="108"/>
        <v>3.8691627727015683</v>
      </c>
      <c r="K971" s="110">
        <v>322930</v>
      </c>
      <c r="L971" s="110">
        <f>H971-294160</f>
        <v>41830</v>
      </c>
      <c r="M971" s="110">
        <v>28770</v>
      </c>
      <c r="N971" s="112">
        <f t="shared" si="109"/>
        <v>8.5627548438941631E-2</v>
      </c>
      <c r="O971" s="113">
        <v>70</v>
      </c>
      <c r="P971" s="114">
        <v>120</v>
      </c>
      <c r="Q971" s="115">
        <v>0.193</v>
      </c>
      <c r="R971" s="115">
        <v>0.193</v>
      </c>
      <c r="S971" s="110">
        <f t="shared" si="110"/>
        <v>597.57142857142856</v>
      </c>
      <c r="T971" s="110">
        <f t="shared" si="111"/>
        <v>216735.75129533678</v>
      </c>
      <c r="U971" s="116">
        <f t="shared" si="112"/>
        <v>4.9755682115550224</v>
      </c>
      <c r="V971" s="115">
        <v>70</v>
      </c>
      <c r="W971" s="115">
        <f t="shared" si="113"/>
        <v>67198</v>
      </c>
      <c r="X971" s="115">
        <f t="shared" si="107"/>
        <v>959.97142857142853</v>
      </c>
      <c r="Y971" s="117" t="s">
        <v>1407</v>
      </c>
      <c r="Z971" s="108" t="s">
        <v>35</v>
      </c>
      <c r="AA971" s="108" t="s">
        <v>35</v>
      </c>
      <c r="AB971" s="108" t="s">
        <v>1408</v>
      </c>
      <c r="AC971" s="108">
        <v>0</v>
      </c>
      <c r="AD971" s="108">
        <v>0</v>
      </c>
      <c r="AE971" s="108" t="s">
        <v>37</v>
      </c>
      <c r="AF971" s="108" t="s">
        <v>35</v>
      </c>
      <c r="AG971" s="108" t="s">
        <v>38</v>
      </c>
      <c r="AH971" s="108" t="s">
        <v>92</v>
      </c>
    </row>
    <row r="972" spans="1:34" x14ac:dyDescent="0.3">
      <c r="A972" s="107" t="s">
        <v>1408</v>
      </c>
      <c r="B972" s="108" t="s">
        <v>1418</v>
      </c>
      <c r="C972" s="108" t="s">
        <v>1419</v>
      </c>
      <c r="D972" s="109">
        <v>45044</v>
      </c>
      <c r="E972" s="110">
        <v>339990</v>
      </c>
      <c r="F972" s="108" t="s">
        <v>32</v>
      </c>
      <c r="G972" s="108" t="s">
        <v>33</v>
      </c>
      <c r="H972" s="110">
        <v>339990</v>
      </c>
      <c r="I972" s="110">
        <v>74100</v>
      </c>
      <c r="J972" s="111">
        <f t="shared" si="108"/>
        <v>21.79475866937263</v>
      </c>
      <c r="K972" s="110">
        <v>359306</v>
      </c>
      <c r="L972" s="110">
        <f>H972-330536</f>
        <v>9454</v>
      </c>
      <c r="M972" s="110">
        <v>28770</v>
      </c>
      <c r="N972" s="112">
        <f t="shared" si="109"/>
        <v>8.4620135886349604E-2</v>
      </c>
      <c r="O972" s="113">
        <v>70</v>
      </c>
      <c r="P972" s="114">
        <v>120</v>
      </c>
      <c r="Q972" s="115">
        <v>0.193</v>
      </c>
      <c r="R972" s="115">
        <v>0.193</v>
      </c>
      <c r="S972" s="110">
        <f t="shared" si="110"/>
        <v>135.05714285714285</v>
      </c>
      <c r="T972" s="110">
        <f t="shared" si="111"/>
        <v>48984.455958549224</v>
      </c>
      <c r="U972" s="116">
        <f t="shared" si="112"/>
        <v>1.1245283737040686</v>
      </c>
      <c r="V972" s="115">
        <v>70</v>
      </c>
      <c r="W972" s="115">
        <f t="shared" si="113"/>
        <v>67998</v>
      </c>
      <c r="X972" s="115">
        <f t="shared" si="107"/>
        <v>971.4</v>
      </c>
      <c r="Y972" s="117" t="s">
        <v>1407</v>
      </c>
      <c r="Z972" s="108" t="s">
        <v>35</v>
      </c>
      <c r="AA972" s="108" t="s">
        <v>35</v>
      </c>
      <c r="AB972" s="108" t="s">
        <v>1408</v>
      </c>
      <c r="AC972" s="108">
        <v>0</v>
      </c>
      <c r="AD972" s="108">
        <v>0</v>
      </c>
      <c r="AE972" s="108" t="s">
        <v>37</v>
      </c>
      <c r="AF972" s="108" t="s">
        <v>43</v>
      </c>
      <c r="AG972" s="108" t="s">
        <v>38</v>
      </c>
      <c r="AH972" s="108" t="s">
        <v>92</v>
      </c>
    </row>
    <row r="973" spans="1:34" x14ac:dyDescent="0.3">
      <c r="A973" s="107" t="s">
        <v>1408</v>
      </c>
      <c r="B973" s="108" t="s">
        <v>1476</v>
      </c>
      <c r="C973" s="108" t="s">
        <v>1477</v>
      </c>
      <c r="D973" s="109">
        <v>45590</v>
      </c>
      <c r="E973" s="110">
        <v>344880</v>
      </c>
      <c r="F973" s="108" t="s">
        <v>32</v>
      </c>
      <c r="G973" s="108" t="s">
        <v>33</v>
      </c>
      <c r="H973" s="110">
        <v>344880</v>
      </c>
      <c r="I973" s="110">
        <v>13000</v>
      </c>
      <c r="J973" s="111">
        <f t="shared" si="108"/>
        <v>3.7694270470888429</v>
      </c>
      <c r="K973" s="110">
        <v>333844</v>
      </c>
      <c r="L973" s="110">
        <f>H973-305074</f>
        <v>39806</v>
      </c>
      <c r="M973" s="110">
        <v>28770</v>
      </c>
      <c r="N973" s="112">
        <f t="shared" si="109"/>
        <v>8.342032011134308E-2</v>
      </c>
      <c r="O973" s="113">
        <v>70</v>
      </c>
      <c r="P973" s="114">
        <v>120</v>
      </c>
      <c r="Q973" s="115">
        <v>0.193</v>
      </c>
      <c r="R973" s="115">
        <v>0.193</v>
      </c>
      <c r="S973" s="110">
        <f t="shared" si="110"/>
        <v>568.65714285714284</v>
      </c>
      <c r="T973" s="110">
        <f t="shared" si="111"/>
        <v>206248.70466321244</v>
      </c>
      <c r="U973" s="116">
        <f t="shared" si="112"/>
        <v>4.7348187480076316</v>
      </c>
      <c r="V973" s="115">
        <v>70</v>
      </c>
      <c r="W973" s="115">
        <f t="shared" si="113"/>
        <v>68976</v>
      </c>
      <c r="X973" s="115">
        <f t="shared" si="107"/>
        <v>985.37142857142862</v>
      </c>
      <c r="Y973" s="117" t="s">
        <v>1407</v>
      </c>
      <c r="Z973" s="108" t="s">
        <v>35</v>
      </c>
      <c r="AA973" s="108" t="s">
        <v>35</v>
      </c>
      <c r="AB973" s="108" t="s">
        <v>1408</v>
      </c>
      <c r="AC973" s="108">
        <v>0</v>
      </c>
      <c r="AD973" s="108">
        <v>0</v>
      </c>
      <c r="AE973" s="108" t="s">
        <v>37</v>
      </c>
      <c r="AF973" s="108" t="s">
        <v>35</v>
      </c>
      <c r="AG973" s="108" t="s">
        <v>38</v>
      </c>
      <c r="AH973" s="108" t="s">
        <v>92</v>
      </c>
    </row>
    <row r="974" spans="1:34" x14ac:dyDescent="0.3">
      <c r="A974" s="118" t="s">
        <v>1408</v>
      </c>
      <c r="B974" s="119" t="s">
        <v>1472</v>
      </c>
      <c r="C974" s="119" t="s">
        <v>1473</v>
      </c>
      <c r="D974" s="120">
        <v>45657</v>
      </c>
      <c r="E974" s="121">
        <v>345990</v>
      </c>
      <c r="F974" s="119" t="s">
        <v>32</v>
      </c>
      <c r="G974" s="119" t="s">
        <v>33</v>
      </c>
      <c r="H974" s="121">
        <v>345990</v>
      </c>
      <c r="I974" s="121">
        <v>13000</v>
      </c>
      <c r="J974" s="122">
        <f t="shared" si="108"/>
        <v>3.7573340269949997</v>
      </c>
      <c r="K974" s="121">
        <v>338436</v>
      </c>
      <c r="L974" s="121">
        <f>H974-309666</f>
        <v>36324</v>
      </c>
      <c r="M974" s="121">
        <v>28770</v>
      </c>
      <c r="N974" s="123">
        <f t="shared" si="109"/>
        <v>8.3152692274343187E-2</v>
      </c>
      <c r="O974" s="124">
        <v>70</v>
      </c>
      <c r="P974" s="125">
        <v>120</v>
      </c>
      <c r="Q974" s="126">
        <v>0.193</v>
      </c>
      <c r="R974" s="126">
        <v>0.193</v>
      </c>
      <c r="S974" s="121">
        <f t="shared" si="110"/>
        <v>518.91428571428571</v>
      </c>
      <c r="T974" s="121">
        <f t="shared" si="111"/>
        <v>188207.25388601035</v>
      </c>
      <c r="U974" s="127">
        <f t="shared" si="112"/>
        <v>4.3206440286044616</v>
      </c>
      <c r="V974" s="126">
        <v>70</v>
      </c>
      <c r="W974" s="126">
        <f t="shared" si="113"/>
        <v>69198</v>
      </c>
      <c r="X974" s="126">
        <f t="shared" si="107"/>
        <v>988.54285714285709</v>
      </c>
      <c r="Y974" s="128" t="s">
        <v>1407</v>
      </c>
      <c r="Z974" s="119" t="s">
        <v>35</v>
      </c>
      <c r="AA974" s="119" t="s">
        <v>35</v>
      </c>
      <c r="AB974" s="119" t="s">
        <v>1408</v>
      </c>
      <c r="AC974" s="119">
        <v>0</v>
      </c>
      <c r="AD974" s="119">
        <v>0</v>
      </c>
      <c r="AE974" s="119" t="s">
        <v>37</v>
      </c>
      <c r="AF974" s="119" t="s">
        <v>35</v>
      </c>
      <c r="AG974" s="119" t="s">
        <v>38</v>
      </c>
      <c r="AH974" s="119" t="s">
        <v>92</v>
      </c>
    </row>
    <row r="975" spans="1:34" x14ac:dyDescent="0.3">
      <c r="A975" s="118" t="s">
        <v>1408</v>
      </c>
      <c r="B975" s="119" t="s">
        <v>1464</v>
      </c>
      <c r="C975" s="119" t="s">
        <v>1465</v>
      </c>
      <c r="D975" s="120">
        <v>45551</v>
      </c>
      <c r="E975" s="121">
        <v>348990</v>
      </c>
      <c r="F975" s="119" t="s">
        <v>32</v>
      </c>
      <c r="G975" s="119" t="s">
        <v>33</v>
      </c>
      <c r="H975" s="121">
        <v>348990</v>
      </c>
      <c r="I975" s="121">
        <v>13000</v>
      </c>
      <c r="J975" s="122">
        <f t="shared" si="108"/>
        <v>3.7250351012923004</v>
      </c>
      <c r="K975" s="121">
        <v>327567</v>
      </c>
      <c r="L975" s="121">
        <f>H975-298797</f>
        <v>50193</v>
      </c>
      <c r="M975" s="121">
        <v>28770</v>
      </c>
      <c r="N975" s="123">
        <f t="shared" si="109"/>
        <v>8.2437892203214985E-2</v>
      </c>
      <c r="O975" s="124">
        <v>70</v>
      </c>
      <c r="P975" s="125">
        <v>120</v>
      </c>
      <c r="Q975" s="126">
        <v>0.193</v>
      </c>
      <c r="R975" s="126">
        <v>0.193</v>
      </c>
      <c r="S975" s="121">
        <f t="shared" si="110"/>
        <v>717.04285714285709</v>
      </c>
      <c r="T975" s="121">
        <f t="shared" si="111"/>
        <v>260067.35751295337</v>
      </c>
      <c r="U975" s="127">
        <f t="shared" si="112"/>
        <v>5.9703250117757891</v>
      </c>
      <c r="V975" s="126">
        <v>70</v>
      </c>
      <c r="W975" s="126">
        <f t="shared" si="113"/>
        <v>69798</v>
      </c>
      <c r="X975" s="126">
        <f t="shared" si="107"/>
        <v>997.11428571428576</v>
      </c>
      <c r="Y975" s="128" t="s">
        <v>1407</v>
      </c>
      <c r="Z975" s="119" t="s">
        <v>35</v>
      </c>
      <c r="AA975" s="119" t="s">
        <v>35</v>
      </c>
      <c r="AB975" s="119" t="s">
        <v>1408</v>
      </c>
      <c r="AC975" s="119">
        <v>0</v>
      </c>
      <c r="AD975" s="119">
        <v>0</v>
      </c>
      <c r="AE975" s="119" t="s">
        <v>37</v>
      </c>
      <c r="AF975" s="119" t="s">
        <v>43</v>
      </c>
      <c r="AG975" s="119" t="s">
        <v>38</v>
      </c>
      <c r="AH975" s="119" t="s">
        <v>92</v>
      </c>
    </row>
    <row r="976" spans="1:34" x14ac:dyDescent="0.3">
      <c r="A976" s="118" t="s">
        <v>1408</v>
      </c>
      <c r="B976" s="119" t="s">
        <v>1470</v>
      </c>
      <c r="C976" s="119" t="s">
        <v>1471</v>
      </c>
      <c r="D976" s="120">
        <v>45534</v>
      </c>
      <c r="E976" s="121">
        <v>349880</v>
      </c>
      <c r="F976" s="119" t="s">
        <v>32</v>
      </c>
      <c r="G976" s="119" t="s">
        <v>33</v>
      </c>
      <c r="H976" s="121">
        <v>349880</v>
      </c>
      <c r="I976" s="121">
        <v>13000</v>
      </c>
      <c r="J976" s="122">
        <f t="shared" si="108"/>
        <v>3.7155596204412946</v>
      </c>
      <c r="K976" s="121">
        <v>318118</v>
      </c>
      <c r="L976" s="121">
        <f>H976-289348</f>
        <v>60532</v>
      </c>
      <c r="M976" s="121">
        <v>28770</v>
      </c>
      <c r="N976" s="123">
        <f t="shared" si="109"/>
        <v>8.2228192523150792E-2</v>
      </c>
      <c r="O976" s="124">
        <v>70</v>
      </c>
      <c r="P976" s="125">
        <v>120</v>
      </c>
      <c r="Q976" s="126">
        <v>0.193</v>
      </c>
      <c r="R976" s="126">
        <v>0.193</v>
      </c>
      <c r="S976" s="121">
        <f t="shared" si="110"/>
        <v>864.74285714285713</v>
      </c>
      <c r="T976" s="121">
        <f t="shared" si="111"/>
        <v>313637.30569948186</v>
      </c>
      <c r="U976" s="127">
        <f t="shared" si="112"/>
        <v>7.200121802100135</v>
      </c>
      <c r="V976" s="126">
        <v>70</v>
      </c>
      <c r="W976" s="126">
        <f t="shared" si="113"/>
        <v>69976</v>
      </c>
      <c r="X976" s="126">
        <f t="shared" si="107"/>
        <v>999.65714285714284</v>
      </c>
      <c r="Y976" s="128" t="s">
        <v>1407</v>
      </c>
      <c r="Z976" s="119" t="s">
        <v>35</v>
      </c>
      <c r="AA976" s="119" t="s">
        <v>35</v>
      </c>
      <c r="AB976" s="119" t="s">
        <v>1408</v>
      </c>
      <c r="AC976" s="119">
        <v>0</v>
      </c>
      <c r="AD976" s="119">
        <v>0</v>
      </c>
      <c r="AE976" s="119" t="s">
        <v>37</v>
      </c>
      <c r="AF976" s="119" t="s">
        <v>43</v>
      </c>
      <c r="AG976" s="119" t="s">
        <v>38</v>
      </c>
      <c r="AH976" s="119" t="s">
        <v>92</v>
      </c>
    </row>
    <row r="977" spans="1:34" x14ac:dyDescent="0.3">
      <c r="A977" s="118" t="s">
        <v>1408</v>
      </c>
      <c r="B977" s="119" t="s">
        <v>1424</v>
      </c>
      <c r="C977" s="119" t="s">
        <v>1425</v>
      </c>
      <c r="D977" s="120">
        <v>45611</v>
      </c>
      <c r="E977" s="121">
        <v>354490</v>
      </c>
      <c r="F977" s="119" t="s">
        <v>32</v>
      </c>
      <c r="G977" s="119" t="s">
        <v>33</v>
      </c>
      <c r="H977" s="121">
        <v>354490</v>
      </c>
      <c r="I977" s="121">
        <v>13000</v>
      </c>
      <c r="J977" s="122">
        <f t="shared" si="108"/>
        <v>3.6672402606561536</v>
      </c>
      <c r="K977" s="121">
        <v>329721</v>
      </c>
      <c r="L977" s="121">
        <f>H977-300951</f>
        <v>53539</v>
      </c>
      <c r="M977" s="121">
        <v>28770</v>
      </c>
      <c r="N977" s="123">
        <f t="shared" si="109"/>
        <v>8.1158847922367341E-2</v>
      </c>
      <c r="O977" s="124">
        <v>70</v>
      </c>
      <c r="P977" s="125">
        <v>120</v>
      </c>
      <c r="Q977" s="126">
        <v>0.193</v>
      </c>
      <c r="R977" s="126">
        <v>0.193</v>
      </c>
      <c r="S977" s="121">
        <f t="shared" si="110"/>
        <v>764.84285714285716</v>
      </c>
      <c r="T977" s="121">
        <f t="shared" si="111"/>
        <v>277404.14507772023</v>
      </c>
      <c r="U977" s="127">
        <f t="shared" si="112"/>
        <v>6.3683228897548263</v>
      </c>
      <c r="V977" s="126">
        <v>70</v>
      </c>
      <c r="W977" s="126">
        <f t="shared" si="113"/>
        <v>70898</v>
      </c>
      <c r="X977" s="126">
        <f t="shared" si="107"/>
        <v>1012.8285714285714</v>
      </c>
      <c r="Y977" s="128" t="s">
        <v>1407</v>
      </c>
      <c r="Z977" s="119" t="s">
        <v>35</v>
      </c>
      <c r="AA977" s="119" t="s">
        <v>35</v>
      </c>
      <c r="AB977" s="119" t="s">
        <v>1408</v>
      </c>
      <c r="AC977" s="119">
        <v>0</v>
      </c>
      <c r="AD977" s="119">
        <v>0</v>
      </c>
      <c r="AE977" s="119" t="s">
        <v>37</v>
      </c>
      <c r="AF977" s="119" t="s">
        <v>35</v>
      </c>
      <c r="AG977" s="119" t="s">
        <v>38</v>
      </c>
      <c r="AH977" s="119" t="s">
        <v>92</v>
      </c>
    </row>
    <row r="978" spans="1:34" x14ac:dyDescent="0.3">
      <c r="A978" s="107" t="s">
        <v>1408</v>
      </c>
      <c r="B978" s="108" t="s">
        <v>1509</v>
      </c>
      <c r="C978" s="108" t="s">
        <v>1510</v>
      </c>
      <c r="D978" s="109">
        <v>45236</v>
      </c>
      <c r="E978" s="110">
        <v>324490</v>
      </c>
      <c r="F978" s="108" t="s">
        <v>32</v>
      </c>
      <c r="G978" s="108" t="s">
        <v>33</v>
      </c>
      <c r="H978" s="110">
        <v>324490</v>
      </c>
      <c r="I978" s="110">
        <v>60900</v>
      </c>
      <c r="J978" s="111">
        <f t="shared" si="108"/>
        <v>18.767912724583191</v>
      </c>
      <c r="K978" s="110">
        <v>305382</v>
      </c>
      <c r="L978" s="110">
        <f>H978-274831</f>
        <v>49659</v>
      </c>
      <c r="M978" s="110">
        <v>30551</v>
      </c>
      <c r="N978" s="112">
        <f t="shared" si="109"/>
        <v>9.4150821288791639E-2</v>
      </c>
      <c r="O978" s="113">
        <v>74.33</v>
      </c>
      <c r="P978" s="114">
        <v>120</v>
      </c>
      <c r="Q978" s="115">
        <v>0.219</v>
      </c>
      <c r="R978" s="115">
        <v>0.219</v>
      </c>
      <c r="S978" s="110">
        <f t="shared" si="110"/>
        <v>668.08825507870313</v>
      </c>
      <c r="T978" s="110">
        <f t="shared" si="111"/>
        <v>226753.42465753425</v>
      </c>
      <c r="U978" s="116">
        <f t="shared" si="112"/>
        <v>5.2055423475099687</v>
      </c>
      <c r="V978" s="115">
        <v>64</v>
      </c>
      <c r="W978" s="115">
        <f t="shared" si="113"/>
        <v>64898</v>
      </c>
      <c r="X978" s="115">
        <f t="shared" si="107"/>
        <v>1014.03125</v>
      </c>
      <c r="Y978" s="117" t="s">
        <v>1407</v>
      </c>
      <c r="Z978" s="108" t="s">
        <v>35</v>
      </c>
      <c r="AA978" s="108" t="s">
        <v>35</v>
      </c>
      <c r="AB978" s="108" t="s">
        <v>1408</v>
      </c>
      <c r="AC978" s="108">
        <v>0</v>
      </c>
      <c r="AD978" s="108">
        <v>0</v>
      </c>
      <c r="AE978" s="108" t="s">
        <v>37</v>
      </c>
      <c r="AF978" s="108" t="s">
        <v>43</v>
      </c>
      <c r="AG978" s="108" t="s">
        <v>38</v>
      </c>
      <c r="AH978" s="108" t="s">
        <v>92</v>
      </c>
    </row>
    <row r="979" spans="1:34" x14ac:dyDescent="0.3">
      <c r="A979" s="107" t="s">
        <v>1408</v>
      </c>
      <c r="B979" s="108" t="s">
        <v>1426</v>
      </c>
      <c r="C979" s="108" t="s">
        <v>1427</v>
      </c>
      <c r="D979" s="109">
        <v>45623</v>
      </c>
      <c r="E979" s="110">
        <v>354990</v>
      </c>
      <c r="F979" s="108" t="s">
        <v>32</v>
      </c>
      <c r="G979" s="108" t="s">
        <v>33</v>
      </c>
      <c r="H979" s="110">
        <v>354990</v>
      </c>
      <c r="I979" s="110">
        <v>13000</v>
      </c>
      <c r="J979" s="111">
        <f t="shared" si="108"/>
        <v>3.6620749880278316</v>
      </c>
      <c r="K979" s="110">
        <v>367689</v>
      </c>
      <c r="L979" s="110">
        <f>H979-338919</f>
        <v>16071</v>
      </c>
      <c r="M979" s="110">
        <v>28770</v>
      </c>
      <c r="N979" s="112">
        <f t="shared" si="109"/>
        <v>8.1044536465815942E-2</v>
      </c>
      <c r="O979" s="113">
        <v>70</v>
      </c>
      <c r="P979" s="114">
        <v>120</v>
      </c>
      <c r="Q979" s="115">
        <v>0.193</v>
      </c>
      <c r="R979" s="115">
        <v>0.193</v>
      </c>
      <c r="S979" s="110">
        <f t="shared" si="110"/>
        <v>229.58571428571429</v>
      </c>
      <c r="T979" s="110">
        <f t="shared" si="111"/>
        <v>83269.43005181347</v>
      </c>
      <c r="U979" s="116">
        <f t="shared" si="112"/>
        <v>1.9116030774061861</v>
      </c>
      <c r="V979" s="115">
        <v>70</v>
      </c>
      <c r="W979" s="115">
        <f t="shared" si="113"/>
        <v>70998</v>
      </c>
      <c r="X979" s="115">
        <f t="shared" si="107"/>
        <v>1014.2571428571429</v>
      </c>
      <c r="Y979" s="117" t="s">
        <v>1407</v>
      </c>
      <c r="Z979" s="108" t="s">
        <v>35</v>
      </c>
      <c r="AA979" s="108" t="s">
        <v>35</v>
      </c>
      <c r="AB979" s="108" t="s">
        <v>1408</v>
      </c>
      <c r="AC979" s="108">
        <v>0</v>
      </c>
      <c r="AD979" s="108">
        <v>0</v>
      </c>
      <c r="AE979" s="108" t="s">
        <v>37</v>
      </c>
      <c r="AF979" s="108" t="s">
        <v>35</v>
      </c>
      <c r="AG979" s="108" t="s">
        <v>38</v>
      </c>
      <c r="AH979" s="108" t="s">
        <v>92</v>
      </c>
    </row>
    <row r="980" spans="1:34" x14ac:dyDescent="0.3">
      <c r="A980" s="107" t="s">
        <v>1408</v>
      </c>
      <c r="B980" s="108" t="s">
        <v>1444</v>
      </c>
      <c r="C980" s="108" t="s">
        <v>1445</v>
      </c>
      <c r="D980" s="109">
        <v>45434</v>
      </c>
      <c r="E980" s="110">
        <v>355990</v>
      </c>
      <c r="F980" s="108" t="s">
        <v>32</v>
      </c>
      <c r="G980" s="108" t="s">
        <v>33</v>
      </c>
      <c r="H980" s="110">
        <v>355990</v>
      </c>
      <c r="I980" s="110">
        <v>20900</v>
      </c>
      <c r="J980" s="111">
        <f t="shared" si="108"/>
        <v>5.8709514312199786</v>
      </c>
      <c r="K980" s="110">
        <v>331958</v>
      </c>
      <c r="L980" s="110">
        <f>H980-303188</f>
        <v>52802</v>
      </c>
      <c r="M980" s="110">
        <v>28770</v>
      </c>
      <c r="N980" s="112">
        <f t="shared" si="109"/>
        <v>8.0816876878564009E-2</v>
      </c>
      <c r="O980" s="113">
        <v>70</v>
      </c>
      <c r="P980" s="114">
        <v>120</v>
      </c>
      <c r="Q980" s="115">
        <v>0.193</v>
      </c>
      <c r="R980" s="115">
        <v>0.193</v>
      </c>
      <c r="S980" s="110">
        <f t="shared" si="110"/>
        <v>754.31428571428569</v>
      </c>
      <c r="T980" s="110">
        <f t="shared" si="111"/>
        <v>273585.4922279793</v>
      </c>
      <c r="U980" s="116">
        <f t="shared" si="112"/>
        <v>6.2806586829196345</v>
      </c>
      <c r="V980" s="115">
        <v>70</v>
      </c>
      <c r="W980" s="115">
        <f t="shared" si="113"/>
        <v>71198</v>
      </c>
      <c r="X980" s="115">
        <f t="shared" si="107"/>
        <v>1017.1142857142858</v>
      </c>
      <c r="Y980" s="117" t="s">
        <v>1407</v>
      </c>
      <c r="Z980" s="108" t="s">
        <v>35</v>
      </c>
      <c r="AA980" s="108" t="s">
        <v>35</v>
      </c>
      <c r="AB980" s="108" t="s">
        <v>1408</v>
      </c>
      <c r="AC980" s="108">
        <v>0</v>
      </c>
      <c r="AD980" s="108">
        <v>0</v>
      </c>
      <c r="AE980" s="108" t="s">
        <v>37</v>
      </c>
      <c r="AF980" s="108" t="s">
        <v>43</v>
      </c>
      <c r="AG980" s="108" t="s">
        <v>38</v>
      </c>
      <c r="AH980" s="108" t="s">
        <v>92</v>
      </c>
    </row>
    <row r="981" spans="1:34" x14ac:dyDescent="0.3">
      <c r="A981" s="107" t="s">
        <v>1408</v>
      </c>
      <c r="B981" s="108" t="s">
        <v>1434</v>
      </c>
      <c r="C981" s="108" t="s">
        <v>1435</v>
      </c>
      <c r="D981" s="109">
        <v>45399</v>
      </c>
      <c r="E981" s="110">
        <v>357000</v>
      </c>
      <c r="F981" s="108" t="s">
        <v>32</v>
      </c>
      <c r="G981" s="108" t="s">
        <v>33</v>
      </c>
      <c r="H981" s="110">
        <v>357000</v>
      </c>
      <c r="I981" s="110">
        <v>169500</v>
      </c>
      <c r="J981" s="111">
        <f t="shared" si="108"/>
        <v>47.47899159663865</v>
      </c>
      <c r="K981" s="110">
        <v>360414</v>
      </c>
      <c r="L981" s="110">
        <f>H981-331524</f>
        <v>25476</v>
      </c>
      <c r="M981" s="110">
        <v>28890</v>
      </c>
      <c r="N981" s="112">
        <f t="shared" si="109"/>
        <v>8.0924369747899155E-2</v>
      </c>
      <c r="O981" s="113">
        <v>70.290000000000006</v>
      </c>
      <c r="P981" s="114">
        <v>121</v>
      </c>
      <c r="Q981" s="115">
        <v>0.19400000000000001</v>
      </c>
      <c r="R981" s="115">
        <v>0.19400000000000001</v>
      </c>
      <c r="S981" s="110">
        <f t="shared" si="110"/>
        <v>362.44131455399059</v>
      </c>
      <c r="T981" s="110">
        <f t="shared" si="111"/>
        <v>131319.58762886596</v>
      </c>
      <c r="U981" s="116">
        <f t="shared" si="112"/>
        <v>3.0146829115901279</v>
      </c>
      <c r="V981" s="115">
        <v>70</v>
      </c>
      <c r="W981" s="115">
        <f t="shared" si="113"/>
        <v>71400</v>
      </c>
      <c r="X981" s="115">
        <f t="shared" si="107"/>
        <v>1020</v>
      </c>
      <c r="Y981" s="117" t="s">
        <v>1407</v>
      </c>
      <c r="Z981" s="108" t="s">
        <v>35</v>
      </c>
      <c r="AA981" s="108" t="s">
        <v>35</v>
      </c>
      <c r="AB981" s="108" t="s">
        <v>1408</v>
      </c>
      <c r="AC981" s="108">
        <v>0</v>
      </c>
      <c r="AD981" s="108">
        <v>0</v>
      </c>
      <c r="AE981" s="108" t="s">
        <v>37</v>
      </c>
      <c r="AF981" s="108" t="s">
        <v>43</v>
      </c>
      <c r="AG981" s="108" t="s">
        <v>38</v>
      </c>
      <c r="AH981" s="108" t="s">
        <v>92</v>
      </c>
    </row>
    <row r="982" spans="1:34" x14ac:dyDescent="0.3">
      <c r="A982" s="107" t="s">
        <v>1408</v>
      </c>
      <c r="B982" s="108" t="s">
        <v>1460</v>
      </c>
      <c r="C982" s="108" t="s">
        <v>1461</v>
      </c>
      <c r="D982" s="109">
        <v>45499</v>
      </c>
      <c r="E982" s="110">
        <v>359990</v>
      </c>
      <c r="F982" s="108" t="s">
        <v>32</v>
      </c>
      <c r="G982" s="108" t="s">
        <v>33</v>
      </c>
      <c r="H982" s="110">
        <v>359990</v>
      </c>
      <c r="I982" s="110">
        <v>13000</v>
      </c>
      <c r="J982" s="111">
        <f t="shared" si="108"/>
        <v>3.6112114225395149</v>
      </c>
      <c r="K982" s="110">
        <v>339955</v>
      </c>
      <c r="L982" s="110">
        <f>H982-311185</f>
        <v>48805</v>
      </c>
      <c r="M982" s="110">
        <v>28770</v>
      </c>
      <c r="N982" s="112">
        <f t="shared" si="109"/>
        <v>7.9918886635739886E-2</v>
      </c>
      <c r="O982" s="113">
        <v>70</v>
      </c>
      <c r="P982" s="114">
        <v>120</v>
      </c>
      <c r="Q982" s="115">
        <v>0.193</v>
      </c>
      <c r="R982" s="115">
        <v>0.193</v>
      </c>
      <c r="S982" s="110">
        <f t="shared" si="110"/>
        <v>697.21428571428567</v>
      </c>
      <c r="T982" s="110">
        <f t="shared" si="111"/>
        <v>252875.64766839377</v>
      </c>
      <c r="U982" s="116">
        <f t="shared" si="112"/>
        <v>5.8052260713589021</v>
      </c>
      <c r="V982" s="115">
        <v>70</v>
      </c>
      <c r="W982" s="115">
        <f t="shared" si="113"/>
        <v>71998</v>
      </c>
      <c r="X982" s="115">
        <f t="shared" si="107"/>
        <v>1028.5428571428572</v>
      </c>
      <c r="Y982" s="117" t="s">
        <v>1407</v>
      </c>
      <c r="Z982" s="108" t="s">
        <v>35</v>
      </c>
      <c r="AA982" s="108" t="s">
        <v>35</v>
      </c>
      <c r="AB982" s="108" t="s">
        <v>1408</v>
      </c>
      <c r="AC982" s="108">
        <v>0</v>
      </c>
      <c r="AD982" s="108">
        <v>0</v>
      </c>
      <c r="AE982" s="108" t="s">
        <v>37</v>
      </c>
      <c r="AF982" s="108" t="s">
        <v>43</v>
      </c>
      <c r="AG982" s="108" t="s">
        <v>38</v>
      </c>
      <c r="AH982" s="108" t="s">
        <v>92</v>
      </c>
    </row>
    <row r="983" spans="1:34" x14ac:dyDescent="0.3">
      <c r="A983" s="107" t="s">
        <v>1408</v>
      </c>
      <c r="B983" s="108" t="s">
        <v>1492</v>
      </c>
      <c r="C983" s="108" t="s">
        <v>1493</v>
      </c>
      <c r="D983" s="109">
        <v>45590</v>
      </c>
      <c r="E983" s="110">
        <v>360880</v>
      </c>
      <c r="F983" s="108" t="s">
        <v>32</v>
      </c>
      <c r="G983" s="108" t="s">
        <v>33</v>
      </c>
      <c r="H983" s="110">
        <v>360880</v>
      </c>
      <c r="I983" s="110">
        <v>13000</v>
      </c>
      <c r="J983" s="111">
        <f t="shared" si="108"/>
        <v>3.6023054755043229</v>
      </c>
      <c r="K983" s="110">
        <v>341382</v>
      </c>
      <c r="L983" s="110">
        <f>H983-312612</f>
        <v>48268</v>
      </c>
      <c r="M983" s="110">
        <v>28770</v>
      </c>
      <c r="N983" s="112">
        <f t="shared" si="109"/>
        <v>7.9721791177122595E-2</v>
      </c>
      <c r="O983" s="113">
        <v>70</v>
      </c>
      <c r="P983" s="114">
        <v>120</v>
      </c>
      <c r="Q983" s="115">
        <v>0.193</v>
      </c>
      <c r="R983" s="115">
        <v>0.193</v>
      </c>
      <c r="S983" s="110">
        <f t="shared" si="110"/>
        <v>689.54285714285709</v>
      </c>
      <c r="T983" s="110">
        <f t="shared" si="111"/>
        <v>250093.26424870465</v>
      </c>
      <c r="U983" s="116">
        <f t="shared" si="112"/>
        <v>5.7413513372062592</v>
      </c>
      <c r="V983" s="115">
        <v>70</v>
      </c>
      <c r="W983" s="115">
        <f t="shared" si="113"/>
        <v>72176</v>
      </c>
      <c r="X983" s="115">
        <f t="shared" si="107"/>
        <v>1031.0857142857142</v>
      </c>
      <c r="Y983" s="117" t="s">
        <v>1407</v>
      </c>
      <c r="Z983" s="108" t="s">
        <v>35</v>
      </c>
      <c r="AA983" s="108" t="s">
        <v>35</v>
      </c>
      <c r="AB983" s="108" t="s">
        <v>1408</v>
      </c>
      <c r="AC983" s="108">
        <v>0</v>
      </c>
      <c r="AD983" s="108">
        <v>0</v>
      </c>
      <c r="AE983" s="108" t="s">
        <v>37</v>
      </c>
      <c r="AF983" s="108" t="s">
        <v>35</v>
      </c>
      <c r="AG983" s="108" t="s">
        <v>38</v>
      </c>
      <c r="AH983" s="108" t="s">
        <v>92</v>
      </c>
    </row>
    <row r="984" spans="1:34" x14ac:dyDescent="0.3">
      <c r="A984" s="107" t="s">
        <v>1408</v>
      </c>
      <c r="B984" s="108" t="s">
        <v>1452</v>
      </c>
      <c r="C984" s="108" t="s">
        <v>1453</v>
      </c>
      <c r="D984" s="109">
        <v>45544</v>
      </c>
      <c r="E984" s="110">
        <v>345880</v>
      </c>
      <c r="F984" s="108" t="s">
        <v>32</v>
      </c>
      <c r="G984" s="108" t="s">
        <v>33</v>
      </c>
      <c r="H984" s="110">
        <v>345880</v>
      </c>
      <c r="I984" s="110">
        <v>22600</v>
      </c>
      <c r="J984" s="111">
        <f t="shared" si="108"/>
        <v>6.5340580548166995</v>
      </c>
      <c r="K984" s="110">
        <v>313681</v>
      </c>
      <c r="L984" s="110">
        <f>H984-284363</f>
        <v>61517</v>
      </c>
      <c r="M984" s="110">
        <v>29318</v>
      </c>
      <c r="N984" s="112">
        <f t="shared" si="109"/>
        <v>8.47635017925292E-2</v>
      </c>
      <c r="O984" s="113">
        <v>71.33</v>
      </c>
      <c r="P984" s="114">
        <v>120</v>
      </c>
      <c r="Q984" s="115">
        <v>0.20200000000000001</v>
      </c>
      <c r="R984" s="115">
        <v>0.20200000000000001</v>
      </c>
      <c r="S984" s="110">
        <f t="shared" si="110"/>
        <v>862.4281508481705</v>
      </c>
      <c r="T984" s="110">
        <f t="shared" si="111"/>
        <v>304539.60396039602</v>
      </c>
      <c r="U984" s="116">
        <f t="shared" si="112"/>
        <v>6.9912673085490367</v>
      </c>
      <c r="V984" s="115">
        <v>67</v>
      </c>
      <c r="W984" s="115">
        <f t="shared" si="113"/>
        <v>69176</v>
      </c>
      <c r="X984" s="115">
        <f t="shared" si="107"/>
        <v>1032.4776119402984</v>
      </c>
      <c r="Y984" s="117" t="s">
        <v>1407</v>
      </c>
      <c r="Z984" s="108" t="s">
        <v>35</v>
      </c>
      <c r="AA984" s="108" t="s">
        <v>35</v>
      </c>
      <c r="AB984" s="108" t="s">
        <v>1408</v>
      </c>
      <c r="AC984" s="108">
        <v>0</v>
      </c>
      <c r="AD984" s="108">
        <v>0</v>
      </c>
      <c r="AE984" s="108" t="s">
        <v>37</v>
      </c>
      <c r="AF984" s="108" t="s">
        <v>43</v>
      </c>
      <c r="AG984" s="108" t="s">
        <v>38</v>
      </c>
      <c r="AH984" s="108" t="s">
        <v>92</v>
      </c>
    </row>
    <row r="985" spans="1:34" x14ac:dyDescent="0.3">
      <c r="A985" s="107" t="s">
        <v>1408</v>
      </c>
      <c r="B985" s="108" t="s">
        <v>1466</v>
      </c>
      <c r="C985" s="108" t="s">
        <v>1467</v>
      </c>
      <c r="D985" s="109">
        <v>45482</v>
      </c>
      <c r="E985" s="110">
        <v>362490</v>
      </c>
      <c r="F985" s="108" t="s">
        <v>32</v>
      </c>
      <c r="G985" s="108" t="s">
        <v>33</v>
      </c>
      <c r="H985" s="110">
        <v>362490</v>
      </c>
      <c r="I985" s="110">
        <v>13000</v>
      </c>
      <c r="J985" s="111">
        <f t="shared" si="108"/>
        <v>3.5863058291263203</v>
      </c>
      <c r="K985" s="110">
        <v>336728</v>
      </c>
      <c r="L985" s="110">
        <f>H985-307958</f>
        <v>54532</v>
      </c>
      <c r="M985" s="110">
        <v>28770</v>
      </c>
      <c r="N985" s="112">
        <f t="shared" si="109"/>
        <v>7.9367706695357115E-2</v>
      </c>
      <c r="O985" s="113">
        <v>70</v>
      </c>
      <c r="P985" s="114">
        <v>120</v>
      </c>
      <c r="Q985" s="115">
        <v>0.193</v>
      </c>
      <c r="R985" s="115">
        <v>0.193</v>
      </c>
      <c r="S985" s="110">
        <f t="shared" si="110"/>
        <v>779.02857142857147</v>
      </c>
      <c r="T985" s="110">
        <f t="shared" si="111"/>
        <v>282549.22279792745</v>
      </c>
      <c r="U985" s="116">
        <f t="shared" si="112"/>
        <v>6.4864376216236783</v>
      </c>
      <c r="V985" s="115">
        <v>70</v>
      </c>
      <c r="W985" s="115">
        <f t="shared" si="113"/>
        <v>72498</v>
      </c>
      <c r="X985" s="115">
        <f t="shared" si="107"/>
        <v>1035.6857142857143</v>
      </c>
      <c r="Y985" s="117" t="s">
        <v>1407</v>
      </c>
      <c r="Z985" s="108" t="s">
        <v>35</v>
      </c>
      <c r="AA985" s="108" t="s">
        <v>35</v>
      </c>
      <c r="AB985" s="108" t="s">
        <v>1408</v>
      </c>
      <c r="AC985" s="108">
        <v>0</v>
      </c>
      <c r="AD985" s="108">
        <v>0</v>
      </c>
      <c r="AE985" s="108" t="s">
        <v>37</v>
      </c>
      <c r="AF985" s="108" t="s">
        <v>43</v>
      </c>
      <c r="AG985" s="108" t="s">
        <v>38</v>
      </c>
      <c r="AH985" s="108" t="s">
        <v>92</v>
      </c>
    </row>
    <row r="986" spans="1:34" x14ac:dyDescent="0.3">
      <c r="A986" s="118" t="s">
        <v>1408</v>
      </c>
      <c r="B986" s="119" t="s">
        <v>1448</v>
      </c>
      <c r="C986" s="119" t="s">
        <v>1449</v>
      </c>
      <c r="D986" s="120">
        <v>45463</v>
      </c>
      <c r="E986" s="121">
        <v>363990</v>
      </c>
      <c r="F986" s="119" t="s">
        <v>32</v>
      </c>
      <c r="G986" s="119" t="s">
        <v>33</v>
      </c>
      <c r="H986" s="121">
        <v>363990</v>
      </c>
      <c r="I986" s="121">
        <v>22400</v>
      </c>
      <c r="J986" s="122">
        <f t="shared" si="108"/>
        <v>6.1540152201983567</v>
      </c>
      <c r="K986" s="121">
        <v>324351</v>
      </c>
      <c r="L986" s="121">
        <f>H986-295581</f>
        <v>68409</v>
      </c>
      <c r="M986" s="121">
        <v>28770</v>
      </c>
      <c r="N986" s="123">
        <f t="shared" si="109"/>
        <v>7.9040632984422654E-2</v>
      </c>
      <c r="O986" s="124">
        <v>70</v>
      </c>
      <c r="P986" s="125">
        <v>120</v>
      </c>
      <c r="Q986" s="126">
        <v>0.193</v>
      </c>
      <c r="R986" s="126">
        <v>0.193</v>
      </c>
      <c r="S986" s="121">
        <f t="shared" si="110"/>
        <v>977.2714285714286</v>
      </c>
      <c r="T986" s="121">
        <f t="shared" si="111"/>
        <v>354450.77720207255</v>
      </c>
      <c r="U986" s="127">
        <f t="shared" si="112"/>
        <v>8.1370701837023081</v>
      </c>
      <c r="V986" s="126">
        <v>70</v>
      </c>
      <c r="W986" s="126">
        <f t="shared" si="113"/>
        <v>72798</v>
      </c>
      <c r="X986" s="126">
        <f t="shared" si="107"/>
        <v>1039.9714285714285</v>
      </c>
      <c r="Y986" s="128" t="s">
        <v>1407</v>
      </c>
      <c r="Z986" s="119" t="s">
        <v>35</v>
      </c>
      <c r="AA986" s="119" t="s">
        <v>35</v>
      </c>
      <c r="AB986" s="119" t="s">
        <v>1408</v>
      </c>
      <c r="AC986" s="119">
        <v>0</v>
      </c>
      <c r="AD986" s="119">
        <v>0</v>
      </c>
      <c r="AE986" s="119" t="s">
        <v>37</v>
      </c>
      <c r="AF986" s="119" t="s">
        <v>43</v>
      </c>
      <c r="AG986" s="119" t="s">
        <v>38</v>
      </c>
      <c r="AH986" s="119" t="s">
        <v>92</v>
      </c>
    </row>
    <row r="987" spans="1:34" x14ac:dyDescent="0.3">
      <c r="A987" s="107" t="s">
        <v>1408</v>
      </c>
      <c r="B987" s="108" t="s">
        <v>1498</v>
      </c>
      <c r="C987" s="108" t="s">
        <v>1499</v>
      </c>
      <c r="D987" s="109">
        <v>45408</v>
      </c>
      <c r="E987" s="110">
        <v>328490</v>
      </c>
      <c r="F987" s="108" t="s">
        <v>32</v>
      </c>
      <c r="G987" s="108" t="s">
        <v>33</v>
      </c>
      <c r="H987" s="110">
        <v>328490</v>
      </c>
      <c r="I987" s="110">
        <v>67000</v>
      </c>
      <c r="J987" s="111">
        <f t="shared" si="108"/>
        <v>20.396359097689427</v>
      </c>
      <c r="K987" s="110">
        <v>311798</v>
      </c>
      <c r="L987" s="110">
        <f>H987-281932</f>
        <v>46558</v>
      </c>
      <c r="M987" s="110">
        <v>29866</v>
      </c>
      <c r="N987" s="112">
        <f t="shared" si="109"/>
        <v>9.0919053852476478E-2</v>
      </c>
      <c r="O987" s="113">
        <v>72.66</v>
      </c>
      <c r="P987" s="114">
        <v>120</v>
      </c>
      <c r="Q987" s="115">
        <v>0.21299999999999999</v>
      </c>
      <c r="R987" s="115">
        <v>0.21299999999999999</v>
      </c>
      <c r="S987" s="110">
        <f t="shared" si="110"/>
        <v>640.76520781723093</v>
      </c>
      <c r="T987" s="110">
        <f t="shared" si="111"/>
        <v>218582.15962441315</v>
      </c>
      <c r="U987" s="116">
        <f t="shared" si="112"/>
        <v>5.0179559142427266</v>
      </c>
      <c r="V987" s="115">
        <v>63</v>
      </c>
      <c r="W987" s="115">
        <f t="shared" si="113"/>
        <v>65698</v>
      </c>
      <c r="X987" s="115">
        <f t="shared" ref="X987:X1005" si="114">W987/V987</f>
        <v>1042.8253968253969</v>
      </c>
      <c r="Y987" s="117" t="s">
        <v>1407</v>
      </c>
      <c r="Z987" s="108" t="s">
        <v>35</v>
      </c>
      <c r="AA987" s="108" t="s">
        <v>35</v>
      </c>
      <c r="AB987" s="108" t="s">
        <v>1408</v>
      </c>
      <c r="AC987" s="108">
        <v>0</v>
      </c>
      <c r="AD987" s="108">
        <v>0</v>
      </c>
      <c r="AE987" s="108" t="s">
        <v>37</v>
      </c>
      <c r="AF987" s="108" t="s">
        <v>43</v>
      </c>
      <c r="AG987" s="108" t="s">
        <v>38</v>
      </c>
      <c r="AH987" s="108" t="s">
        <v>92</v>
      </c>
    </row>
    <row r="988" spans="1:34" x14ac:dyDescent="0.3">
      <c r="A988" s="107" t="s">
        <v>1408</v>
      </c>
      <c r="B988" s="108" t="s">
        <v>1484</v>
      </c>
      <c r="C988" s="108" t="s">
        <v>1485</v>
      </c>
      <c r="D988" s="109">
        <v>45566</v>
      </c>
      <c r="E988" s="110">
        <v>364990</v>
      </c>
      <c r="F988" s="108" t="s">
        <v>32</v>
      </c>
      <c r="G988" s="108" t="s">
        <v>33</v>
      </c>
      <c r="H988" s="110">
        <v>364990</v>
      </c>
      <c r="I988" s="110">
        <v>13000</v>
      </c>
      <c r="J988" s="111">
        <f t="shared" si="108"/>
        <v>3.5617414175730842</v>
      </c>
      <c r="K988" s="110">
        <v>343118</v>
      </c>
      <c r="L988" s="110">
        <f>H988-314348</f>
        <v>50642</v>
      </c>
      <c r="M988" s="110">
        <v>28770</v>
      </c>
      <c r="N988" s="112">
        <f t="shared" si="109"/>
        <v>7.8824077371982798E-2</v>
      </c>
      <c r="O988" s="113">
        <v>70</v>
      </c>
      <c r="P988" s="114">
        <v>120</v>
      </c>
      <c r="Q988" s="115">
        <v>0.193</v>
      </c>
      <c r="R988" s="115">
        <v>0.193</v>
      </c>
      <c r="S988" s="110">
        <f t="shared" si="110"/>
        <v>723.45714285714291</v>
      </c>
      <c r="T988" s="110">
        <f t="shared" si="111"/>
        <v>262393.78238341969</v>
      </c>
      <c r="U988" s="116">
        <f t="shared" si="112"/>
        <v>6.02373237794811</v>
      </c>
      <c r="V988" s="115">
        <v>70</v>
      </c>
      <c r="W988" s="115">
        <f t="shared" si="113"/>
        <v>72998</v>
      </c>
      <c r="X988" s="115">
        <f t="shared" si="114"/>
        <v>1042.8285714285714</v>
      </c>
      <c r="Y988" s="117" t="s">
        <v>1407</v>
      </c>
      <c r="Z988" s="108" t="s">
        <v>35</v>
      </c>
      <c r="AA988" s="108" t="s">
        <v>35</v>
      </c>
      <c r="AB988" s="108" t="s">
        <v>1408</v>
      </c>
      <c r="AC988" s="108">
        <v>0</v>
      </c>
      <c r="AD988" s="108">
        <v>0</v>
      </c>
      <c r="AE988" s="108" t="s">
        <v>37</v>
      </c>
      <c r="AF988" s="108" t="s">
        <v>43</v>
      </c>
      <c r="AG988" s="108" t="s">
        <v>38</v>
      </c>
      <c r="AH988" s="108" t="s">
        <v>92</v>
      </c>
    </row>
    <row r="989" spans="1:34" x14ac:dyDescent="0.3">
      <c r="A989" s="118" t="s">
        <v>1408</v>
      </c>
      <c r="B989" s="119" t="s">
        <v>1488</v>
      </c>
      <c r="C989" s="119" t="s">
        <v>1489</v>
      </c>
      <c r="D989" s="120">
        <v>45562</v>
      </c>
      <c r="E989" s="121">
        <v>364990</v>
      </c>
      <c r="F989" s="119" t="s">
        <v>32</v>
      </c>
      <c r="G989" s="119" t="s">
        <v>33</v>
      </c>
      <c r="H989" s="121">
        <v>364990</v>
      </c>
      <c r="I989" s="121">
        <v>13000</v>
      </c>
      <c r="J989" s="122">
        <f t="shared" si="108"/>
        <v>3.5617414175730842</v>
      </c>
      <c r="K989" s="121">
        <v>343167</v>
      </c>
      <c r="L989" s="121">
        <f>H989-314397</f>
        <v>50593</v>
      </c>
      <c r="M989" s="121">
        <v>28770</v>
      </c>
      <c r="N989" s="123">
        <f t="shared" si="109"/>
        <v>7.8824077371982798E-2</v>
      </c>
      <c r="O989" s="124">
        <v>70</v>
      </c>
      <c r="P989" s="125">
        <v>120</v>
      </c>
      <c r="Q989" s="126">
        <v>0.193</v>
      </c>
      <c r="R989" s="126">
        <v>0.193</v>
      </c>
      <c r="S989" s="121">
        <f t="shared" si="110"/>
        <v>722.75714285714287</v>
      </c>
      <c r="T989" s="121">
        <f t="shared" si="111"/>
        <v>262139.89637305698</v>
      </c>
      <c r="U989" s="127">
        <f t="shared" si="112"/>
        <v>6.0179039571408861</v>
      </c>
      <c r="V989" s="126">
        <v>70</v>
      </c>
      <c r="W989" s="126">
        <f t="shared" si="113"/>
        <v>72998</v>
      </c>
      <c r="X989" s="126">
        <f t="shared" si="114"/>
        <v>1042.8285714285714</v>
      </c>
      <c r="Y989" s="128" t="s">
        <v>1407</v>
      </c>
      <c r="Z989" s="119" t="s">
        <v>35</v>
      </c>
      <c r="AA989" s="119" t="s">
        <v>35</v>
      </c>
      <c r="AB989" s="119" t="s">
        <v>1408</v>
      </c>
      <c r="AC989" s="119">
        <v>0</v>
      </c>
      <c r="AD989" s="119">
        <v>0</v>
      </c>
      <c r="AE989" s="119" t="s">
        <v>37</v>
      </c>
      <c r="AF989" s="119" t="s">
        <v>43</v>
      </c>
      <c r="AG989" s="119" t="s">
        <v>38</v>
      </c>
      <c r="AH989" s="119" t="s">
        <v>92</v>
      </c>
    </row>
    <row r="990" spans="1:34" x14ac:dyDescent="0.3">
      <c r="A990" s="118" t="s">
        <v>1408</v>
      </c>
      <c r="B990" s="119" t="s">
        <v>1478</v>
      </c>
      <c r="C990" s="119" t="s">
        <v>1479</v>
      </c>
      <c r="D990" s="120">
        <v>45533</v>
      </c>
      <c r="E990" s="121">
        <v>366990</v>
      </c>
      <c r="F990" s="119" t="s">
        <v>32</v>
      </c>
      <c r="G990" s="119" t="s">
        <v>33</v>
      </c>
      <c r="H990" s="121">
        <v>366990</v>
      </c>
      <c r="I990" s="121">
        <v>13000</v>
      </c>
      <c r="J990" s="122">
        <f t="shared" si="108"/>
        <v>3.5423308537017353</v>
      </c>
      <c r="K990" s="121">
        <v>341456</v>
      </c>
      <c r="L990" s="121">
        <f>H990-312686</f>
        <v>54304</v>
      </c>
      <c r="M990" s="121">
        <v>28770</v>
      </c>
      <c r="N990" s="123">
        <f t="shared" si="109"/>
        <v>7.8394506662306879E-2</v>
      </c>
      <c r="O990" s="124">
        <v>70</v>
      </c>
      <c r="P990" s="125">
        <v>120</v>
      </c>
      <c r="Q990" s="126">
        <v>0.193</v>
      </c>
      <c r="R990" s="126">
        <v>0.193</v>
      </c>
      <c r="S990" s="121">
        <f t="shared" si="110"/>
        <v>775.7714285714286</v>
      </c>
      <c r="T990" s="121">
        <f t="shared" si="111"/>
        <v>281367.87564766838</v>
      </c>
      <c r="U990" s="127">
        <f t="shared" si="112"/>
        <v>6.4593176227655738</v>
      </c>
      <c r="V990" s="126">
        <v>70</v>
      </c>
      <c r="W990" s="126">
        <f t="shared" si="113"/>
        <v>73398</v>
      </c>
      <c r="X990" s="126">
        <f t="shared" si="114"/>
        <v>1048.5428571428572</v>
      </c>
      <c r="Y990" s="128" t="s">
        <v>1407</v>
      </c>
      <c r="Z990" s="119" t="s">
        <v>35</v>
      </c>
      <c r="AA990" s="119" t="s">
        <v>35</v>
      </c>
      <c r="AB990" s="119" t="s">
        <v>1408</v>
      </c>
      <c r="AC990" s="119">
        <v>0</v>
      </c>
      <c r="AD990" s="119">
        <v>0</v>
      </c>
      <c r="AE990" s="119" t="s">
        <v>37</v>
      </c>
      <c r="AF990" s="119" t="s">
        <v>43</v>
      </c>
      <c r="AG990" s="119" t="s">
        <v>38</v>
      </c>
      <c r="AH990" s="119" t="s">
        <v>92</v>
      </c>
    </row>
    <row r="991" spans="1:34" x14ac:dyDescent="0.3">
      <c r="A991" s="118" t="s">
        <v>1408</v>
      </c>
      <c r="B991" s="119" t="s">
        <v>1446</v>
      </c>
      <c r="C991" s="119" t="s">
        <v>1447</v>
      </c>
      <c r="D991" s="120">
        <v>45428</v>
      </c>
      <c r="E991" s="121">
        <v>368490</v>
      </c>
      <c r="F991" s="119" t="s">
        <v>32</v>
      </c>
      <c r="G991" s="119" t="s">
        <v>33</v>
      </c>
      <c r="H991" s="121">
        <v>368490</v>
      </c>
      <c r="I991" s="121">
        <v>22400</v>
      </c>
      <c r="J991" s="122">
        <f t="shared" si="108"/>
        <v>6.0788623843252187</v>
      </c>
      <c r="K991" s="121">
        <v>362026</v>
      </c>
      <c r="L991" s="121">
        <f>H991-333256</f>
        <v>35234</v>
      </c>
      <c r="M991" s="121">
        <v>28770</v>
      </c>
      <c r="N991" s="123">
        <f t="shared" si="109"/>
        <v>7.8075388748677033E-2</v>
      </c>
      <c r="O991" s="124">
        <v>70</v>
      </c>
      <c r="P991" s="125">
        <v>120</v>
      </c>
      <c r="Q991" s="126">
        <v>0.193</v>
      </c>
      <c r="R991" s="126">
        <v>0.193</v>
      </c>
      <c r="S991" s="121">
        <f t="shared" si="110"/>
        <v>503.34285714285716</v>
      </c>
      <c r="T991" s="121">
        <f t="shared" si="111"/>
        <v>182559.58549222798</v>
      </c>
      <c r="U991" s="127">
        <f t="shared" si="112"/>
        <v>4.1909914024845722</v>
      </c>
      <c r="V991" s="126">
        <v>70</v>
      </c>
      <c r="W991" s="126">
        <f t="shared" si="113"/>
        <v>73698</v>
      </c>
      <c r="X991" s="126">
        <f t="shared" si="114"/>
        <v>1052.8285714285714</v>
      </c>
      <c r="Y991" s="128" t="s">
        <v>1407</v>
      </c>
      <c r="Z991" s="119" t="s">
        <v>35</v>
      </c>
      <c r="AA991" s="119" t="s">
        <v>35</v>
      </c>
      <c r="AB991" s="119" t="s">
        <v>1408</v>
      </c>
      <c r="AC991" s="119">
        <v>0</v>
      </c>
      <c r="AD991" s="119">
        <v>0</v>
      </c>
      <c r="AE991" s="119" t="s">
        <v>37</v>
      </c>
      <c r="AF991" s="119" t="s">
        <v>43</v>
      </c>
      <c r="AG991" s="119" t="s">
        <v>38</v>
      </c>
      <c r="AH991" s="119" t="s">
        <v>92</v>
      </c>
    </row>
    <row r="992" spans="1:34" x14ac:dyDescent="0.3">
      <c r="A992" s="107" t="s">
        <v>1408</v>
      </c>
      <c r="B992" s="108" t="s">
        <v>1474</v>
      </c>
      <c r="C992" s="108" t="s">
        <v>1475</v>
      </c>
      <c r="D992" s="109">
        <v>45512</v>
      </c>
      <c r="E992" s="110">
        <v>370000</v>
      </c>
      <c r="F992" s="108" t="s">
        <v>32</v>
      </c>
      <c r="G992" s="108" t="s">
        <v>33</v>
      </c>
      <c r="H992" s="110">
        <v>370000</v>
      </c>
      <c r="I992" s="110">
        <v>13000</v>
      </c>
      <c r="J992" s="111">
        <f t="shared" si="108"/>
        <v>3.5135135135135136</v>
      </c>
      <c r="K992" s="110">
        <v>374580</v>
      </c>
      <c r="L992" s="110">
        <f>H992-345810</f>
        <v>24190</v>
      </c>
      <c r="M992" s="110">
        <v>28770</v>
      </c>
      <c r="N992" s="112">
        <f t="shared" si="109"/>
        <v>7.7756756756756751E-2</v>
      </c>
      <c r="O992" s="113">
        <v>70</v>
      </c>
      <c r="P992" s="114">
        <v>120</v>
      </c>
      <c r="Q992" s="115">
        <v>0.193</v>
      </c>
      <c r="R992" s="115">
        <v>0.193</v>
      </c>
      <c r="S992" s="110">
        <f t="shared" si="110"/>
        <v>345.57142857142856</v>
      </c>
      <c r="T992" s="110">
        <f t="shared" si="111"/>
        <v>125336.78756476684</v>
      </c>
      <c r="U992" s="116">
        <f t="shared" si="112"/>
        <v>2.8773367209542435</v>
      </c>
      <c r="V992" s="115">
        <v>70</v>
      </c>
      <c r="W992" s="115">
        <f t="shared" si="113"/>
        <v>74000</v>
      </c>
      <c r="X992" s="115">
        <f t="shared" si="114"/>
        <v>1057.1428571428571</v>
      </c>
      <c r="Y992" s="117" t="s">
        <v>1407</v>
      </c>
      <c r="Z992" s="108" t="s">
        <v>35</v>
      </c>
      <c r="AA992" s="108" t="s">
        <v>35</v>
      </c>
      <c r="AB992" s="108" t="s">
        <v>1408</v>
      </c>
      <c r="AC992" s="108">
        <v>0</v>
      </c>
      <c r="AD992" s="108">
        <v>0</v>
      </c>
      <c r="AE992" s="108" t="s">
        <v>37</v>
      </c>
      <c r="AF992" s="108" t="s">
        <v>43</v>
      </c>
      <c r="AG992" s="108" t="s">
        <v>38</v>
      </c>
      <c r="AH992" s="108" t="s">
        <v>92</v>
      </c>
    </row>
    <row r="993" spans="1:34" x14ac:dyDescent="0.3">
      <c r="A993" s="107" t="s">
        <v>1408</v>
      </c>
      <c r="B993" s="108" t="s">
        <v>1409</v>
      </c>
      <c r="C993" s="108" t="s">
        <v>1410</v>
      </c>
      <c r="D993" s="109">
        <v>45546</v>
      </c>
      <c r="E993" s="110">
        <v>403000</v>
      </c>
      <c r="F993" s="108" t="s">
        <v>32</v>
      </c>
      <c r="G993" s="108" t="s">
        <v>33</v>
      </c>
      <c r="H993" s="110">
        <v>403000</v>
      </c>
      <c r="I993" s="110">
        <v>188200</v>
      </c>
      <c r="J993" s="111">
        <f t="shared" si="108"/>
        <v>46.699751861042181</v>
      </c>
      <c r="K993" s="110">
        <v>394904</v>
      </c>
      <c r="L993" s="110">
        <f>H993-363494</f>
        <v>39506</v>
      </c>
      <c r="M993" s="110">
        <v>31410</v>
      </c>
      <c r="N993" s="112">
        <f t="shared" si="109"/>
        <v>7.7940446650124076E-2</v>
      </c>
      <c r="O993" s="113">
        <v>76.42</v>
      </c>
      <c r="P993" s="114">
        <v>123.5</v>
      </c>
      <c r="Q993" s="115">
        <v>0.21299999999999999</v>
      </c>
      <c r="R993" s="115">
        <v>0.21299999999999999</v>
      </c>
      <c r="S993" s="110">
        <f t="shared" si="110"/>
        <v>516.95891127976972</v>
      </c>
      <c r="T993" s="110">
        <f t="shared" si="111"/>
        <v>185474.17840375588</v>
      </c>
      <c r="U993" s="116">
        <f t="shared" si="112"/>
        <v>4.2579012489383814</v>
      </c>
      <c r="V993" s="115">
        <v>76</v>
      </c>
      <c r="W993" s="115">
        <f t="shared" si="113"/>
        <v>80600</v>
      </c>
      <c r="X993" s="115">
        <f t="shared" si="114"/>
        <v>1060.5263157894738</v>
      </c>
      <c r="Y993" s="117" t="s">
        <v>1407</v>
      </c>
      <c r="Z993" s="108" t="s">
        <v>35</v>
      </c>
      <c r="AA993" s="108" t="s">
        <v>35</v>
      </c>
      <c r="AB993" s="108" t="s">
        <v>1408</v>
      </c>
      <c r="AC993" s="108">
        <v>0</v>
      </c>
      <c r="AD993" s="108">
        <v>1</v>
      </c>
      <c r="AE993" s="108" t="s">
        <v>1411</v>
      </c>
      <c r="AF993" s="108" t="s">
        <v>43</v>
      </c>
      <c r="AG993" s="108" t="s">
        <v>38</v>
      </c>
      <c r="AH993" s="108" t="s">
        <v>92</v>
      </c>
    </row>
    <row r="994" spans="1:34" x14ac:dyDescent="0.3">
      <c r="A994" s="118" t="s">
        <v>1408</v>
      </c>
      <c r="B994" s="119" t="s">
        <v>1462</v>
      </c>
      <c r="C994" s="119" t="s">
        <v>1463</v>
      </c>
      <c r="D994" s="120">
        <v>45541</v>
      </c>
      <c r="E994" s="121">
        <v>372490</v>
      </c>
      <c r="F994" s="119" t="s">
        <v>32</v>
      </c>
      <c r="G994" s="119" t="s">
        <v>33</v>
      </c>
      <c r="H994" s="121">
        <v>372490</v>
      </c>
      <c r="I994" s="121">
        <v>13000</v>
      </c>
      <c r="J994" s="122">
        <f t="shared" si="108"/>
        <v>3.4900265778947088</v>
      </c>
      <c r="K994" s="121">
        <v>375890</v>
      </c>
      <c r="L994" s="121">
        <f>H994-347120</f>
        <v>25370</v>
      </c>
      <c r="M994" s="121">
        <v>28770</v>
      </c>
      <c r="N994" s="123">
        <f t="shared" si="109"/>
        <v>7.7236972804639051E-2</v>
      </c>
      <c r="O994" s="124">
        <v>70</v>
      </c>
      <c r="P994" s="125">
        <v>120</v>
      </c>
      <c r="Q994" s="126">
        <v>0.193</v>
      </c>
      <c r="R994" s="126">
        <v>0.193</v>
      </c>
      <c r="S994" s="121">
        <f t="shared" si="110"/>
        <v>362.42857142857144</v>
      </c>
      <c r="T994" s="121">
        <f t="shared" si="111"/>
        <v>131450.77720207252</v>
      </c>
      <c r="U994" s="127">
        <f t="shared" si="112"/>
        <v>3.0176946097812793</v>
      </c>
      <c r="V994" s="126">
        <v>70</v>
      </c>
      <c r="W994" s="126">
        <f t="shared" si="113"/>
        <v>74498</v>
      </c>
      <c r="X994" s="126">
        <f t="shared" si="114"/>
        <v>1064.2571428571428</v>
      </c>
      <c r="Y994" s="128" t="s">
        <v>1407</v>
      </c>
      <c r="Z994" s="119" t="s">
        <v>35</v>
      </c>
      <c r="AA994" s="119" t="s">
        <v>35</v>
      </c>
      <c r="AB994" s="119" t="s">
        <v>1408</v>
      </c>
      <c r="AC994" s="119">
        <v>0</v>
      </c>
      <c r="AD994" s="119">
        <v>0</v>
      </c>
      <c r="AE994" s="119" t="s">
        <v>37</v>
      </c>
      <c r="AF994" s="119" t="s">
        <v>43</v>
      </c>
      <c r="AG994" s="119" t="s">
        <v>38</v>
      </c>
      <c r="AH994" s="119" t="s">
        <v>92</v>
      </c>
    </row>
    <row r="995" spans="1:34" x14ac:dyDescent="0.3">
      <c r="A995" s="118" t="s">
        <v>1408</v>
      </c>
      <c r="B995" s="119" t="s">
        <v>1480</v>
      </c>
      <c r="C995" s="119" t="s">
        <v>1481</v>
      </c>
      <c r="D995" s="120">
        <v>45532</v>
      </c>
      <c r="E995" s="121">
        <v>373990</v>
      </c>
      <c r="F995" s="119" t="s">
        <v>32</v>
      </c>
      <c r="G995" s="119" t="s">
        <v>33</v>
      </c>
      <c r="H995" s="121">
        <v>373990</v>
      </c>
      <c r="I995" s="121">
        <v>13000</v>
      </c>
      <c r="J995" s="122">
        <f t="shared" si="108"/>
        <v>3.4760287708227491</v>
      </c>
      <c r="K995" s="121">
        <v>377900</v>
      </c>
      <c r="L995" s="121">
        <f>H995-349130</f>
        <v>24860</v>
      </c>
      <c r="M995" s="121">
        <v>28770</v>
      </c>
      <c r="N995" s="123">
        <f t="shared" si="109"/>
        <v>7.6927190566592696E-2</v>
      </c>
      <c r="O995" s="124">
        <v>70</v>
      </c>
      <c r="P995" s="125">
        <v>120</v>
      </c>
      <c r="Q995" s="126">
        <v>0.193</v>
      </c>
      <c r="R995" s="126">
        <v>0.193</v>
      </c>
      <c r="S995" s="121">
        <f t="shared" si="110"/>
        <v>355.14285714285717</v>
      </c>
      <c r="T995" s="121">
        <f t="shared" si="111"/>
        <v>128808.29015544041</v>
      </c>
      <c r="U995" s="127">
        <f t="shared" si="112"/>
        <v>2.9570314544407807</v>
      </c>
      <c r="V995" s="126">
        <v>70</v>
      </c>
      <c r="W995" s="126">
        <f t="shared" si="113"/>
        <v>74798</v>
      </c>
      <c r="X995" s="126">
        <f t="shared" si="114"/>
        <v>1068.5428571428572</v>
      </c>
      <c r="Y995" s="128" t="s">
        <v>1407</v>
      </c>
      <c r="Z995" s="119" t="s">
        <v>35</v>
      </c>
      <c r="AA995" s="119" t="s">
        <v>35</v>
      </c>
      <c r="AB995" s="119" t="s">
        <v>1408</v>
      </c>
      <c r="AC995" s="119">
        <v>0</v>
      </c>
      <c r="AD995" s="119">
        <v>0</v>
      </c>
      <c r="AE995" s="119" t="s">
        <v>37</v>
      </c>
      <c r="AF995" s="119" t="s">
        <v>43</v>
      </c>
      <c r="AG995" s="119" t="s">
        <v>38</v>
      </c>
      <c r="AH995" s="119" t="s">
        <v>92</v>
      </c>
    </row>
    <row r="996" spans="1:34" x14ac:dyDescent="0.3">
      <c r="A996" s="107" t="s">
        <v>1408</v>
      </c>
      <c r="B996" s="108" t="s">
        <v>1490</v>
      </c>
      <c r="C996" s="108" t="s">
        <v>1491</v>
      </c>
      <c r="D996" s="109">
        <v>45562</v>
      </c>
      <c r="E996" s="110">
        <v>373990</v>
      </c>
      <c r="F996" s="108" t="s">
        <v>32</v>
      </c>
      <c r="G996" s="108" t="s">
        <v>33</v>
      </c>
      <c r="H996" s="110">
        <v>373990</v>
      </c>
      <c r="I996" s="110">
        <v>13000</v>
      </c>
      <c r="J996" s="111">
        <f t="shared" si="108"/>
        <v>3.4760287708227491</v>
      </c>
      <c r="K996" s="110">
        <v>372614</v>
      </c>
      <c r="L996" s="110">
        <f>H996-343844</f>
        <v>30146</v>
      </c>
      <c r="M996" s="110">
        <v>28770</v>
      </c>
      <c r="N996" s="112">
        <f t="shared" si="109"/>
        <v>7.6927190566592696E-2</v>
      </c>
      <c r="O996" s="113">
        <v>70</v>
      </c>
      <c r="P996" s="114">
        <v>120</v>
      </c>
      <c r="Q996" s="115">
        <v>0.193</v>
      </c>
      <c r="R996" s="115">
        <v>0.193</v>
      </c>
      <c r="S996" s="110">
        <f t="shared" si="110"/>
        <v>430.65714285714284</v>
      </c>
      <c r="T996" s="110">
        <f t="shared" si="111"/>
        <v>156196.89119170984</v>
      </c>
      <c r="U996" s="116">
        <f t="shared" si="112"/>
        <v>3.5857872174405383</v>
      </c>
      <c r="V996" s="115">
        <v>70</v>
      </c>
      <c r="W996" s="115">
        <f t="shared" si="113"/>
        <v>74798</v>
      </c>
      <c r="X996" s="115">
        <f t="shared" si="114"/>
        <v>1068.5428571428572</v>
      </c>
      <c r="Y996" s="117" t="s">
        <v>1407</v>
      </c>
      <c r="Z996" s="108" t="s">
        <v>35</v>
      </c>
      <c r="AA996" s="108" t="s">
        <v>35</v>
      </c>
      <c r="AB996" s="108" t="s">
        <v>1408</v>
      </c>
      <c r="AC996" s="108">
        <v>0</v>
      </c>
      <c r="AD996" s="108">
        <v>0</v>
      </c>
      <c r="AE996" s="108" t="s">
        <v>37</v>
      </c>
      <c r="AF996" s="108" t="s">
        <v>43</v>
      </c>
      <c r="AG996" s="108" t="s">
        <v>38</v>
      </c>
      <c r="AH996" s="108" t="s">
        <v>92</v>
      </c>
    </row>
    <row r="997" spans="1:34" x14ac:dyDescent="0.3">
      <c r="A997" s="118" t="s">
        <v>1408</v>
      </c>
      <c r="B997" s="119" t="s">
        <v>1422</v>
      </c>
      <c r="C997" s="119" t="s">
        <v>1423</v>
      </c>
      <c r="D997" s="120">
        <v>45630</v>
      </c>
      <c r="E997" s="121">
        <v>374490</v>
      </c>
      <c r="F997" s="119" t="s">
        <v>32</v>
      </c>
      <c r="G997" s="119" t="s">
        <v>33</v>
      </c>
      <c r="H997" s="121">
        <v>374490</v>
      </c>
      <c r="I997" s="121">
        <v>13000</v>
      </c>
      <c r="J997" s="122">
        <f t="shared" si="108"/>
        <v>3.471387754012123</v>
      </c>
      <c r="K997" s="121">
        <v>369098</v>
      </c>
      <c r="L997" s="121">
        <f>H997-340328</f>
        <v>34162</v>
      </c>
      <c r="M997" s="121">
        <v>28770</v>
      </c>
      <c r="N997" s="123">
        <f t="shared" si="109"/>
        <v>7.6824481294560598E-2</v>
      </c>
      <c r="O997" s="124">
        <v>70</v>
      </c>
      <c r="P997" s="125">
        <v>120</v>
      </c>
      <c r="Q997" s="126">
        <v>0.193</v>
      </c>
      <c r="R997" s="126">
        <v>0.193</v>
      </c>
      <c r="S997" s="121">
        <f t="shared" si="110"/>
        <v>488.02857142857141</v>
      </c>
      <c r="T997" s="121">
        <f t="shared" si="111"/>
        <v>177005.18134715027</v>
      </c>
      <c r="U997" s="127">
        <f t="shared" si="112"/>
        <v>4.0634798289061127</v>
      </c>
      <c r="V997" s="126">
        <v>70</v>
      </c>
      <c r="W997" s="126">
        <f t="shared" si="113"/>
        <v>74898</v>
      </c>
      <c r="X997" s="126">
        <f t="shared" si="114"/>
        <v>1069.9714285714285</v>
      </c>
      <c r="Y997" s="128" t="s">
        <v>1407</v>
      </c>
      <c r="Z997" s="119" t="s">
        <v>35</v>
      </c>
      <c r="AA997" s="119" t="s">
        <v>35</v>
      </c>
      <c r="AB997" s="119" t="s">
        <v>1408</v>
      </c>
      <c r="AC997" s="119">
        <v>0</v>
      </c>
      <c r="AD997" s="119">
        <v>0</v>
      </c>
      <c r="AE997" s="119" t="s">
        <v>37</v>
      </c>
      <c r="AF997" s="119" t="s">
        <v>35</v>
      </c>
      <c r="AG997" s="119" t="s">
        <v>38</v>
      </c>
      <c r="AH997" s="119" t="s">
        <v>92</v>
      </c>
    </row>
    <row r="998" spans="1:34" x14ac:dyDescent="0.3">
      <c r="A998" s="107" t="s">
        <v>1408</v>
      </c>
      <c r="B998" s="108" t="s">
        <v>1450</v>
      </c>
      <c r="C998" s="108" t="s">
        <v>1451</v>
      </c>
      <c r="D998" s="109">
        <v>45408</v>
      </c>
      <c r="E998" s="110">
        <v>374990</v>
      </c>
      <c r="F998" s="108" t="s">
        <v>32</v>
      </c>
      <c r="G998" s="108" t="s">
        <v>33</v>
      </c>
      <c r="H998" s="110">
        <v>374990</v>
      </c>
      <c r="I998" s="110">
        <v>25900</v>
      </c>
      <c r="J998" s="111">
        <f t="shared" si="108"/>
        <v>6.9068508493559833</v>
      </c>
      <c r="K998" s="110">
        <v>361579</v>
      </c>
      <c r="L998" s="110">
        <f>H998-332809</f>
        <v>42181</v>
      </c>
      <c r="M998" s="110">
        <v>28770</v>
      </c>
      <c r="N998" s="112">
        <f t="shared" si="109"/>
        <v>7.6722045921224571E-2</v>
      </c>
      <c r="O998" s="113">
        <v>70</v>
      </c>
      <c r="P998" s="114">
        <v>120</v>
      </c>
      <c r="Q998" s="115">
        <v>0.193</v>
      </c>
      <c r="R998" s="115">
        <v>0.193</v>
      </c>
      <c r="S998" s="110">
        <f t="shared" si="110"/>
        <v>602.58571428571429</v>
      </c>
      <c r="T998" s="110">
        <f t="shared" si="111"/>
        <v>218554.40414507771</v>
      </c>
      <c r="U998" s="116">
        <f t="shared" si="112"/>
        <v>5.0173187361128955</v>
      </c>
      <c r="V998" s="115">
        <v>70</v>
      </c>
      <c r="W998" s="115">
        <f t="shared" si="113"/>
        <v>74998</v>
      </c>
      <c r="X998" s="115">
        <f t="shared" si="114"/>
        <v>1071.4000000000001</v>
      </c>
      <c r="Y998" s="117" t="s">
        <v>1407</v>
      </c>
      <c r="Z998" s="108" t="s">
        <v>35</v>
      </c>
      <c r="AA998" s="108" t="s">
        <v>35</v>
      </c>
      <c r="AB998" s="108" t="s">
        <v>1408</v>
      </c>
      <c r="AC998" s="108">
        <v>0</v>
      </c>
      <c r="AD998" s="108">
        <v>0</v>
      </c>
      <c r="AE998" s="108" t="s">
        <v>37</v>
      </c>
      <c r="AF998" s="108" t="s">
        <v>43</v>
      </c>
      <c r="AG998" s="108" t="s">
        <v>38</v>
      </c>
      <c r="AH998" s="108" t="s">
        <v>92</v>
      </c>
    </row>
    <row r="999" spans="1:34" x14ac:dyDescent="0.3">
      <c r="A999" s="107" t="s">
        <v>1408</v>
      </c>
      <c r="B999" s="108" t="s">
        <v>1468</v>
      </c>
      <c r="C999" s="108" t="s">
        <v>1469</v>
      </c>
      <c r="D999" s="109">
        <v>45520</v>
      </c>
      <c r="E999" s="110">
        <v>375990</v>
      </c>
      <c r="F999" s="108" t="s">
        <v>32</v>
      </c>
      <c r="G999" s="108" t="s">
        <v>33</v>
      </c>
      <c r="H999" s="110">
        <v>375990</v>
      </c>
      <c r="I999" s="110">
        <v>13000</v>
      </c>
      <c r="J999" s="111">
        <f t="shared" si="108"/>
        <v>3.4575387643288389</v>
      </c>
      <c r="K999" s="110">
        <v>376580</v>
      </c>
      <c r="L999" s="110">
        <f>H999-347810</f>
        <v>28180</v>
      </c>
      <c r="M999" s="110">
        <v>28770</v>
      </c>
      <c r="N999" s="112">
        <f t="shared" si="109"/>
        <v>7.6517992499800527E-2</v>
      </c>
      <c r="O999" s="113">
        <v>70</v>
      </c>
      <c r="P999" s="114">
        <v>120</v>
      </c>
      <c r="Q999" s="115">
        <v>0.193</v>
      </c>
      <c r="R999" s="115">
        <v>0.193</v>
      </c>
      <c r="S999" s="110">
        <f t="shared" si="110"/>
        <v>402.57142857142856</v>
      </c>
      <c r="T999" s="110">
        <f t="shared" si="111"/>
        <v>146010.36269430051</v>
      </c>
      <c r="U999" s="116">
        <f t="shared" si="112"/>
        <v>3.3519367009710859</v>
      </c>
      <c r="V999" s="115">
        <v>70</v>
      </c>
      <c r="W999" s="115">
        <f t="shared" si="113"/>
        <v>75198</v>
      </c>
      <c r="X999" s="115">
        <f t="shared" si="114"/>
        <v>1074.2571428571428</v>
      </c>
      <c r="Y999" s="117" t="s">
        <v>1407</v>
      </c>
      <c r="Z999" s="108" t="s">
        <v>35</v>
      </c>
      <c r="AA999" s="108" t="s">
        <v>35</v>
      </c>
      <c r="AB999" s="108" t="s">
        <v>1408</v>
      </c>
      <c r="AC999" s="108">
        <v>0</v>
      </c>
      <c r="AD999" s="108">
        <v>0</v>
      </c>
      <c r="AE999" s="108" t="s">
        <v>37</v>
      </c>
      <c r="AF999" s="108" t="s">
        <v>43</v>
      </c>
      <c r="AG999" s="108" t="s">
        <v>38</v>
      </c>
      <c r="AH999" s="108" t="s">
        <v>92</v>
      </c>
    </row>
    <row r="1000" spans="1:34" x14ac:dyDescent="0.3">
      <c r="A1000" s="118" t="s">
        <v>1408</v>
      </c>
      <c r="B1000" s="119" t="s">
        <v>1486</v>
      </c>
      <c r="C1000" s="119" t="s">
        <v>1487</v>
      </c>
      <c r="D1000" s="120">
        <v>45590</v>
      </c>
      <c r="E1000" s="121">
        <v>376490</v>
      </c>
      <c r="F1000" s="119" t="s">
        <v>32</v>
      </c>
      <c r="G1000" s="119" t="s">
        <v>33</v>
      </c>
      <c r="H1000" s="121">
        <v>376490</v>
      </c>
      <c r="I1000" s="121">
        <v>13000</v>
      </c>
      <c r="J1000" s="122">
        <f t="shared" si="108"/>
        <v>3.4529469574225078</v>
      </c>
      <c r="K1000" s="121">
        <v>379956</v>
      </c>
      <c r="L1000" s="121">
        <f>H1000-351186</f>
        <v>25304</v>
      </c>
      <c r="M1000" s="121">
        <v>28770</v>
      </c>
      <c r="N1000" s="123">
        <f t="shared" si="109"/>
        <v>7.6416372280804265E-2</v>
      </c>
      <c r="O1000" s="124">
        <v>70</v>
      </c>
      <c r="P1000" s="125">
        <v>120</v>
      </c>
      <c r="Q1000" s="126">
        <v>0.193</v>
      </c>
      <c r="R1000" s="126">
        <v>0.193</v>
      </c>
      <c r="S1000" s="121">
        <f t="shared" si="110"/>
        <v>361.48571428571427</v>
      </c>
      <c r="T1000" s="121">
        <f t="shared" si="111"/>
        <v>131108.80829015543</v>
      </c>
      <c r="U1000" s="127">
        <f t="shared" si="112"/>
        <v>3.0098440837960383</v>
      </c>
      <c r="V1000" s="126">
        <v>70</v>
      </c>
      <c r="W1000" s="126">
        <f t="shared" si="113"/>
        <v>75298</v>
      </c>
      <c r="X1000" s="126">
        <f t="shared" si="114"/>
        <v>1075.6857142857143</v>
      </c>
      <c r="Y1000" s="128" t="s">
        <v>1407</v>
      </c>
      <c r="Z1000" s="119" t="s">
        <v>35</v>
      </c>
      <c r="AA1000" s="119" t="s">
        <v>35</v>
      </c>
      <c r="AB1000" s="119" t="s">
        <v>1408</v>
      </c>
      <c r="AC1000" s="119">
        <v>0</v>
      </c>
      <c r="AD1000" s="119">
        <v>0</v>
      </c>
      <c r="AE1000" s="119" t="s">
        <v>37</v>
      </c>
      <c r="AF1000" s="119" t="s">
        <v>35</v>
      </c>
      <c r="AG1000" s="119" t="s">
        <v>38</v>
      </c>
      <c r="AH1000" s="119" t="s">
        <v>92</v>
      </c>
    </row>
    <row r="1001" spans="1:34" x14ac:dyDescent="0.3">
      <c r="A1001" s="118" t="s">
        <v>1408</v>
      </c>
      <c r="B1001" s="119" t="s">
        <v>1496</v>
      </c>
      <c r="C1001" s="119" t="s">
        <v>1497</v>
      </c>
      <c r="D1001" s="120">
        <v>45457</v>
      </c>
      <c r="E1001" s="121">
        <v>359990</v>
      </c>
      <c r="F1001" s="119" t="s">
        <v>32</v>
      </c>
      <c r="G1001" s="119" t="s">
        <v>33</v>
      </c>
      <c r="H1001" s="121">
        <v>359990</v>
      </c>
      <c r="I1001" s="121">
        <v>22900</v>
      </c>
      <c r="J1001" s="122">
        <f t="shared" si="108"/>
        <v>6.3612878135503763</v>
      </c>
      <c r="K1001" s="121">
        <v>370204</v>
      </c>
      <c r="L1001" s="121">
        <f>H1001-340338</f>
        <v>19652</v>
      </c>
      <c r="M1001" s="121">
        <v>29866</v>
      </c>
      <c r="N1001" s="123">
        <f t="shared" si="109"/>
        <v>8.2963415650434733E-2</v>
      </c>
      <c r="O1001" s="124">
        <v>72.66</v>
      </c>
      <c r="P1001" s="125">
        <v>120</v>
      </c>
      <c r="Q1001" s="126">
        <v>0.21099999999999999</v>
      </c>
      <c r="R1001" s="126">
        <v>0.21099999999999999</v>
      </c>
      <c r="S1001" s="121">
        <f t="shared" si="110"/>
        <v>270.46518029176991</v>
      </c>
      <c r="T1001" s="121">
        <f t="shared" si="111"/>
        <v>93137.440758293844</v>
      </c>
      <c r="U1001" s="127">
        <f t="shared" si="112"/>
        <v>2.1381414315494456</v>
      </c>
      <c r="V1001" s="126">
        <v>65</v>
      </c>
      <c r="W1001" s="126">
        <f t="shared" si="113"/>
        <v>71998</v>
      </c>
      <c r="X1001" s="126">
        <f t="shared" si="114"/>
        <v>1107.6615384615384</v>
      </c>
      <c r="Y1001" s="128" t="s">
        <v>1407</v>
      </c>
      <c r="Z1001" s="119" t="s">
        <v>35</v>
      </c>
      <c r="AA1001" s="119" t="s">
        <v>35</v>
      </c>
      <c r="AB1001" s="119" t="s">
        <v>1408</v>
      </c>
      <c r="AC1001" s="119">
        <v>0</v>
      </c>
      <c r="AD1001" s="119">
        <v>0</v>
      </c>
      <c r="AE1001" s="119" t="s">
        <v>37</v>
      </c>
      <c r="AF1001" s="119" t="s">
        <v>43</v>
      </c>
      <c r="AG1001" s="119" t="s">
        <v>38</v>
      </c>
      <c r="AH1001" s="119" t="s">
        <v>92</v>
      </c>
    </row>
    <row r="1002" spans="1:34" x14ac:dyDescent="0.3">
      <c r="A1002" s="107" t="s">
        <v>1408</v>
      </c>
      <c r="B1002" s="108" t="s">
        <v>1442</v>
      </c>
      <c r="C1002" s="108" t="s">
        <v>1443</v>
      </c>
      <c r="D1002" s="109">
        <v>45415</v>
      </c>
      <c r="E1002" s="110">
        <v>375490</v>
      </c>
      <c r="F1002" s="108" t="s">
        <v>32</v>
      </c>
      <c r="G1002" s="108" t="s">
        <v>33</v>
      </c>
      <c r="H1002" s="110">
        <v>375490</v>
      </c>
      <c r="I1002" s="110">
        <v>27200</v>
      </c>
      <c r="J1002" s="111">
        <f t="shared" si="108"/>
        <v>7.2438680124637136</v>
      </c>
      <c r="K1002" s="110">
        <v>365342</v>
      </c>
      <c r="L1002" s="110">
        <f>H1002-338216</f>
        <v>37274</v>
      </c>
      <c r="M1002" s="110">
        <v>27126</v>
      </c>
      <c r="N1002" s="112">
        <f t="shared" si="109"/>
        <v>7.2241604303709822E-2</v>
      </c>
      <c r="O1002" s="113">
        <v>66</v>
      </c>
      <c r="P1002" s="114">
        <v>120</v>
      </c>
      <c r="Q1002" s="115">
        <v>0.185</v>
      </c>
      <c r="R1002" s="115">
        <v>0.185</v>
      </c>
      <c r="S1002" s="110">
        <f t="shared" si="110"/>
        <v>564.75757575757575</v>
      </c>
      <c r="T1002" s="110">
        <f t="shared" si="111"/>
        <v>201481.08108108109</v>
      </c>
      <c r="U1002" s="116">
        <f t="shared" si="112"/>
        <v>4.625369170823717</v>
      </c>
      <c r="V1002" s="115">
        <v>64</v>
      </c>
      <c r="W1002" s="115">
        <f t="shared" si="113"/>
        <v>75098</v>
      </c>
      <c r="X1002" s="115">
        <f t="shared" si="114"/>
        <v>1173.40625</v>
      </c>
      <c r="Y1002" s="117" t="s">
        <v>1407</v>
      </c>
      <c r="Z1002" s="108" t="s">
        <v>35</v>
      </c>
      <c r="AA1002" s="108" t="s">
        <v>35</v>
      </c>
      <c r="AB1002" s="108" t="s">
        <v>1408</v>
      </c>
      <c r="AC1002" s="108">
        <v>0</v>
      </c>
      <c r="AD1002" s="108">
        <v>0</v>
      </c>
      <c r="AE1002" s="108" t="s">
        <v>37</v>
      </c>
      <c r="AF1002" s="108" t="s">
        <v>43</v>
      </c>
      <c r="AG1002" s="108" t="s">
        <v>38</v>
      </c>
      <c r="AH1002" s="108" t="s">
        <v>92</v>
      </c>
    </row>
    <row r="1003" spans="1:34" x14ac:dyDescent="0.3">
      <c r="A1003" s="107" t="s">
        <v>1408</v>
      </c>
      <c r="B1003" s="108" t="s">
        <v>1507</v>
      </c>
      <c r="C1003" s="108" t="s">
        <v>1508</v>
      </c>
      <c r="D1003" s="109">
        <v>45225</v>
      </c>
      <c r="E1003" s="110">
        <v>395000</v>
      </c>
      <c r="F1003" s="108" t="s">
        <v>32</v>
      </c>
      <c r="G1003" s="108" t="s">
        <v>33</v>
      </c>
      <c r="H1003" s="110">
        <v>395000</v>
      </c>
      <c r="I1003" s="110">
        <v>183200</v>
      </c>
      <c r="J1003" s="111">
        <f t="shared" si="108"/>
        <v>46.379746835443036</v>
      </c>
      <c r="K1003" s="110">
        <v>408609</v>
      </c>
      <c r="L1003" s="110">
        <f>H1003-377445</f>
        <v>17555</v>
      </c>
      <c r="M1003" s="110">
        <v>31164</v>
      </c>
      <c r="N1003" s="112">
        <f t="shared" si="109"/>
        <v>7.8896202531645573E-2</v>
      </c>
      <c r="O1003" s="113">
        <v>75.819999999999993</v>
      </c>
      <c r="P1003" s="114">
        <v>120.5</v>
      </c>
      <c r="Q1003" s="115">
        <v>0.22700000000000001</v>
      </c>
      <c r="R1003" s="115">
        <v>0.22700000000000001</v>
      </c>
      <c r="S1003" s="110">
        <f t="shared" si="110"/>
        <v>231.53521498285414</v>
      </c>
      <c r="T1003" s="110">
        <f t="shared" si="111"/>
        <v>77334.801762114541</v>
      </c>
      <c r="U1003" s="116">
        <f t="shared" si="112"/>
        <v>1.7753627585425744</v>
      </c>
      <c r="V1003" s="115">
        <v>63</v>
      </c>
      <c r="W1003" s="115">
        <f t="shared" si="113"/>
        <v>79000</v>
      </c>
      <c r="X1003" s="115">
        <f t="shared" si="114"/>
        <v>1253.968253968254</v>
      </c>
      <c r="Y1003" s="117" t="s">
        <v>1407</v>
      </c>
      <c r="Z1003" s="108" t="s">
        <v>35</v>
      </c>
      <c r="AA1003" s="108" t="s">
        <v>35</v>
      </c>
      <c r="AB1003" s="108" t="s">
        <v>1408</v>
      </c>
      <c r="AC1003" s="108">
        <v>0</v>
      </c>
      <c r="AD1003" s="108">
        <v>1</v>
      </c>
      <c r="AE1003" s="108" t="s">
        <v>912</v>
      </c>
      <c r="AF1003" s="108" t="s">
        <v>43</v>
      </c>
      <c r="AG1003" s="108" t="s">
        <v>38</v>
      </c>
      <c r="AH1003" s="108" t="s">
        <v>92</v>
      </c>
    </row>
    <row r="1004" spans="1:34" x14ac:dyDescent="0.3">
      <c r="A1004" s="118" t="s">
        <v>1408</v>
      </c>
      <c r="B1004" s="119" t="s">
        <v>1504</v>
      </c>
      <c r="C1004" s="119" t="s">
        <v>1505</v>
      </c>
      <c r="D1004" s="120">
        <v>45457</v>
      </c>
      <c r="E1004" s="121">
        <v>410000</v>
      </c>
      <c r="F1004" s="119" t="s">
        <v>81</v>
      </c>
      <c r="G1004" s="119" t="s">
        <v>33</v>
      </c>
      <c r="H1004" s="121">
        <v>410000</v>
      </c>
      <c r="I1004" s="121">
        <v>184000</v>
      </c>
      <c r="J1004" s="122">
        <f t="shared" si="108"/>
        <v>44.878048780487809</v>
      </c>
      <c r="K1004" s="121">
        <v>390565</v>
      </c>
      <c r="L1004" s="121">
        <f>H1004-360575</f>
        <v>49425</v>
      </c>
      <c r="M1004" s="121">
        <v>29990</v>
      </c>
      <c r="N1004" s="123">
        <f t="shared" si="109"/>
        <v>7.314634146341463E-2</v>
      </c>
      <c r="O1004" s="124">
        <v>72.959999999999994</v>
      </c>
      <c r="P1004" s="125">
        <v>121</v>
      </c>
      <c r="Q1004" s="126">
        <v>0.21299999999999999</v>
      </c>
      <c r="R1004" s="126">
        <v>0.21299999999999999</v>
      </c>
      <c r="S1004" s="121">
        <f t="shared" si="110"/>
        <v>677.42598684210532</v>
      </c>
      <c r="T1004" s="121">
        <f t="shared" si="111"/>
        <v>232042.25352112675</v>
      </c>
      <c r="U1004" s="127">
        <f t="shared" si="112"/>
        <v>5.3269571515410181</v>
      </c>
      <c r="V1004" s="126">
        <v>65</v>
      </c>
      <c r="W1004" s="126">
        <f t="shared" si="113"/>
        <v>82000</v>
      </c>
      <c r="X1004" s="126">
        <f t="shared" si="114"/>
        <v>1261.5384615384614</v>
      </c>
      <c r="Y1004" s="128" t="s">
        <v>1407</v>
      </c>
      <c r="Z1004" s="119" t="s">
        <v>35</v>
      </c>
      <c r="AA1004" s="119" t="s">
        <v>35</v>
      </c>
      <c r="AB1004" s="119" t="s">
        <v>1408</v>
      </c>
      <c r="AC1004" s="119">
        <v>0</v>
      </c>
      <c r="AD1004" s="119">
        <v>0</v>
      </c>
      <c r="AE1004" s="119" t="s">
        <v>1506</v>
      </c>
      <c r="AF1004" s="119" t="s">
        <v>43</v>
      </c>
      <c r="AG1004" s="119" t="s">
        <v>38</v>
      </c>
      <c r="AH1004" s="119" t="s">
        <v>92</v>
      </c>
    </row>
    <row r="1005" spans="1:34" x14ac:dyDescent="0.3">
      <c r="A1005" s="107" t="s">
        <v>1408</v>
      </c>
      <c r="B1005" s="108" t="s">
        <v>1412</v>
      </c>
      <c r="C1005" s="108" t="s">
        <v>1413</v>
      </c>
      <c r="D1005" s="109">
        <v>45044</v>
      </c>
      <c r="E1005" s="110">
        <v>325990</v>
      </c>
      <c r="F1005" s="108" t="s">
        <v>32</v>
      </c>
      <c r="G1005" s="108" t="s">
        <v>33</v>
      </c>
      <c r="H1005" s="110">
        <v>325990</v>
      </c>
      <c r="I1005" s="110">
        <v>76900</v>
      </c>
      <c r="J1005" s="111">
        <f t="shared" si="108"/>
        <v>23.589680665051073</v>
      </c>
      <c r="K1005" s="110">
        <v>369220</v>
      </c>
      <c r="L1005" s="110">
        <f>H1005-336354</f>
        <v>-10364</v>
      </c>
      <c r="M1005" s="110">
        <v>32866</v>
      </c>
      <c r="N1005" s="112">
        <f t="shared" si="109"/>
        <v>0.10081904352894261</v>
      </c>
      <c r="O1005" s="113">
        <v>79.959999999999994</v>
      </c>
      <c r="P1005" s="114">
        <v>124</v>
      </c>
      <c r="Q1005" s="115">
        <v>0.26600000000000001</v>
      </c>
      <c r="R1005" s="115">
        <v>0.26600000000000001</v>
      </c>
      <c r="S1005" s="110">
        <f t="shared" si="110"/>
        <v>-129.61480740370186</v>
      </c>
      <c r="T1005" s="110">
        <f t="shared" si="111"/>
        <v>-38962.406015037595</v>
      </c>
      <c r="U1005" s="116">
        <f t="shared" si="112"/>
        <v>-0.89445376526716247</v>
      </c>
      <c r="V1005" s="115">
        <v>49</v>
      </c>
      <c r="W1005" s="115">
        <f t="shared" si="113"/>
        <v>65198</v>
      </c>
      <c r="X1005" s="115">
        <f t="shared" si="114"/>
        <v>1330.5714285714287</v>
      </c>
      <c r="Y1005" s="117" t="s">
        <v>1407</v>
      </c>
      <c r="Z1005" s="108" t="s">
        <v>35</v>
      </c>
      <c r="AA1005" s="108" t="s">
        <v>35</v>
      </c>
      <c r="AB1005" s="108" t="s">
        <v>1408</v>
      </c>
      <c r="AC1005" s="108">
        <v>0</v>
      </c>
      <c r="AD1005" s="108">
        <v>0</v>
      </c>
      <c r="AE1005" s="108" t="s">
        <v>37</v>
      </c>
      <c r="AF1005" s="108" t="s">
        <v>43</v>
      </c>
      <c r="AG1005" s="108" t="s">
        <v>38</v>
      </c>
      <c r="AH1005" s="108" t="s">
        <v>92</v>
      </c>
    </row>
    <row r="1006" spans="1:34" x14ac:dyDescent="0.3">
      <c r="A1006" s="107" t="s">
        <v>2287</v>
      </c>
      <c r="B1006" s="108" t="s">
        <v>2292</v>
      </c>
      <c r="C1006" s="108" t="s">
        <v>2293</v>
      </c>
      <c r="D1006" s="109">
        <v>45593</v>
      </c>
      <c r="E1006" s="110">
        <v>125000</v>
      </c>
      <c r="F1006" s="108" t="s">
        <v>32</v>
      </c>
      <c r="G1006" s="108" t="s">
        <v>33</v>
      </c>
      <c r="H1006" s="110">
        <v>125000</v>
      </c>
      <c r="I1006" s="110">
        <v>42000</v>
      </c>
      <c r="J1006" s="111">
        <f t="shared" si="108"/>
        <v>33.6</v>
      </c>
      <c r="K1006" s="110">
        <v>102341</v>
      </c>
      <c r="L1006" s="110">
        <f>H1006-92341</f>
        <v>32659</v>
      </c>
      <c r="M1006" s="110">
        <v>10000</v>
      </c>
      <c r="N1006" s="112">
        <f t="shared" si="109"/>
        <v>0.08</v>
      </c>
      <c r="O1006" s="113">
        <v>0</v>
      </c>
      <c r="P1006" s="114">
        <v>0</v>
      </c>
      <c r="Q1006" s="115">
        <v>0</v>
      </c>
      <c r="R1006" s="115">
        <v>0</v>
      </c>
      <c r="S1006" s="110" t="e">
        <f t="shared" si="110"/>
        <v>#DIV/0!</v>
      </c>
      <c r="T1006" s="110" t="e">
        <f t="shared" si="111"/>
        <v>#DIV/0!</v>
      </c>
      <c r="U1006" s="116" t="e">
        <f t="shared" si="112"/>
        <v>#DIV/0!</v>
      </c>
      <c r="V1006" s="115">
        <v>0</v>
      </c>
      <c r="W1006" s="115">
        <f t="shared" si="113"/>
        <v>25000</v>
      </c>
      <c r="X1006" s="115"/>
      <c r="Y1006" s="117" t="s">
        <v>2286</v>
      </c>
      <c r="Z1006" s="108" t="s">
        <v>35</v>
      </c>
      <c r="AA1006" s="108" t="s">
        <v>35</v>
      </c>
      <c r="AB1006" s="108" t="s">
        <v>2287</v>
      </c>
      <c r="AC1006" s="108">
        <v>0</v>
      </c>
      <c r="AD1006" s="108">
        <v>1</v>
      </c>
      <c r="AE1006" s="108" t="s">
        <v>37</v>
      </c>
      <c r="AF1006" s="108" t="s">
        <v>35</v>
      </c>
      <c r="AG1006" s="108" t="s">
        <v>38</v>
      </c>
      <c r="AH1006" s="108" t="s">
        <v>2288</v>
      </c>
    </row>
    <row r="1007" spans="1:34" x14ac:dyDescent="0.3">
      <c r="A1007" s="107" t="s">
        <v>2287</v>
      </c>
      <c r="B1007" s="108" t="s">
        <v>2300</v>
      </c>
      <c r="C1007" s="108" t="s">
        <v>2301</v>
      </c>
      <c r="D1007" s="109">
        <v>45103</v>
      </c>
      <c r="E1007" s="110">
        <v>125000</v>
      </c>
      <c r="F1007" s="108" t="s">
        <v>32</v>
      </c>
      <c r="G1007" s="108" t="s">
        <v>33</v>
      </c>
      <c r="H1007" s="110">
        <v>125000</v>
      </c>
      <c r="I1007" s="110">
        <v>40200</v>
      </c>
      <c r="J1007" s="111">
        <f t="shared" si="108"/>
        <v>32.159999999999997</v>
      </c>
      <c r="K1007" s="110">
        <v>105200</v>
      </c>
      <c r="L1007" s="110">
        <f>H1007-95200</f>
        <v>29800</v>
      </c>
      <c r="M1007" s="110">
        <v>10000</v>
      </c>
      <c r="N1007" s="112">
        <f t="shared" si="109"/>
        <v>0.08</v>
      </c>
      <c r="O1007" s="113">
        <v>0</v>
      </c>
      <c r="P1007" s="114">
        <v>0</v>
      </c>
      <c r="Q1007" s="115">
        <v>0</v>
      </c>
      <c r="R1007" s="115">
        <v>0</v>
      </c>
      <c r="S1007" s="110" t="e">
        <f t="shared" si="110"/>
        <v>#DIV/0!</v>
      </c>
      <c r="T1007" s="110" t="e">
        <f t="shared" si="111"/>
        <v>#DIV/0!</v>
      </c>
      <c r="U1007" s="116" t="e">
        <f t="shared" si="112"/>
        <v>#DIV/0!</v>
      </c>
      <c r="V1007" s="115">
        <v>0</v>
      </c>
      <c r="W1007" s="115">
        <f t="shared" si="113"/>
        <v>25000</v>
      </c>
      <c r="X1007" s="115"/>
      <c r="Y1007" s="117" t="s">
        <v>2286</v>
      </c>
      <c r="Z1007" s="108" t="s">
        <v>35</v>
      </c>
      <c r="AA1007" s="108" t="s">
        <v>35</v>
      </c>
      <c r="AB1007" s="108" t="s">
        <v>2287</v>
      </c>
      <c r="AC1007" s="108">
        <v>0</v>
      </c>
      <c r="AD1007" s="108">
        <v>1</v>
      </c>
      <c r="AE1007" s="108" t="s">
        <v>37</v>
      </c>
      <c r="AF1007" s="108" t="s">
        <v>43</v>
      </c>
      <c r="AG1007" s="108" t="s">
        <v>38</v>
      </c>
      <c r="AH1007" s="108" t="s">
        <v>2288</v>
      </c>
    </row>
    <row r="1008" spans="1:34" x14ac:dyDescent="0.3">
      <c r="A1008" s="118" t="s">
        <v>2287</v>
      </c>
      <c r="B1008" s="119" t="s">
        <v>2296</v>
      </c>
      <c r="C1008" s="119" t="s">
        <v>2297</v>
      </c>
      <c r="D1008" s="120">
        <v>45230</v>
      </c>
      <c r="E1008" s="121">
        <v>121000</v>
      </c>
      <c r="F1008" s="119" t="s">
        <v>32</v>
      </c>
      <c r="G1008" s="119" t="s">
        <v>33</v>
      </c>
      <c r="H1008" s="121">
        <v>121000</v>
      </c>
      <c r="I1008" s="121">
        <v>39000</v>
      </c>
      <c r="J1008" s="122">
        <f t="shared" si="108"/>
        <v>32.231404958677686</v>
      </c>
      <c r="K1008" s="121">
        <v>102341</v>
      </c>
      <c r="L1008" s="121">
        <f>H1008-92341</f>
        <v>28659</v>
      </c>
      <c r="M1008" s="121">
        <v>10000</v>
      </c>
      <c r="N1008" s="123">
        <f t="shared" si="109"/>
        <v>8.2644628099173556E-2</v>
      </c>
      <c r="O1008" s="124">
        <v>0</v>
      </c>
      <c r="P1008" s="125">
        <v>0</v>
      </c>
      <c r="Q1008" s="126">
        <v>0</v>
      </c>
      <c r="R1008" s="126">
        <v>0</v>
      </c>
      <c r="S1008" s="121" t="e">
        <f t="shared" si="110"/>
        <v>#DIV/0!</v>
      </c>
      <c r="T1008" s="121" t="e">
        <f t="shared" si="111"/>
        <v>#DIV/0!</v>
      </c>
      <c r="U1008" s="127" t="e">
        <f t="shared" si="112"/>
        <v>#DIV/0!</v>
      </c>
      <c r="V1008" s="126">
        <v>0</v>
      </c>
      <c r="W1008" s="126">
        <f t="shared" si="113"/>
        <v>24200</v>
      </c>
      <c r="X1008" s="126"/>
      <c r="Y1008" s="128" t="s">
        <v>2286</v>
      </c>
      <c r="Z1008" s="119" t="s">
        <v>35</v>
      </c>
      <c r="AA1008" s="119" t="s">
        <v>35</v>
      </c>
      <c r="AB1008" s="119" t="s">
        <v>2287</v>
      </c>
      <c r="AC1008" s="119">
        <v>0</v>
      </c>
      <c r="AD1008" s="119">
        <v>1</v>
      </c>
      <c r="AE1008" s="119" t="s">
        <v>37</v>
      </c>
      <c r="AF1008" s="119" t="s">
        <v>43</v>
      </c>
      <c r="AG1008" s="119" t="s">
        <v>38</v>
      </c>
      <c r="AH1008" s="119" t="s">
        <v>2288</v>
      </c>
    </row>
    <row r="1009" spans="1:34" x14ac:dyDescent="0.3">
      <c r="A1009" s="107" t="s">
        <v>2287</v>
      </c>
      <c r="B1009" s="108" t="s">
        <v>2302</v>
      </c>
      <c r="C1009" s="108" t="s">
        <v>2303</v>
      </c>
      <c r="D1009" s="109">
        <v>45345</v>
      </c>
      <c r="E1009" s="110">
        <v>120000</v>
      </c>
      <c r="F1009" s="108" t="s">
        <v>32</v>
      </c>
      <c r="G1009" s="108" t="s">
        <v>33</v>
      </c>
      <c r="H1009" s="110">
        <v>120000</v>
      </c>
      <c r="I1009" s="110">
        <v>39000</v>
      </c>
      <c r="J1009" s="111">
        <f t="shared" si="108"/>
        <v>32.5</v>
      </c>
      <c r="K1009" s="110">
        <v>102341</v>
      </c>
      <c r="L1009" s="110">
        <f>H1009-92341</f>
        <v>27659</v>
      </c>
      <c r="M1009" s="110">
        <v>10000</v>
      </c>
      <c r="N1009" s="112">
        <f t="shared" si="109"/>
        <v>8.3333333333333329E-2</v>
      </c>
      <c r="O1009" s="113">
        <v>0</v>
      </c>
      <c r="P1009" s="114">
        <v>0</v>
      </c>
      <c r="Q1009" s="115">
        <v>0</v>
      </c>
      <c r="R1009" s="115">
        <v>0</v>
      </c>
      <c r="S1009" s="110" t="e">
        <f t="shared" si="110"/>
        <v>#DIV/0!</v>
      </c>
      <c r="T1009" s="110" t="e">
        <f t="shared" si="111"/>
        <v>#DIV/0!</v>
      </c>
      <c r="U1009" s="116" t="e">
        <f t="shared" si="112"/>
        <v>#DIV/0!</v>
      </c>
      <c r="V1009" s="115">
        <v>0</v>
      </c>
      <c r="W1009" s="115">
        <f t="shared" si="113"/>
        <v>24000</v>
      </c>
      <c r="X1009" s="115"/>
      <c r="Y1009" s="117" t="s">
        <v>2286</v>
      </c>
      <c r="Z1009" s="108" t="s">
        <v>35</v>
      </c>
      <c r="AA1009" s="108" t="s">
        <v>35</v>
      </c>
      <c r="AB1009" s="108" t="s">
        <v>2287</v>
      </c>
      <c r="AC1009" s="108">
        <v>0</v>
      </c>
      <c r="AD1009" s="108">
        <v>1</v>
      </c>
      <c r="AE1009" s="108" t="s">
        <v>37</v>
      </c>
      <c r="AF1009" s="108" t="s">
        <v>43</v>
      </c>
      <c r="AG1009" s="108" t="s">
        <v>38</v>
      </c>
      <c r="AH1009" s="108" t="s">
        <v>2288</v>
      </c>
    </row>
    <row r="1010" spans="1:34" x14ac:dyDescent="0.3">
      <c r="A1010" s="118" t="s">
        <v>2287</v>
      </c>
      <c r="B1010" s="119" t="s">
        <v>2289</v>
      </c>
      <c r="C1010" s="119" t="s">
        <v>2290</v>
      </c>
      <c r="D1010" s="120">
        <v>45593</v>
      </c>
      <c r="E1010" s="121">
        <v>119900</v>
      </c>
      <c r="F1010" s="119" t="s">
        <v>32</v>
      </c>
      <c r="G1010" s="119" t="s">
        <v>33</v>
      </c>
      <c r="H1010" s="121">
        <v>119900</v>
      </c>
      <c r="I1010" s="121">
        <v>42400</v>
      </c>
      <c r="J1010" s="122">
        <f t="shared" si="108"/>
        <v>35.362802335279397</v>
      </c>
      <c r="K1010" s="121">
        <v>103045</v>
      </c>
      <c r="L1010" s="121">
        <f>H1010-93045</f>
        <v>26855</v>
      </c>
      <c r="M1010" s="121">
        <v>10000</v>
      </c>
      <c r="N1010" s="123">
        <f t="shared" si="109"/>
        <v>8.3402835696413671E-2</v>
      </c>
      <c r="O1010" s="124">
        <v>0</v>
      </c>
      <c r="P1010" s="125">
        <v>0</v>
      </c>
      <c r="Q1010" s="126">
        <v>0</v>
      </c>
      <c r="R1010" s="126">
        <v>0</v>
      </c>
      <c r="S1010" s="121" t="e">
        <f t="shared" si="110"/>
        <v>#DIV/0!</v>
      </c>
      <c r="T1010" s="121" t="e">
        <f t="shared" si="111"/>
        <v>#DIV/0!</v>
      </c>
      <c r="U1010" s="127" t="e">
        <f t="shared" si="112"/>
        <v>#DIV/0!</v>
      </c>
      <c r="V1010" s="126">
        <v>0</v>
      </c>
      <c r="W1010" s="126">
        <f t="shared" si="113"/>
        <v>23980</v>
      </c>
      <c r="X1010" s="126"/>
      <c r="Y1010" s="128" t="s">
        <v>2286</v>
      </c>
      <c r="Z1010" s="119" t="s">
        <v>35</v>
      </c>
      <c r="AA1010" s="119" t="s">
        <v>35</v>
      </c>
      <c r="AB1010" s="119" t="s">
        <v>2287</v>
      </c>
      <c r="AC1010" s="119">
        <v>0</v>
      </c>
      <c r="AD1010" s="119">
        <v>1</v>
      </c>
      <c r="AE1010" s="119" t="s">
        <v>2291</v>
      </c>
      <c r="AF1010" s="119" t="s">
        <v>35</v>
      </c>
      <c r="AG1010" s="119" t="s">
        <v>38</v>
      </c>
      <c r="AH1010" s="119" t="s">
        <v>2288</v>
      </c>
    </row>
    <row r="1011" spans="1:34" x14ac:dyDescent="0.3">
      <c r="A1011" s="107" t="s">
        <v>2287</v>
      </c>
      <c r="B1011" s="108" t="s">
        <v>2308</v>
      </c>
      <c r="C1011" s="108" t="s">
        <v>2309</v>
      </c>
      <c r="D1011" s="109">
        <v>45594</v>
      </c>
      <c r="E1011" s="110">
        <v>118500</v>
      </c>
      <c r="F1011" s="108" t="s">
        <v>32</v>
      </c>
      <c r="G1011" s="108" t="s">
        <v>33</v>
      </c>
      <c r="H1011" s="110">
        <v>118500</v>
      </c>
      <c r="I1011" s="110">
        <v>42000</v>
      </c>
      <c r="J1011" s="111">
        <f t="shared" si="108"/>
        <v>35.443037974683541</v>
      </c>
      <c r="K1011" s="110">
        <v>102341</v>
      </c>
      <c r="L1011" s="110">
        <f t="shared" ref="L1011:L1018" si="115">H1011-92341</f>
        <v>26159</v>
      </c>
      <c r="M1011" s="110">
        <v>10000</v>
      </c>
      <c r="N1011" s="112">
        <f t="shared" si="109"/>
        <v>8.4388185654008435E-2</v>
      </c>
      <c r="O1011" s="113">
        <v>0</v>
      </c>
      <c r="P1011" s="114">
        <v>0</v>
      </c>
      <c r="Q1011" s="115">
        <v>0</v>
      </c>
      <c r="R1011" s="115">
        <v>0</v>
      </c>
      <c r="S1011" s="110" t="e">
        <f t="shared" si="110"/>
        <v>#DIV/0!</v>
      </c>
      <c r="T1011" s="110" t="e">
        <f t="shared" si="111"/>
        <v>#DIV/0!</v>
      </c>
      <c r="U1011" s="116" t="e">
        <f t="shared" si="112"/>
        <v>#DIV/0!</v>
      </c>
      <c r="V1011" s="115">
        <v>0</v>
      </c>
      <c r="W1011" s="115">
        <f t="shared" si="113"/>
        <v>23700</v>
      </c>
      <c r="X1011" s="115"/>
      <c r="Y1011" s="117" t="s">
        <v>2286</v>
      </c>
      <c r="Z1011" s="108" t="s">
        <v>35</v>
      </c>
      <c r="AA1011" s="108" t="s">
        <v>35</v>
      </c>
      <c r="AB1011" s="108" t="s">
        <v>2287</v>
      </c>
      <c r="AC1011" s="108">
        <v>0</v>
      </c>
      <c r="AD1011" s="108">
        <v>1</v>
      </c>
      <c r="AE1011" s="108" t="s">
        <v>37</v>
      </c>
      <c r="AF1011" s="108" t="s">
        <v>35</v>
      </c>
      <c r="AG1011" s="108" t="s">
        <v>38</v>
      </c>
      <c r="AH1011" s="108" t="s">
        <v>2288</v>
      </c>
    </row>
    <row r="1012" spans="1:34" x14ac:dyDescent="0.3">
      <c r="A1012" s="118" t="s">
        <v>2287</v>
      </c>
      <c r="B1012" s="119" t="s">
        <v>2284</v>
      </c>
      <c r="C1012" s="119" t="s">
        <v>2285</v>
      </c>
      <c r="D1012" s="120">
        <v>45588</v>
      </c>
      <c r="E1012" s="121">
        <v>115000</v>
      </c>
      <c r="F1012" s="119" t="s">
        <v>32</v>
      </c>
      <c r="G1012" s="119" t="s">
        <v>33</v>
      </c>
      <c r="H1012" s="121">
        <v>115000</v>
      </c>
      <c r="I1012" s="121">
        <v>42000</v>
      </c>
      <c r="J1012" s="122">
        <f t="shared" si="108"/>
        <v>36.521739130434781</v>
      </c>
      <c r="K1012" s="121">
        <v>102341</v>
      </c>
      <c r="L1012" s="121">
        <f t="shared" si="115"/>
        <v>22659</v>
      </c>
      <c r="M1012" s="121">
        <v>10000</v>
      </c>
      <c r="N1012" s="123">
        <f t="shared" si="109"/>
        <v>8.6956521739130432E-2</v>
      </c>
      <c r="O1012" s="124">
        <v>0</v>
      </c>
      <c r="P1012" s="125">
        <v>0</v>
      </c>
      <c r="Q1012" s="126">
        <v>0</v>
      </c>
      <c r="R1012" s="126">
        <v>0</v>
      </c>
      <c r="S1012" s="121" t="e">
        <f t="shared" si="110"/>
        <v>#DIV/0!</v>
      </c>
      <c r="T1012" s="121" t="e">
        <f t="shared" si="111"/>
        <v>#DIV/0!</v>
      </c>
      <c r="U1012" s="127" t="e">
        <f t="shared" si="112"/>
        <v>#DIV/0!</v>
      </c>
      <c r="V1012" s="126">
        <v>0</v>
      </c>
      <c r="W1012" s="126">
        <f t="shared" si="113"/>
        <v>23000</v>
      </c>
      <c r="X1012" s="126"/>
      <c r="Y1012" s="128" t="s">
        <v>2286</v>
      </c>
      <c r="Z1012" s="119" t="s">
        <v>35</v>
      </c>
      <c r="AA1012" s="119" t="s">
        <v>35</v>
      </c>
      <c r="AB1012" s="119" t="s">
        <v>2287</v>
      </c>
      <c r="AC1012" s="119">
        <v>0</v>
      </c>
      <c r="AD1012" s="119">
        <v>1</v>
      </c>
      <c r="AE1012" s="119" t="s">
        <v>37</v>
      </c>
      <c r="AF1012" s="119" t="s">
        <v>35</v>
      </c>
      <c r="AG1012" s="119" t="s">
        <v>38</v>
      </c>
      <c r="AH1012" s="119" t="s">
        <v>2288</v>
      </c>
    </row>
    <row r="1013" spans="1:34" x14ac:dyDescent="0.3">
      <c r="A1013" s="118" t="s">
        <v>2287</v>
      </c>
      <c r="B1013" s="119" t="s">
        <v>2310</v>
      </c>
      <c r="C1013" s="119" t="s">
        <v>2311</v>
      </c>
      <c r="D1013" s="120">
        <v>45076</v>
      </c>
      <c r="E1013" s="121">
        <v>110000</v>
      </c>
      <c r="F1013" s="119" t="s">
        <v>32</v>
      </c>
      <c r="G1013" s="119" t="s">
        <v>33</v>
      </c>
      <c r="H1013" s="121">
        <v>110000</v>
      </c>
      <c r="I1013" s="121">
        <v>39000</v>
      </c>
      <c r="J1013" s="122">
        <f t="shared" si="108"/>
        <v>35.454545454545453</v>
      </c>
      <c r="K1013" s="121">
        <v>102341</v>
      </c>
      <c r="L1013" s="121">
        <f t="shared" si="115"/>
        <v>17659</v>
      </c>
      <c r="M1013" s="121">
        <v>10000</v>
      </c>
      <c r="N1013" s="123">
        <f t="shared" si="109"/>
        <v>9.0909090909090912E-2</v>
      </c>
      <c r="O1013" s="124">
        <v>0</v>
      </c>
      <c r="P1013" s="125">
        <v>0</v>
      </c>
      <c r="Q1013" s="126">
        <v>0</v>
      </c>
      <c r="R1013" s="126">
        <v>0</v>
      </c>
      <c r="S1013" s="121" t="e">
        <f t="shared" si="110"/>
        <v>#DIV/0!</v>
      </c>
      <c r="T1013" s="121" t="e">
        <f t="shared" si="111"/>
        <v>#DIV/0!</v>
      </c>
      <c r="U1013" s="127" t="e">
        <f t="shared" si="112"/>
        <v>#DIV/0!</v>
      </c>
      <c r="V1013" s="126">
        <v>0</v>
      </c>
      <c r="W1013" s="126">
        <f t="shared" si="113"/>
        <v>22000</v>
      </c>
      <c r="X1013" s="126"/>
      <c r="Y1013" s="128" t="s">
        <v>2286</v>
      </c>
      <c r="Z1013" s="119" t="s">
        <v>35</v>
      </c>
      <c r="AA1013" s="119" t="s">
        <v>35</v>
      </c>
      <c r="AB1013" s="119" t="s">
        <v>2287</v>
      </c>
      <c r="AC1013" s="119">
        <v>0</v>
      </c>
      <c r="AD1013" s="119">
        <v>1</v>
      </c>
      <c r="AE1013" s="119" t="s">
        <v>37</v>
      </c>
      <c r="AF1013" s="119" t="s">
        <v>43</v>
      </c>
      <c r="AG1013" s="119" t="s">
        <v>38</v>
      </c>
      <c r="AH1013" s="119" t="s">
        <v>2288</v>
      </c>
    </row>
    <row r="1014" spans="1:34" x14ac:dyDescent="0.3">
      <c r="A1014" s="118" t="s">
        <v>2287</v>
      </c>
      <c r="B1014" s="119" t="s">
        <v>2306</v>
      </c>
      <c r="C1014" s="119" t="s">
        <v>2307</v>
      </c>
      <c r="D1014" s="120">
        <v>45504</v>
      </c>
      <c r="E1014" s="121">
        <v>109900</v>
      </c>
      <c r="F1014" s="119" t="s">
        <v>32</v>
      </c>
      <c r="G1014" s="119" t="s">
        <v>33</v>
      </c>
      <c r="H1014" s="121">
        <v>109900</v>
      </c>
      <c r="I1014" s="121">
        <v>42000</v>
      </c>
      <c r="J1014" s="122">
        <f t="shared" si="108"/>
        <v>38.216560509554142</v>
      </c>
      <c r="K1014" s="121">
        <v>102341</v>
      </c>
      <c r="L1014" s="121">
        <f t="shared" si="115"/>
        <v>17559</v>
      </c>
      <c r="M1014" s="121">
        <v>10000</v>
      </c>
      <c r="N1014" s="123">
        <f t="shared" si="109"/>
        <v>9.0991810737033663E-2</v>
      </c>
      <c r="O1014" s="124">
        <v>0</v>
      </c>
      <c r="P1014" s="125">
        <v>0</v>
      </c>
      <c r="Q1014" s="126">
        <v>0</v>
      </c>
      <c r="R1014" s="126">
        <v>0</v>
      </c>
      <c r="S1014" s="121" t="e">
        <f t="shared" si="110"/>
        <v>#DIV/0!</v>
      </c>
      <c r="T1014" s="121" t="e">
        <f t="shared" si="111"/>
        <v>#DIV/0!</v>
      </c>
      <c r="U1014" s="127" t="e">
        <f t="shared" si="112"/>
        <v>#DIV/0!</v>
      </c>
      <c r="V1014" s="126">
        <v>0</v>
      </c>
      <c r="W1014" s="126">
        <f t="shared" si="113"/>
        <v>21980</v>
      </c>
      <c r="X1014" s="126"/>
      <c r="Y1014" s="128" t="s">
        <v>2286</v>
      </c>
      <c r="Z1014" s="119" t="s">
        <v>35</v>
      </c>
      <c r="AA1014" s="119" t="s">
        <v>35</v>
      </c>
      <c r="AB1014" s="119" t="s">
        <v>2287</v>
      </c>
      <c r="AC1014" s="119">
        <v>0</v>
      </c>
      <c r="AD1014" s="119">
        <v>1</v>
      </c>
      <c r="AE1014" s="119" t="s">
        <v>37</v>
      </c>
      <c r="AF1014" s="119" t="s">
        <v>43</v>
      </c>
      <c r="AG1014" s="119" t="s">
        <v>38</v>
      </c>
      <c r="AH1014" s="119" t="s">
        <v>2288</v>
      </c>
    </row>
    <row r="1015" spans="1:34" x14ac:dyDescent="0.3">
      <c r="A1015" s="118" t="s">
        <v>2287</v>
      </c>
      <c r="B1015" s="119" t="s">
        <v>2304</v>
      </c>
      <c r="C1015" s="119" t="s">
        <v>2305</v>
      </c>
      <c r="D1015" s="120">
        <v>45569</v>
      </c>
      <c r="E1015" s="121">
        <v>100000</v>
      </c>
      <c r="F1015" s="119" t="s">
        <v>32</v>
      </c>
      <c r="G1015" s="119" t="s">
        <v>33</v>
      </c>
      <c r="H1015" s="121">
        <v>100000</v>
      </c>
      <c r="I1015" s="121">
        <v>42000</v>
      </c>
      <c r="J1015" s="122">
        <f t="shared" si="108"/>
        <v>42</v>
      </c>
      <c r="K1015" s="121">
        <v>102341</v>
      </c>
      <c r="L1015" s="121">
        <f t="shared" si="115"/>
        <v>7659</v>
      </c>
      <c r="M1015" s="121">
        <v>10000</v>
      </c>
      <c r="N1015" s="123">
        <f t="shared" si="109"/>
        <v>0.1</v>
      </c>
      <c r="O1015" s="124">
        <v>0</v>
      </c>
      <c r="P1015" s="125">
        <v>0</v>
      </c>
      <c r="Q1015" s="126">
        <v>0</v>
      </c>
      <c r="R1015" s="126">
        <v>0</v>
      </c>
      <c r="S1015" s="121" t="e">
        <f t="shared" si="110"/>
        <v>#DIV/0!</v>
      </c>
      <c r="T1015" s="121" t="e">
        <f t="shared" si="111"/>
        <v>#DIV/0!</v>
      </c>
      <c r="U1015" s="127" t="e">
        <f t="shared" si="112"/>
        <v>#DIV/0!</v>
      </c>
      <c r="V1015" s="126">
        <v>0</v>
      </c>
      <c r="W1015" s="126">
        <f t="shared" si="113"/>
        <v>20000</v>
      </c>
      <c r="X1015" s="126"/>
      <c r="Y1015" s="128" t="s">
        <v>2286</v>
      </c>
      <c r="Z1015" s="119" t="s">
        <v>35</v>
      </c>
      <c r="AA1015" s="119" t="s">
        <v>35</v>
      </c>
      <c r="AB1015" s="119" t="s">
        <v>2287</v>
      </c>
      <c r="AC1015" s="119">
        <v>0</v>
      </c>
      <c r="AD1015" s="119">
        <v>1</v>
      </c>
      <c r="AE1015" s="119" t="s">
        <v>37</v>
      </c>
      <c r="AF1015" s="119" t="s">
        <v>43</v>
      </c>
      <c r="AG1015" s="119" t="s">
        <v>38</v>
      </c>
      <c r="AH1015" s="119" t="s">
        <v>2288</v>
      </c>
    </row>
    <row r="1016" spans="1:34" x14ac:dyDescent="0.3">
      <c r="A1016" s="107" t="s">
        <v>2287</v>
      </c>
      <c r="B1016" s="108" t="s">
        <v>2294</v>
      </c>
      <c r="C1016" s="108" t="s">
        <v>2295</v>
      </c>
      <c r="D1016" s="109">
        <v>45455</v>
      </c>
      <c r="E1016" s="110">
        <v>96000</v>
      </c>
      <c r="F1016" s="108" t="s">
        <v>32</v>
      </c>
      <c r="G1016" s="108" t="s">
        <v>33</v>
      </c>
      <c r="H1016" s="110">
        <v>96000</v>
      </c>
      <c r="I1016" s="110">
        <v>42000</v>
      </c>
      <c r="J1016" s="111">
        <f t="shared" si="108"/>
        <v>43.75</v>
      </c>
      <c r="K1016" s="110">
        <v>102341</v>
      </c>
      <c r="L1016" s="110">
        <f t="shared" si="115"/>
        <v>3659</v>
      </c>
      <c r="M1016" s="110">
        <v>10000</v>
      </c>
      <c r="N1016" s="112">
        <f t="shared" si="109"/>
        <v>0.10416666666666667</v>
      </c>
      <c r="O1016" s="113">
        <v>0</v>
      </c>
      <c r="P1016" s="114">
        <v>0</v>
      </c>
      <c r="Q1016" s="115">
        <v>0</v>
      </c>
      <c r="R1016" s="115">
        <v>0</v>
      </c>
      <c r="S1016" s="110" t="e">
        <f t="shared" si="110"/>
        <v>#DIV/0!</v>
      </c>
      <c r="T1016" s="110" t="e">
        <f t="shared" si="111"/>
        <v>#DIV/0!</v>
      </c>
      <c r="U1016" s="116" t="e">
        <f t="shared" si="112"/>
        <v>#DIV/0!</v>
      </c>
      <c r="V1016" s="115">
        <v>0</v>
      </c>
      <c r="W1016" s="115">
        <f t="shared" si="113"/>
        <v>19200</v>
      </c>
      <c r="X1016" s="115"/>
      <c r="Y1016" s="117" t="s">
        <v>2286</v>
      </c>
      <c r="Z1016" s="108" t="s">
        <v>35</v>
      </c>
      <c r="AA1016" s="108" t="s">
        <v>35</v>
      </c>
      <c r="AB1016" s="108" t="s">
        <v>2287</v>
      </c>
      <c r="AC1016" s="108">
        <v>0</v>
      </c>
      <c r="AD1016" s="108">
        <v>1</v>
      </c>
      <c r="AE1016" s="108" t="s">
        <v>37</v>
      </c>
      <c r="AF1016" s="108" t="s">
        <v>43</v>
      </c>
      <c r="AG1016" s="108" t="s">
        <v>38</v>
      </c>
      <c r="AH1016" s="108" t="s">
        <v>2288</v>
      </c>
    </row>
    <row r="1017" spans="1:34" x14ac:dyDescent="0.3">
      <c r="A1017" s="118" t="s">
        <v>2287</v>
      </c>
      <c r="B1017" s="119" t="s">
        <v>2298</v>
      </c>
      <c r="C1017" s="119" t="s">
        <v>2299</v>
      </c>
      <c r="D1017" s="120">
        <v>45224</v>
      </c>
      <c r="E1017" s="121">
        <v>95000</v>
      </c>
      <c r="F1017" s="119" t="s">
        <v>32</v>
      </c>
      <c r="G1017" s="119" t="s">
        <v>33</v>
      </c>
      <c r="H1017" s="121">
        <v>95000</v>
      </c>
      <c r="I1017" s="121">
        <v>39000</v>
      </c>
      <c r="J1017" s="122">
        <f t="shared" si="108"/>
        <v>41.05263157894737</v>
      </c>
      <c r="K1017" s="121">
        <v>102341</v>
      </c>
      <c r="L1017" s="121">
        <f t="shared" si="115"/>
        <v>2659</v>
      </c>
      <c r="M1017" s="121">
        <v>10000</v>
      </c>
      <c r="N1017" s="123">
        <f t="shared" si="109"/>
        <v>0.10526315789473684</v>
      </c>
      <c r="O1017" s="124">
        <v>0</v>
      </c>
      <c r="P1017" s="125">
        <v>0</v>
      </c>
      <c r="Q1017" s="126">
        <v>0</v>
      </c>
      <c r="R1017" s="126">
        <v>0</v>
      </c>
      <c r="S1017" s="121" t="e">
        <f t="shared" si="110"/>
        <v>#DIV/0!</v>
      </c>
      <c r="T1017" s="121" t="e">
        <f t="shared" si="111"/>
        <v>#DIV/0!</v>
      </c>
      <c r="U1017" s="127" t="e">
        <f t="shared" si="112"/>
        <v>#DIV/0!</v>
      </c>
      <c r="V1017" s="126">
        <v>0</v>
      </c>
      <c r="W1017" s="126">
        <f t="shared" si="113"/>
        <v>19000</v>
      </c>
      <c r="X1017" s="126"/>
      <c r="Y1017" s="128" t="s">
        <v>2286</v>
      </c>
      <c r="Z1017" s="119" t="s">
        <v>35</v>
      </c>
      <c r="AA1017" s="119" t="s">
        <v>35</v>
      </c>
      <c r="AB1017" s="119" t="s">
        <v>2287</v>
      </c>
      <c r="AC1017" s="119">
        <v>0</v>
      </c>
      <c r="AD1017" s="119">
        <v>1</v>
      </c>
      <c r="AE1017" s="119" t="s">
        <v>37</v>
      </c>
      <c r="AF1017" s="119" t="s">
        <v>43</v>
      </c>
      <c r="AG1017" s="119" t="s">
        <v>38</v>
      </c>
      <c r="AH1017" s="119" t="s">
        <v>2288</v>
      </c>
    </row>
    <row r="1018" spans="1:34" x14ac:dyDescent="0.3">
      <c r="A1018" s="107" t="s">
        <v>2287</v>
      </c>
      <c r="B1018" s="108" t="s">
        <v>2308</v>
      </c>
      <c r="C1018" s="108" t="s">
        <v>2309</v>
      </c>
      <c r="D1018" s="109">
        <v>45427</v>
      </c>
      <c r="E1018" s="110">
        <v>60000</v>
      </c>
      <c r="F1018" s="108" t="s">
        <v>32</v>
      </c>
      <c r="G1018" s="108" t="s">
        <v>33</v>
      </c>
      <c r="H1018" s="110">
        <v>60000</v>
      </c>
      <c r="I1018" s="110">
        <v>42000</v>
      </c>
      <c r="J1018" s="111">
        <f t="shared" si="108"/>
        <v>70</v>
      </c>
      <c r="K1018" s="110">
        <v>102341</v>
      </c>
      <c r="L1018" s="110">
        <f t="shared" si="115"/>
        <v>-32341</v>
      </c>
      <c r="M1018" s="110">
        <v>10000</v>
      </c>
      <c r="N1018" s="112">
        <f t="shared" si="109"/>
        <v>0.16666666666666666</v>
      </c>
      <c r="O1018" s="113">
        <v>0</v>
      </c>
      <c r="P1018" s="114">
        <v>0</v>
      </c>
      <c r="Q1018" s="115">
        <v>0</v>
      </c>
      <c r="R1018" s="115">
        <v>0</v>
      </c>
      <c r="S1018" s="110" t="e">
        <f t="shared" si="110"/>
        <v>#DIV/0!</v>
      </c>
      <c r="T1018" s="110" t="e">
        <f t="shared" si="111"/>
        <v>#DIV/0!</v>
      </c>
      <c r="U1018" s="116" t="e">
        <f t="shared" si="112"/>
        <v>#DIV/0!</v>
      </c>
      <c r="V1018" s="115">
        <v>0</v>
      </c>
      <c r="W1018" s="115">
        <f t="shared" si="113"/>
        <v>12000</v>
      </c>
      <c r="X1018" s="115"/>
      <c r="Y1018" s="117" t="s">
        <v>2286</v>
      </c>
      <c r="Z1018" s="108" t="s">
        <v>35</v>
      </c>
      <c r="AA1018" s="108" t="s">
        <v>35</v>
      </c>
      <c r="AB1018" s="108" t="s">
        <v>2287</v>
      </c>
      <c r="AC1018" s="108">
        <v>0</v>
      </c>
      <c r="AD1018" s="108">
        <v>1</v>
      </c>
      <c r="AE1018" s="108" t="s">
        <v>37</v>
      </c>
      <c r="AF1018" s="108" t="s">
        <v>43</v>
      </c>
      <c r="AG1018" s="108" t="s">
        <v>38</v>
      </c>
      <c r="AH1018" s="108" t="s">
        <v>2288</v>
      </c>
    </row>
    <row r="1019" spans="1:34" x14ac:dyDescent="0.3">
      <c r="A1019" s="107" t="s">
        <v>2791</v>
      </c>
      <c r="B1019" s="108" t="s">
        <v>2827</v>
      </c>
      <c r="C1019" s="108" t="s">
        <v>2828</v>
      </c>
      <c r="D1019" s="109">
        <v>45744</v>
      </c>
      <c r="E1019" s="110">
        <v>100000</v>
      </c>
      <c r="F1019" s="108" t="s">
        <v>32</v>
      </c>
      <c r="G1019" s="108" t="s">
        <v>33</v>
      </c>
      <c r="H1019" s="110">
        <v>100000</v>
      </c>
      <c r="I1019" s="110">
        <v>40100</v>
      </c>
      <c r="J1019" s="111">
        <f t="shared" si="108"/>
        <v>40.1</v>
      </c>
      <c r="K1019" s="110">
        <v>85950</v>
      </c>
      <c r="L1019" s="110">
        <f>H1019-75950</f>
        <v>24050</v>
      </c>
      <c r="M1019" s="110">
        <v>10000</v>
      </c>
      <c r="N1019" s="112">
        <f t="shared" si="109"/>
        <v>0.1</v>
      </c>
      <c r="O1019" s="113">
        <v>0</v>
      </c>
      <c r="P1019" s="114">
        <v>0</v>
      </c>
      <c r="Q1019" s="115">
        <v>0</v>
      </c>
      <c r="R1019" s="115">
        <v>0</v>
      </c>
      <c r="S1019" s="110" t="e">
        <f t="shared" si="110"/>
        <v>#DIV/0!</v>
      </c>
      <c r="T1019" s="110" t="e">
        <f t="shared" si="111"/>
        <v>#DIV/0!</v>
      </c>
      <c r="U1019" s="116" t="e">
        <f t="shared" si="112"/>
        <v>#DIV/0!</v>
      </c>
      <c r="V1019" s="115">
        <v>0</v>
      </c>
      <c r="W1019" s="115">
        <f t="shared" si="113"/>
        <v>20000</v>
      </c>
      <c r="X1019" s="115"/>
      <c r="Y1019" s="117" t="s">
        <v>2790</v>
      </c>
      <c r="Z1019" s="108" t="s">
        <v>35</v>
      </c>
      <c r="AA1019" s="108" t="s">
        <v>35</v>
      </c>
      <c r="AB1019" s="108" t="s">
        <v>2791</v>
      </c>
      <c r="AC1019" s="108">
        <v>0</v>
      </c>
      <c r="AD1019" s="108">
        <v>1</v>
      </c>
      <c r="AE1019" s="108" t="s">
        <v>37</v>
      </c>
      <c r="AF1019" s="108" t="s">
        <v>35</v>
      </c>
      <c r="AG1019" s="108" t="s">
        <v>38</v>
      </c>
      <c r="AH1019" s="108" t="s">
        <v>2792</v>
      </c>
    </row>
    <row r="1020" spans="1:34" x14ac:dyDescent="0.3">
      <c r="A1020" s="107" t="s">
        <v>2791</v>
      </c>
      <c r="B1020" s="108" t="s">
        <v>2821</v>
      </c>
      <c r="C1020" s="108" t="s">
        <v>2822</v>
      </c>
      <c r="D1020" s="109">
        <v>45401</v>
      </c>
      <c r="E1020" s="110">
        <v>97000</v>
      </c>
      <c r="F1020" s="108" t="s">
        <v>32</v>
      </c>
      <c r="G1020" s="108" t="s">
        <v>33</v>
      </c>
      <c r="H1020" s="110">
        <v>97000</v>
      </c>
      <c r="I1020" s="110">
        <v>38600</v>
      </c>
      <c r="J1020" s="111">
        <f t="shared" si="108"/>
        <v>39.793814432989691</v>
      </c>
      <c r="K1020" s="110">
        <v>82703</v>
      </c>
      <c r="L1020" s="110">
        <f>H1020-72703</f>
        <v>24297</v>
      </c>
      <c r="M1020" s="110">
        <v>10000</v>
      </c>
      <c r="N1020" s="112">
        <f t="shared" si="109"/>
        <v>0.10309278350515463</v>
      </c>
      <c r="O1020" s="113">
        <v>0</v>
      </c>
      <c r="P1020" s="114">
        <v>0</v>
      </c>
      <c r="Q1020" s="115">
        <v>0</v>
      </c>
      <c r="R1020" s="115">
        <v>0</v>
      </c>
      <c r="S1020" s="110" t="e">
        <f t="shared" si="110"/>
        <v>#DIV/0!</v>
      </c>
      <c r="T1020" s="110" t="e">
        <f t="shared" si="111"/>
        <v>#DIV/0!</v>
      </c>
      <c r="U1020" s="116" t="e">
        <f t="shared" si="112"/>
        <v>#DIV/0!</v>
      </c>
      <c r="V1020" s="115">
        <v>0</v>
      </c>
      <c r="W1020" s="115">
        <f t="shared" si="113"/>
        <v>19400</v>
      </c>
      <c r="X1020" s="115"/>
      <c r="Y1020" s="117" t="s">
        <v>2790</v>
      </c>
      <c r="Z1020" s="108" t="s">
        <v>35</v>
      </c>
      <c r="AA1020" s="108" t="s">
        <v>35</v>
      </c>
      <c r="AB1020" s="108" t="s">
        <v>2791</v>
      </c>
      <c r="AC1020" s="108">
        <v>0</v>
      </c>
      <c r="AD1020" s="108">
        <v>1</v>
      </c>
      <c r="AE1020" s="108" t="s">
        <v>37</v>
      </c>
      <c r="AF1020" s="108" t="s">
        <v>43</v>
      </c>
      <c r="AG1020" s="108" t="s">
        <v>38</v>
      </c>
      <c r="AH1020" s="108" t="s">
        <v>2792</v>
      </c>
    </row>
    <row r="1021" spans="1:34" x14ac:dyDescent="0.3">
      <c r="A1021" s="118" t="s">
        <v>2791</v>
      </c>
      <c r="B1021" s="119" t="s">
        <v>2815</v>
      </c>
      <c r="C1021" s="119" t="s">
        <v>2816</v>
      </c>
      <c r="D1021" s="120">
        <v>45411</v>
      </c>
      <c r="E1021" s="121">
        <v>94000</v>
      </c>
      <c r="F1021" s="119" t="s">
        <v>32</v>
      </c>
      <c r="G1021" s="119" t="s">
        <v>33</v>
      </c>
      <c r="H1021" s="121">
        <v>94000</v>
      </c>
      <c r="I1021" s="121">
        <v>38600</v>
      </c>
      <c r="J1021" s="122">
        <f t="shared" si="108"/>
        <v>41.063829787234042</v>
      </c>
      <c r="K1021" s="121">
        <v>82703</v>
      </c>
      <c r="L1021" s="121">
        <f>H1021-72703</f>
        <v>21297</v>
      </c>
      <c r="M1021" s="121">
        <v>10000</v>
      </c>
      <c r="N1021" s="123">
        <f t="shared" si="109"/>
        <v>0.10638297872340426</v>
      </c>
      <c r="O1021" s="124">
        <v>0</v>
      </c>
      <c r="P1021" s="125">
        <v>0</v>
      </c>
      <c r="Q1021" s="126">
        <v>0</v>
      </c>
      <c r="R1021" s="126">
        <v>0</v>
      </c>
      <c r="S1021" s="121" t="e">
        <f t="shared" si="110"/>
        <v>#DIV/0!</v>
      </c>
      <c r="T1021" s="121" t="e">
        <f t="shared" si="111"/>
        <v>#DIV/0!</v>
      </c>
      <c r="U1021" s="127" t="e">
        <f t="shared" si="112"/>
        <v>#DIV/0!</v>
      </c>
      <c r="V1021" s="126">
        <v>0</v>
      </c>
      <c r="W1021" s="126">
        <f t="shared" si="113"/>
        <v>18800</v>
      </c>
      <c r="X1021" s="126"/>
      <c r="Y1021" s="128" t="s">
        <v>2790</v>
      </c>
      <c r="Z1021" s="119" t="s">
        <v>35</v>
      </c>
      <c r="AA1021" s="119" t="s">
        <v>35</v>
      </c>
      <c r="AB1021" s="119" t="s">
        <v>2791</v>
      </c>
      <c r="AC1021" s="119">
        <v>0</v>
      </c>
      <c r="AD1021" s="119">
        <v>1</v>
      </c>
      <c r="AE1021" s="119" t="s">
        <v>37</v>
      </c>
      <c r="AF1021" s="119" t="s">
        <v>43</v>
      </c>
      <c r="AG1021" s="119" t="s">
        <v>38</v>
      </c>
      <c r="AH1021" s="119" t="s">
        <v>2792</v>
      </c>
    </row>
    <row r="1022" spans="1:34" x14ac:dyDescent="0.3">
      <c r="A1022" s="107" t="s">
        <v>2791</v>
      </c>
      <c r="B1022" s="108" t="s">
        <v>2795</v>
      </c>
      <c r="C1022" s="108" t="s">
        <v>2796</v>
      </c>
      <c r="D1022" s="109">
        <v>45582</v>
      </c>
      <c r="E1022" s="110">
        <v>90000</v>
      </c>
      <c r="F1022" s="108" t="s">
        <v>32</v>
      </c>
      <c r="G1022" s="108" t="s">
        <v>33</v>
      </c>
      <c r="H1022" s="110">
        <v>90000</v>
      </c>
      <c r="I1022" s="110">
        <v>35200</v>
      </c>
      <c r="J1022" s="111">
        <f t="shared" si="108"/>
        <v>39.111111111111114</v>
      </c>
      <c r="K1022" s="110">
        <v>77600</v>
      </c>
      <c r="L1022" s="110">
        <f>H1022-67600</f>
        <v>22400</v>
      </c>
      <c r="M1022" s="110">
        <v>10000</v>
      </c>
      <c r="N1022" s="112">
        <f t="shared" si="109"/>
        <v>0.1111111111111111</v>
      </c>
      <c r="O1022" s="113">
        <v>0</v>
      </c>
      <c r="P1022" s="114">
        <v>0</v>
      </c>
      <c r="Q1022" s="115">
        <v>0</v>
      </c>
      <c r="R1022" s="115">
        <v>0</v>
      </c>
      <c r="S1022" s="110" t="e">
        <f t="shared" si="110"/>
        <v>#DIV/0!</v>
      </c>
      <c r="T1022" s="110" t="e">
        <f t="shared" si="111"/>
        <v>#DIV/0!</v>
      </c>
      <c r="U1022" s="116" t="e">
        <f t="shared" si="112"/>
        <v>#DIV/0!</v>
      </c>
      <c r="V1022" s="115">
        <v>0</v>
      </c>
      <c r="W1022" s="115">
        <f t="shared" si="113"/>
        <v>18000</v>
      </c>
      <c r="X1022" s="115"/>
      <c r="Y1022" s="117" t="s">
        <v>2790</v>
      </c>
      <c r="Z1022" s="108" t="s">
        <v>35</v>
      </c>
      <c r="AA1022" s="108" t="s">
        <v>35</v>
      </c>
      <c r="AB1022" s="108" t="s">
        <v>2791</v>
      </c>
      <c r="AC1022" s="108">
        <v>0</v>
      </c>
      <c r="AD1022" s="108">
        <v>1</v>
      </c>
      <c r="AE1022" s="108" t="s">
        <v>37</v>
      </c>
      <c r="AF1022" s="108" t="s">
        <v>35</v>
      </c>
      <c r="AG1022" s="108" t="s">
        <v>38</v>
      </c>
      <c r="AH1022" s="108" t="s">
        <v>2792</v>
      </c>
    </row>
    <row r="1023" spans="1:34" x14ac:dyDescent="0.3">
      <c r="A1023" s="107" t="s">
        <v>2791</v>
      </c>
      <c r="B1023" s="108" t="s">
        <v>2835</v>
      </c>
      <c r="C1023" s="108" t="s">
        <v>2836</v>
      </c>
      <c r="D1023" s="109">
        <v>45394</v>
      </c>
      <c r="E1023" s="110">
        <v>88000</v>
      </c>
      <c r="F1023" s="108" t="s">
        <v>32</v>
      </c>
      <c r="G1023" s="108" t="s">
        <v>33</v>
      </c>
      <c r="H1023" s="110">
        <v>88000</v>
      </c>
      <c r="I1023" s="110">
        <v>38600</v>
      </c>
      <c r="J1023" s="111">
        <f t="shared" si="108"/>
        <v>43.863636363636367</v>
      </c>
      <c r="K1023" s="110">
        <v>82703</v>
      </c>
      <c r="L1023" s="110">
        <f>H1023-72703</f>
        <v>15297</v>
      </c>
      <c r="M1023" s="110">
        <v>10000</v>
      </c>
      <c r="N1023" s="112">
        <f t="shared" si="109"/>
        <v>0.11363636363636363</v>
      </c>
      <c r="O1023" s="113">
        <v>0</v>
      </c>
      <c r="P1023" s="114">
        <v>0</v>
      </c>
      <c r="Q1023" s="115">
        <v>0</v>
      </c>
      <c r="R1023" s="115">
        <v>0</v>
      </c>
      <c r="S1023" s="110" t="e">
        <f t="shared" si="110"/>
        <v>#DIV/0!</v>
      </c>
      <c r="T1023" s="110" t="e">
        <f t="shared" si="111"/>
        <v>#DIV/0!</v>
      </c>
      <c r="U1023" s="116" t="e">
        <f t="shared" si="112"/>
        <v>#DIV/0!</v>
      </c>
      <c r="V1023" s="115">
        <v>0</v>
      </c>
      <c r="W1023" s="115">
        <f t="shared" si="113"/>
        <v>17600</v>
      </c>
      <c r="X1023" s="115"/>
      <c r="Y1023" s="117" t="s">
        <v>2790</v>
      </c>
      <c r="Z1023" s="108" t="s">
        <v>35</v>
      </c>
      <c r="AA1023" s="108" t="s">
        <v>35</v>
      </c>
      <c r="AB1023" s="108" t="s">
        <v>2791</v>
      </c>
      <c r="AC1023" s="108">
        <v>0</v>
      </c>
      <c r="AD1023" s="108">
        <v>1</v>
      </c>
      <c r="AE1023" s="108" t="s">
        <v>37</v>
      </c>
      <c r="AF1023" s="108" t="s">
        <v>43</v>
      </c>
      <c r="AG1023" s="108" t="s">
        <v>38</v>
      </c>
      <c r="AH1023" s="108" t="s">
        <v>2792</v>
      </c>
    </row>
    <row r="1024" spans="1:34" x14ac:dyDescent="0.3">
      <c r="A1024" s="107" t="s">
        <v>2791</v>
      </c>
      <c r="B1024" s="108" t="s">
        <v>2803</v>
      </c>
      <c r="C1024" s="108" t="s">
        <v>2804</v>
      </c>
      <c r="D1024" s="109">
        <v>45531</v>
      </c>
      <c r="E1024" s="110">
        <v>85000</v>
      </c>
      <c r="F1024" s="108" t="s">
        <v>32</v>
      </c>
      <c r="G1024" s="108" t="s">
        <v>33</v>
      </c>
      <c r="H1024" s="110">
        <v>85000</v>
      </c>
      <c r="I1024" s="110">
        <v>36700</v>
      </c>
      <c r="J1024" s="111">
        <f t="shared" si="108"/>
        <v>43.176470588235297</v>
      </c>
      <c r="K1024" s="110">
        <v>81055</v>
      </c>
      <c r="L1024" s="110">
        <f>H1024-71055</f>
        <v>13945</v>
      </c>
      <c r="M1024" s="110">
        <v>10000</v>
      </c>
      <c r="N1024" s="112">
        <f t="shared" si="109"/>
        <v>0.11764705882352941</v>
      </c>
      <c r="O1024" s="113">
        <v>0</v>
      </c>
      <c r="P1024" s="114">
        <v>0</v>
      </c>
      <c r="Q1024" s="115">
        <v>0</v>
      </c>
      <c r="R1024" s="115">
        <v>0</v>
      </c>
      <c r="S1024" s="110" t="e">
        <f t="shared" si="110"/>
        <v>#DIV/0!</v>
      </c>
      <c r="T1024" s="110" t="e">
        <f t="shared" si="111"/>
        <v>#DIV/0!</v>
      </c>
      <c r="U1024" s="116" t="e">
        <f t="shared" si="112"/>
        <v>#DIV/0!</v>
      </c>
      <c r="V1024" s="115">
        <v>0</v>
      </c>
      <c r="W1024" s="115">
        <f t="shared" si="113"/>
        <v>17000</v>
      </c>
      <c r="X1024" s="115"/>
      <c r="Y1024" s="117" t="s">
        <v>2790</v>
      </c>
      <c r="Z1024" s="108" t="s">
        <v>35</v>
      </c>
      <c r="AA1024" s="108" t="s">
        <v>35</v>
      </c>
      <c r="AB1024" s="108" t="s">
        <v>2791</v>
      </c>
      <c r="AC1024" s="108">
        <v>0</v>
      </c>
      <c r="AD1024" s="108">
        <v>1</v>
      </c>
      <c r="AE1024" s="108" t="s">
        <v>37</v>
      </c>
      <c r="AF1024" s="108" t="s">
        <v>43</v>
      </c>
      <c r="AG1024" s="108" t="s">
        <v>38</v>
      </c>
      <c r="AH1024" s="108" t="s">
        <v>2792</v>
      </c>
    </row>
    <row r="1025" spans="1:34" x14ac:dyDescent="0.3">
      <c r="A1025" s="107" t="s">
        <v>2791</v>
      </c>
      <c r="B1025" s="108" t="s">
        <v>2805</v>
      </c>
      <c r="C1025" s="108" t="s">
        <v>2806</v>
      </c>
      <c r="D1025" s="109">
        <v>45645</v>
      </c>
      <c r="E1025" s="110">
        <v>85000</v>
      </c>
      <c r="F1025" s="108" t="s">
        <v>32</v>
      </c>
      <c r="G1025" s="108" t="s">
        <v>33</v>
      </c>
      <c r="H1025" s="110">
        <v>85000</v>
      </c>
      <c r="I1025" s="110">
        <v>36500</v>
      </c>
      <c r="J1025" s="111">
        <f t="shared" si="108"/>
        <v>42.941176470588232</v>
      </c>
      <c r="K1025" s="110">
        <v>80475</v>
      </c>
      <c r="L1025" s="110">
        <f>H1025-70475</f>
        <v>14525</v>
      </c>
      <c r="M1025" s="110">
        <v>10000</v>
      </c>
      <c r="N1025" s="112">
        <f t="shared" si="109"/>
        <v>0.11764705882352941</v>
      </c>
      <c r="O1025" s="113">
        <v>0</v>
      </c>
      <c r="P1025" s="114">
        <v>0</v>
      </c>
      <c r="Q1025" s="115">
        <v>0</v>
      </c>
      <c r="R1025" s="115">
        <v>0</v>
      </c>
      <c r="S1025" s="110" t="e">
        <f t="shared" si="110"/>
        <v>#DIV/0!</v>
      </c>
      <c r="T1025" s="110" t="e">
        <f t="shared" si="111"/>
        <v>#DIV/0!</v>
      </c>
      <c r="U1025" s="116" t="e">
        <f t="shared" si="112"/>
        <v>#DIV/0!</v>
      </c>
      <c r="V1025" s="115">
        <v>0</v>
      </c>
      <c r="W1025" s="115">
        <f t="shared" si="113"/>
        <v>17000</v>
      </c>
      <c r="X1025" s="115"/>
      <c r="Y1025" s="117" t="s">
        <v>2790</v>
      </c>
      <c r="Z1025" s="108" t="s">
        <v>35</v>
      </c>
      <c r="AA1025" s="108" t="s">
        <v>35</v>
      </c>
      <c r="AB1025" s="108" t="s">
        <v>2791</v>
      </c>
      <c r="AC1025" s="108">
        <v>0</v>
      </c>
      <c r="AD1025" s="108">
        <v>1</v>
      </c>
      <c r="AE1025" s="108" t="s">
        <v>37</v>
      </c>
      <c r="AF1025" s="108" t="s">
        <v>35</v>
      </c>
      <c r="AG1025" s="108" t="s">
        <v>38</v>
      </c>
      <c r="AH1025" s="108" t="s">
        <v>2792</v>
      </c>
    </row>
    <row r="1026" spans="1:34" x14ac:dyDescent="0.3">
      <c r="A1026" s="107" t="s">
        <v>2791</v>
      </c>
      <c r="B1026" s="108" t="s">
        <v>2811</v>
      </c>
      <c r="C1026" s="108" t="s">
        <v>2812</v>
      </c>
      <c r="D1026" s="109">
        <v>45246</v>
      </c>
      <c r="E1026" s="110">
        <v>85000</v>
      </c>
      <c r="F1026" s="108" t="s">
        <v>32</v>
      </c>
      <c r="G1026" s="108" t="s">
        <v>33</v>
      </c>
      <c r="H1026" s="110">
        <v>85000</v>
      </c>
      <c r="I1026" s="110">
        <v>28800</v>
      </c>
      <c r="J1026" s="111">
        <f t="shared" ref="J1026:J1089" si="116">I1026/H1026*100</f>
        <v>33.882352941176471</v>
      </c>
      <c r="K1026" s="110">
        <v>77600</v>
      </c>
      <c r="L1026" s="110">
        <f>H1026-67600</f>
        <v>17400</v>
      </c>
      <c r="M1026" s="110">
        <v>10000</v>
      </c>
      <c r="N1026" s="112">
        <f t="shared" ref="N1026:N1089" si="117">M1026/E1026</f>
        <v>0.11764705882352941</v>
      </c>
      <c r="O1026" s="113">
        <v>0</v>
      </c>
      <c r="P1026" s="114">
        <v>0</v>
      </c>
      <c r="Q1026" s="115">
        <v>0</v>
      </c>
      <c r="R1026" s="115">
        <v>0</v>
      </c>
      <c r="S1026" s="110" t="e">
        <f t="shared" ref="S1026:S1089" si="118">L1026/O1026</f>
        <v>#DIV/0!</v>
      </c>
      <c r="T1026" s="110" t="e">
        <f t="shared" ref="T1026:T1089" si="119">L1026/Q1026</f>
        <v>#DIV/0!</v>
      </c>
      <c r="U1026" s="116" t="e">
        <f t="shared" ref="U1026:U1089" si="120">L1026/Q1026/43560</f>
        <v>#DIV/0!</v>
      </c>
      <c r="V1026" s="115">
        <v>0</v>
      </c>
      <c r="W1026" s="115">
        <f t="shared" ref="W1026:W1089" si="121">0.2*E1026</f>
        <v>17000</v>
      </c>
      <c r="X1026" s="115"/>
      <c r="Y1026" s="117" t="s">
        <v>2790</v>
      </c>
      <c r="Z1026" s="108" t="s">
        <v>35</v>
      </c>
      <c r="AA1026" s="108" t="s">
        <v>35</v>
      </c>
      <c r="AB1026" s="108" t="s">
        <v>2791</v>
      </c>
      <c r="AC1026" s="108">
        <v>0</v>
      </c>
      <c r="AD1026" s="108">
        <v>1</v>
      </c>
      <c r="AE1026" s="108" t="s">
        <v>37</v>
      </c>
      <c r="AF1026" s="108" t="s">
        <v>43</v>
      </c>
      <c r="AG1026" s="108" t="s">
        <v>38</v>
      </c>
      <c r="AH1026" s="108" t="s">
        <v>2792</v>
      </c>
    </row>
    <row r="1027" spans="1:34" x14ac:dyDescent="0.3">
      <c r="A1027" s="107" t="s">
        <v>2791</v>
      </c>
      <c r="B1027" s="108" t="s">
        <v>2813</v>
      </c>
      <c r="C1027" s="108" t="s">
        <v>2814</v>
      </c>
      <c r="D1027" s="109">
        <v>45247</v>
      </c>
      <c r="E1027" s="110">
        <v>85000</v>
      </c>
      <c r="F1027" s="108" t="s">
        <v>32</v>
      </c>
      <c r="G1027" s="108" t="s">
        <v>33</v>
      </c>
      <c r="H1027" s="110">
        <v>85000</v>
      </c>
      <c r="I1027" s="110">
        <v>29100</v>
      </c>
      <c r="J1027" s="111">
        <f t="shared" si="116"/>
        <v>34.235294117647058</v>
      </c>
      <c r="K1027" s="110">
        <v>78570</v>
      </c>
      <c r="L1027" s="110">
        <f>H1027-68570</f>
        <v>16430</v>
      </c>
      <c r="M1027" s="110">
        <v>10000</v>
      </c>
      <c r="N1027" s="112">
        <f t="shared" si="117"/>
        <v>0.11764705882352941</v>
      </c>
      <c r="O1027" s="113">
        <v>0</v>
      </c>
      <c r="P1027" s="114">
        <v>0</v>
      </c>
      <c r="Q1027" s="115">
        <v>0</v>
      </c>
      <c r="R1027" s="115">
        <v>0</v>
      </c>
      <c r="S1027" s="110" t="e">
        <f t="shared" si="118"/>
        <v>#DIV/0!</v>
      </c>
      <c r="T1027" s="110" t="e">
        <f t="shared" si="119"/>
        <v>#DIV/0!</v>
      </c>
      <c r="U1027" s="116" t="e">
        <f t="shared" si="120"/>
        <v>#DIV/0!</v>
      </c>
      <c r="V1027" s="115">
        <v>0</v>
      </c>
      <c r="W1027" s="115">
        <f t="shared" si="121"/>
        <v>17000</v>
      </c>
      <c r="X1027" s="115"/>
      <c r="Y1027" s="117" t="s">
        <v>2790</v>
      </c>
      <c r="Z1027" s="108" t="s">
        <v>35</v>
      </c>
      <c r="AA1027" s="108" t="s">
        <v>35</v>
      </c>
      <c r="AB1027" s="108" t="s">
        <v>2791</v>
      </c>
      <c r="AC1027" s="108">
        <v>0</v>
      </c>
      <c r="AD1027" s="108">
        <v>1</v>
      </c>
      <c r="AE1027" s="108" t="s">
        <v>37</v>
      </c>
      <c r="AF1027" s="108" t="s">
        <v>43</v>
      </c>
      <c r="AG1027" s="108" t="s">
        <v>38</v>
      </c>
      <c r="AH1027" s="108" t="s">
        <v>2792</v>
      </c>
    </row>
    <row r="1028" spans="1:34" x14ac:dyDescent="0.3">
      <c r="A1028" s="107" t="s">
        <v>2791</v>
      </c>
      <c r="B1028" s="108" t="s">
        <v>2797</v>
      </c>
      <c r="C1028" s="108" t="s">
        <v>2798</v>
      </c>
      <c r="D1028" s="109">
        <v>45202</v>
      </c>
      <c r="E1028" s="110">
        <v>83500</v>
      </c>
      <c r="F1028" s="108" t="s">
        <v>32</v>
      </c>
      <c r="G1028" s="108" t="s">
        <v>33</v>
      </c>
      <c r="H1028" s="110">
        <v>83500</v>
      </c>
      <c r="I1028" s="110">
        <v>28800</v>
      </c>
      <c r="J1028" s="111">
        <f t="shared" si="116"/>
        <v>34.491017964071858</v>
      </c>
      <c r="K1028" s="110">
        <v>77600</v>
      </c>
      <c r="L1028" s="110">
        <f>H1028-67600</f>
        <v>15900</v>
      </c>
      <c r="M1028" s="110">
        <v>10000</v>
      </c>
      <c r="N1028" s="112">
        <f t="shared" si="117"/>
        <v>0.11976047904191617</v>
      </c>
      <c r="O1028" s="113">
        <v>0</v>
      </c>
      <c r="P1028" s="114">
        <v>0</v>
      </c>
      <c r="Q1028" s="115">
        <v>0</v>
      </c>
      <c r="R1028" s="115">
        <v>0</v>
      </c>
      <c r="S1028" s="110" t="e">
        <f t="shared" si="118"/>
        <v>#DIV/0!</v>
      </c>
      <c r="T1028" s="110" t="e">
        <f t="shared" si="119"/>
        <v>#DIV/0!</v>
      </c>
      <c r="U1028" s="116" t="e">
        <f t="shared" si="120"/>
        <v>#DIV/0!</v>
      </c>
      <c r="V1028" s="115">
        <v>0</v>
      </c>
      <c r="W1028" s="115">
        <f t="shared" si="121"/>
        <v>16700</v>
      </c>
      <c r="X1028" s="115"/>
      <c r="Y1028" s="117" t="s">
        <v>2790</v>
      </c>
      <c r="Z1028" s="108" t="s">
        <v>35</v>
      </c>
      <c r="AA1028" s="108" t="s">
        <v>35</v>
      </c>
      <c r="AB1028" s="108" t="s">
        <v>2791</v>
      </c>
      <c r="AC1028" s="108">
        <v>0</v>
      </c>
      <c r="AD1028" s="108">
        <v>1</v>
      </c>
      <c r="AE1028" s="108" t="s">
        <v>37</v>
      </c>
      <c r="AF1028" s="108" t="s">
        <v>43</v>
      </c>
      <c r="AG1028" s="108" t="s">
        <v>38</v>
      </c>
      <c r="AH1028" s="108" t="s">
        <v>2792</v>
      </c>
    </row>
    <row r="1029" spans="1:34" x14ac:dyDescent="0.3">
      <c r="A1029" s="118" t="s">
        <v>2791</v>
      </c>
      <c r="B1029" s="119" t="s">
        <v>2793</v>
      </c>
      <c r="C1029" s="119" t="s">
        <v>2794</v>
      </c>
      <c r="D1029" s="120">
        <v>45428</v>
      </c>
      <c r="E1029" s="121">
        <v>82000</v>
      </c>
      <c r="F1029" s="119" t="s">
        <v>32</v>
      </c>
      <c r="G1029" s="119" t="s">
        <v>33</v>
      </c>
      <c r="H1029" s="121">
        <v>82000</v>
      </c>
      <c r="I1029" s="121">
        <v>35700</v>
      </c>
      <c r="J1029" s="122">
        <f t="shared" si="116"/>
        <v>43.536585365853661</v>
      </c>
      <c r="K1029" s="121">
        <v>78570</v>
      </c>
      <c r="L1029" s="121">
        <f>H1029-68570</f>
        <v>13430</v>
      </c>
      <c r="M1029" s="121">
        <v>10000</v>
      </c>
      <c r="N1029" s="123">
        <f t="shared" si="117"/>
        <v>0.12195121951219512</v>
      </c>
      <c r="O1029" s="124">
        <v>0</v>
      </c>
      <c r="P1029" s="125">
        <v>0</v>
      </c>
      <c r="Q1029" s="126">
        <v>0</v>
      </c>
      <c r="R1029" s="126">
        <v>0</v>
      </c>
      <c r="S1029" s="121" t="e">
        <f t="shared" si="118"/>
        <v>#DIV/0!</v>
      </c>
      <c r="T1029" s="121" t="e">
        <f t="shared" si="119"/>
        <v>#DIV/0!</v>
      </c>
      <c r="U1029" s="127" t="e">
        <f t="shared" si="120"/>
        <v>#DIV/0!</v>
      </c>
      <c r="V1029" s="126">
        <v>0</v>
      </c>
      <c r="W1029" s="126">
        <f t="shared" si="121"/>
        <v>16400</v>
      </c>
      <c r="X1029" s="126"/>
      <c r="Y1029" s="128" t="s">
        <v>2790</v>
      </c>
      <c r="Z1029" s="119" t="s">
        <v>35</v>
      </c>
      <c r="AA1029" s="119" t="s">
        <v>35</v>
      </c>
      <c r="AB1029" s="119" t="s">
        <v>2791</v>
      </c>
      <c r="AC1029" s="119">
        <v>0</v>
      </c>
      <c r="AD1029" s="119">
        <v>1</v>
      </c>
      <c r="AE1029" s="119" t="s">
        <v>37</v>
      </c>
      <c r="AF1029" s="119" t="s">
        <v>35</v>
      </c>
      <c r="AG1029" s="119" t="s">
        <v>38</v>
      </c>
      <c r="AH1029" s="119" t="s">
        <v>2792</v>
      </c>
    </row>
    <row r="1030" spans="1:34" x14ac:dyDescent="0.3">
      <c r="A1030" s="118" t="s">
        <v>2791</v>
      </c>
      <c r="B1030" s="119" t="s">
        <v>2823</v>
      </c>
      <c r="C1030" s="119" t="s">
        <v>2824</v>
      </c>
      <c r="D1030" s="120">
        <v>45054</v>
      </c>
      <c r="E1030" s="121">
        <v>80850</v>
      </c>
      <c r="F1030" s="119" t="s">
        <v>32</v>
      </c>
      <c r="G1030" s="119" t="s">
        <v>33</v>
      </c>
      <c r="H1030" s="121">
        <v>80850</v>
      </c>
      <c r="I1030" s="121">
        <v>30800</v>
      </c>
      <c r="J1030" s="122">
        <f t="shared" si="116"/>
        <v>38.095238095238095</v>
      </c>
      <c r="K1030" s="121">
        <v>80951</v>
      </c>
      <c r="L1030" s="121">
        <f>H1030-70951</f>
        <v>9899</v>
      </c>
      <c r="M1030" s="121">
        <v>10000</v>
      </c>
      <c r="N1030" s="123">
        <f t="shared" si="117"/>
        <v>0.12368583797155226</v>
      </c>
      <c r="O1030" s="124">
        <v>0</v>
      </c>
      <c r="P1030" s="125">
        <v>0</v>
      </c>
      <c r="Q1030" s="126">
        <v>0</v>
      </c>
      <c r="R1030" s="126">
        <v>0</v>
      </c>
      <c r="S1030" s="121" t="e">
        <f t="shared" si="118"/>
        <v>#DIV/0!</v>
      </c>
      <c r="T1030" s="121" t="e">
        <f t="shared" si="119"/>
        <v>#DIV/0!</v>
      </c>
      <c r="U1030" s="127" t="e">
        <f t="shared" si="120"/>
        <v>#DIV/0!</v>
      </c>
      <c r="V1030" s="126">
        <v>0</v>
      </c>
      <c r="W1030" s="126">
        <f t="shared" si="121"/>
        <v>16170</v>
      </c>
      <c r="X1030" s="126"/>
      <c r="Y1030" s="128" t="s">
        <v>2790</v>
      </c>
      <c r="Z1030" s="119" t="s">
        <v>35</v>
      </c>
      <c r="AA1030" s="119" t="s">
        <v>35</v>
      </c>
      <c r="AB1030" s="119" t="s">
        <v>2791</v>
      </c>
      <c r="AC1030" s="119">
        <v>0</v>
      </c>
      <c r="AD1030" s="119">
        <v>1</v>
      </c>
      <c r="AE1030" s="119" t="s">
        <v>37</v>
      </c>
      <c r="AF1030" s="119" t="s">
        <v>43</v>
      </c>
      <c r="AG1030" s="119" t="s">
        <v>38</v>
      </c>
      <c r="AH1030" s="119" t="s">
        <v>2792</v>
      </c>
    </row>
    <row r="1031" spans="1:34" x14ac:dyDescent="0.3">
      <c r="A1031" s="118" t="s">
        <v>2791</v>
      </c>
      <c r="B1031" s="119" t="s">
        <v>2817</v>
      </c>
      <c r="C1031" s="119" t="s">
        <v>2818</v>
      </c>
      <c r="D1031" s="120">
        <v>45211</v>
      </c>
      <c r="E1031" s="121">
        <v>80000</v>
      </c>
      <c r="F1031" s="119" t="s">
        <v>32</v>
      </c>
      <c r="G1031" s="119" t="s">
        <v>33</v>
      </c>
      <c r="H1031" s="121">
        <v>80000</v>
      </c>
      <c r="I1031" s="121">
        <v>31900</v>
      </c>
      <c r="J1031" s="122">
        <f t="shared" si="116"/>
        <v>39.875</v>
      </c>
      <c r="K1031" s="121">
        <v>84017</v>
      </c>
      <c r="L1031" s="121">
        <f>H1031-74017</f>
        <v>5983</v>
      </c>
      <c r="M1031" s="121">
        <v>10000</v>
      </c>
      <c r="N1031" s="123">
        <f t="shared" si="117"/>
        <v>0.125</v>
      </c>
      <c r="O1031" s="124">
        <v>0</v>
      </c>
      <c r="P1031" s="125">
        <v>0</v>
      </c>
      <c r="Q1031" s="126">
        <v>0</v>
      </c>
      <c r="R1031" s="126">
        <v>0</v>
      </c>
      <c r="S1031" s="121" t="e">
        <f t="shared" si="118"/>
        <v>#DIV/0!</v>
      </c>
      <c r="T1031" s="121" t="e">
        <f t="shared" si="119"/>
        <v>#DIV/0!</v>
      </c>
      <c r="U1031" s="127" t="e">
        <f t="shared" si="120"/>
        <v>#DIV/0!</v>
      </c>
      <c r="V1031" s="126">
        <v>0</v>
      </c>
      <c r="W1031" s="126">
        <f t="shared" si="121"/>
        <v>16000</v>
      </c>
      <c r="X1031" s="126"/>
      <c r="Y1031" s="128" t="s">
        <v>2790</v>
      </c>
      <c r="Z1031" s="119" t="s">
        <v>35</v>
      </c>
      <c r="AA1031" s="119" t="s">
        <v>35</v>
      </c>
      <c r="AB1031" s="119" t="s">
        <v>2791</v>
      </c>
      <c r="AC1031" s="119">
        <v>0</v>
      </c>
      <c r="AD1031" s="119">
        <v>1</v>
      </c>
      <c r="AE1031" s="119" t="s">
        <v>37</v>
      </c>
      <c r="AF1031" s="119" t="s">
        <v>43</v>
      </c>
      <c r="AG1031" s="119" t="s">
        <v>38</v>
      </c>
      <c r="AH1031" s="119" t="s">
        <v>2792</v>
      </c>
    </row>
    <row r="1032" spans="1:34" x14ac:dyDescent="0.3">
      <c r="A1032" s="118" t="s">
        <v>2791</v>
      </c>
      <c r="B1032" s="119" t="s">
        <v>2831</v>
      </c>
      <c r="C1032" s="119" t="s">
        <v>2832</v>
      </c>
      <c r="D1032" s="120">
        <v>45266</v>
      </c>
      <c r="E1032" s="121">
        <v>80000</v>
      </c>
      <c r="F1032" s="119" t="s">
        <v>32</v>
      </c>
      <c r="G1032" s="119" t="s">
        <v>33</v>
      </c>
      <c r="H1032" s="121">
        <v>80000</v>
      </c>
      <c r="I1032" s="121">
        <v>28800</v>
      </c>
      <c r="J1032" s="122">
        <f t="shared" si="116"/>
        <v>36</v>
      </c>
      <c r="K1032" s="121">
        <v>77600</v>
      </c>
      <c r="L1032" s="121">
        <f>H1032-67600</f>
        <v>12400</v>
      </c>
      <c r="M1032" s="121">
        <v>10000</v>
      </c>
      <c r="N1032" s="123">
        <f t="shared" si="117"/>
        <v>0.125</v>
      </c>
      <c r="O1032" s="124">
        <v>0</v>
      </c>
      <c r="P1032" s="125">
        <v>0</v>
      </c>
      <c r="Q1032" s="126">
        <v>0</v>
      </c>
      <c r="R1032" s="126">
        <v>0</v>
      </c>
      <c r="S1032" s="121" t="e">
        <f t="shared" si="118"/>
        <v>#DIV/0!</v>
      </c>
      <c r="T1032" s="121" t="e">
        <f t="shared" si="119"/>
        <v>#DIV/0!</v>
      </c>
      <c r="U1032" s="127" t="e">
        <f t="shared" si="120"/>
        <v>#DIV/0!</v>
      </c>
      <c r="V1032" s="126">
        <v>0</v>
      </c>
      <c r="W1032" s="126">
        <f t="shared" si="121"/>
        <v>16000</v>
      </c>
      <c r="X1032" s="126"/>
      <c r="Y1032" s="128" t="s">
        <v>2790</v>
      </c>
      <c r="Z1032" s="119" t="s">
        <v>35</v>
      </c>
      <c r="AA1032" s="119" t="s">
        <v>35</v>
      </c>
      <c r="AB1032" s="119" t="s">
        <v>2791</v>
      </c>
      <c r="AC1032" s="119">
        <v>0</v>
      </c>
      <c r="AD1032" s="119">
        <v>1</v>
      </c>
      <c r="AE1032" s="119" t="s">
        <v>37</v>
      </c>
      <c r="AF1032" s="119" t="s">
        <v>43</v>
      </c>
      <c r="AG1032" s="119" t="s">
        <v>38</v>
      </c>
      <c r="AH1032" s="119" t="s">
        <v>2792</v>
      </c>
    </row>
    <row r="1033" spans="1:34" x14ac:dyDescent="0.3">
      <c r="A1033" s="118" t="s">
        <v>2791</v>
      </c>
      <c r="B1033" s="119" t="s">
        <v>2807</v>
      </c>
      <c r="C1033" s="119" t="s">
        <v>2808</v>
      </c>
      <c r="D1033" s="120">
        <v>45579</v>
      </c>
      <c r="E1033" s="121">
        <v>78000</v>
      </c>
      <c r="F1033" s="119" t="s">
        <v>32</v>
      </c>
      <c r="G1033" s="119" t="s">
        <v>33</v>
      </c>
      <c r="H1033" s="121">
        <v>78000</v>
      </c>
      <c r="I1033" s="121">
        <v>36600</v>
      </c>
      <c r="J1033" s="122">
        <f t="shared" si="116"/>
        <v>46.92307692307692</v>
      </c>
      <c r="K1033" s="121">
        <v>80744</v>
      </c>
      <c r="L1033" s="121">
        <f>H1033-70744</f>
        <v>7256</v>
      </c>
      <c r="M1033" s="121">
        <v>10000</v>
      </c>
      <c r="N1033" s="123">
        <f t="shared" si="117"/>
        <v>0.12820512820512819</v>
      </c>
      <c r="O1033" s="124">
        <v>0</v>
      </c>
      <c r="P1033" s="125">
        <v>0</v>
      </c>
      <c r="Q1033" s="126">
        <v>0</v>
      </c>
      <c r="R1033" s="126">
        <v>0</v>
      </c>
      <c r="S1033" s="121" t="e">
        <f t="shared" si="118"/>
        <v>#DIV/0!</v>
      </c>
      <c r="T1033" s="121" t="e">
        <f t="shared" si="119"/>
        <v>#DIV/0!</v>
      </c>
      <c r="U1033" s="127" t="e">
        <f t="shared" si="120"/>
        <v>#DIV/0!</v>
      </c>
      <c r="V1033" s="126">
        <v>0</v>
      </c>
      <c r="W1033" s="126">
        <f t="shared" si="121"/>
        <v>15600</v>
      </c>
      <c r="X1033" s="126"/>
      <c r="Y1033" s="128" t="s">
        <v>2790</v>
      </c>
      <c r="Z1033" s="119" t="s">
        <v>35</v>
      </c>
      <c r="AA1033" s="119" t="s">
        <v>35</v>
      </c>
      <c r="AB1033" s="119" t="s">
        <v>2791</v>
      </c>
      <c r="AC1033" s="119">
        <v>0</v>
      </c>
      <c r="AD1033" s="119">
        <v>1</v>
      </c>
      <c r="AE1033" s="119" t="s">
        <v>37</v>
      </c>
      <c r="AF1033" s="119" t="s">
        <v>35</v>
      </c>
      <c r="AG1033" s="119" t="s">
        <v>38</v>
      </c>
      <c r="AH1033" s="119" t="s">
        <v>2792</v>
      </c>
    </row>
    <row r="1034" spans="1:34" x14ac:dyDescent="0.3">
      <c r="A1034" s="118" t="s">
        <v>2791</v>
      </c>
      <c r="B1034" s="119" t="s">
        <v>2833</v>
      </c>
      <c r="C1034" s="119" t="s">
        <v>2834</v>
      </c>
      <c r="D1034" s="120">
        <v>45520</v>
      </c>
      <c r="E1034" s="121">
        <v>74900</v>
      </c>
      <c r="F1034" s="119" t="s">
        <v>32</v>
      </c>
      <c r="G1034" s="119" t="s">
        <v>33</v>
      </c>
      <c r="H1034" s="121">
        <v>74900</v>
      </c>
      <c r="I1034" s="121">
        <v>39200</v>
      </c>
      <c r="J1034" s="122">
        <f t="shared" si="116"/>
        <v>52.336448598130836</v>
      </c>
      <c r="K1034" s="121">
        <v>84017</v>
      </c>
      <c r="L1034" s="121">
        <f>H1034-74017</f>
        <v>883</v>
      </c>
      <c r="M1034" s="121">
        <v>10000</v>
      </c>
      <c r="N1034" s="123">
        <f t="shared" si="117"/>
        <v>0.13351134846461948</v>
      </c>
      <c r="O1034" s="124">
        <v>0</v>
      </c>
      <c r="P1034" s="125">
        <v>0</v>
      </c>
      <c r="Q1034" s="126">
        <v>0</v>
      </c>
      <c r="R1034" s="126">
        <v>0</v>
      </c>
      <c r="S1034" s="121" t="e">
        <f t="shared" si="118"/>
        <v>#DIV/0!</v>
      </c>
      <c r="T1034" s="121" t="e">
        <f t="shared" si="119"/>
        <v>#DIV/0!</v>
      </c>
      <c r="U1034" s="127" t="e">
        <f t="shared" si="120"/>
        <v>#DIV/0!</v>
      </c>
      <c r="V1034" s="126">
        <v>0</v>
      </c>
      <c r="W1034" s="126">
        <f t="shared" si="121"/>
        <v>14980</v>
      </c>
      <c r="X1034" s="126"/>
      <c r="Y1034" s="128" t="s">
        <v>2790</v>
      </c>
      <c r="Z1034" s="119" t="s">
        <v>35</v>
      </c>
      <c r="AA1034" s="119" t="s">
        <v>35</v>
      </c>
      <c r="AB1034" s="119" t="s">
        <v>2791</v>
      </c>
      <c r="AC1034" s="119">
        <v>0</v>
      </c>
      <c r="AD1034" s="119">
        <v>1</v>
      </c>
      <c r="AE1034" s="119" t="s">
        <v>37</v>
      </c>
      <c r="AF1034" s="119" t="s">
        <v>43</v>
      </c>
      <c r="AG1034" s="119" t="s">
        <v>38</v>
      </c>
      <c r="AH1034" s="119" t="s">
        <v>2792</v>
      </c>
    </row>
    <row r="1035" spans="1:34" x14ac:dyDescent="0.3">
      <c r="A1035" s="118" t="s">
        <v>2791</v>
      </c>
      <c r="B1035" s="119" t="s">
        <v>2825</v>
      </c>
      <c r="C1035" s="119" t="s">
        <v>2826</v>
      </c>
      <c r="D1035" s="120">
        <v>45322</v>
      </c>
      <c r="E1035" s="121">
        <v>74200</v>
      </c>
      <c r="F1035" s="119" t="s">
        <v>32</v>
      </c>
      <c r="G1035" s="119" t="s">
        <v>33</v>
      </c>
      <c r="H1035" s="121">
        <v>74200</v>
      </c>
      <c r="I1035" s="121">
        <v>31100</v>
      </c>
      <c r="J1035" s="122">
        <f t="shared" si="116"/>
        <v>41.913746630727758</v>
      </c>
      <c r="K1035" s="121">
        <v>81921</v>
      </c>
      <c r="L1035" s="121">
        <f>H1035-71921</f>
        <v>2279</v>
      </c>
      <c r="M1035" s="121">
        <v>10000</v>
      </c>
      <c r="N1035" s="123">
        <f t="shared" si="117"/>
        <v>0.13477088948787061</v>
      </c>
      <c r="O1035" s="124">
        <v>0</v>
      </c>
      <c r="P1035" s="125">
        <v>0</v>
      </c>
      <c r="Q1035" s="126">
        <v>0</v>
      </c>
      <c r="R1035" s="126">
        <v>0</v>
      </c>
      <c r="S1035" s="121" t="e">
        <f t="shared" si="118"/>
        <v>#DIV/0!</v>
      </c>
      <c r="T1035" s="121" t="e">
        <f t="shared" si="119"/>
        <v>#DIV/0!</v>
      </c>
      <c r="U1035" s="127" t="e">
        <f t="shared" si="120"/>
        <v>#DIV/0!</v>
      </c>
      <c r="V1035" s="126">
        <v>0</v>
      </c>
      <c r="W1035" s="126">
        <f t="shared" si="121"/>
        <v>14840</v>
      </c>
      <c r="X1035" s="126"/>
      <c r="Y1035" s="128" t="s">
        <v>2790</v>
      </c>
      <c r="Z1035" s="119" t="s">
        <v>35</v>
      </c>
      <c r="AA1035" s="119" t="s">
        <v>35</v>
      </c>
      <c r="AB1035" s="119" t="s">
        <v>2791</v>
      </c>
      <c r="AC1035" s="119">
        <v>0</v>
      </c>
      <c r="AD1035" s="119">
        <v>1</v>
      </c>
      <c r="AE1035" s="119" t="s">
        <v>37</v>
      </c>
      <c r="AF1035" s="119" t="s">
        <v>43</v>
      </c>
      <c r="AG1035" s="119" t="s">
        <v>38</v>
      </c>
      <c r="AH1035" s="119" t="s">
        <v>2792</v>
      </c>
    </row>
    <row r="1036" spans="1:34" x14ac:dyDescent="0.3">
      <c r="A1036" s="118" t="s">
        <v>2791</v>
      </c>
      <c r="B1036" s="119" t="s">
        <v>2788</v>
      </c>
      <c r="C1036" s="119" t="s">
        <v>2789</v>
      </c>
      <c r="D1036" s="120">
        <v>45476</v>
      </c>
      <c r="E1036" s="121">
        <v>70000</v>
      </c>
      <c r="F1036" s="119" t="s">
        <v>32</v>
      </c>
      <c r="G1036" s="119" t="s">
        <v>33</v>
      </c>
      <c r="H1036" s="121">
        <v>70000</v>
      </c>
      <c r="I1036" s="121">
        <v>35200</v>
      </c>
      <c r="J1036" s="122">
        <f t="shared" si="116"/>
        <v>50.285714285714292</v>
      </c>
      <c r="K1036" s="121">
        <v>77600</v>
      </c>
      <c r="L1036" s="121">
        <f>H1036-67600</f>
        <v>2400</v>
      </c>
      <c r="M1036" s="121">
        <v>10000</v>
      </c>
      <c r="N1036" s="123">
        <f t="shared" si="117"/>
        <v>0.14285714285714285</v>
      </c>
      <c r="O1036" s="124">
        <v>0</v>
      </c>
      <c r="P1036" s="125">
        <v>0</v>
      </c>
      <c r="Q1036" s="126">
        <v>0</v>
      </c>
      <c r="R1036" s="126">
        <v>0</v>
      </c>
      <c r="S1036" s="121" t="e">
        <f t="shared" si="118"/>
        <v>#DIV/0!</v>
      </c>
      <c r="T1036" s="121" t="e">
        <f t="shared" si="119"/>
        <v>#DIV/0!</v>
      </c>
      <c r="U1036" s="127" t="e">
        <f t="shared" si="120"/>
        <v>#DIV/0!</v>
      </c>
      <c r="V1036" s="126">
        <v>0</v>
      </c>
      <c r="W1036" s="126">
        <f t="shared" si="121"/>
        <v>14000</v>
      </c>
      <c r="X1036" s="126"/>
      <c r="Y1036" s="128" t="s">
        <v>2790</v>
      </c>
      <c r="Z1036" s="119" t="s">
        <v>35</v>
      </c>
      <c r="AA1036" s="119" t="s">
        <v>35</v>
      </c>
      <c r="AB1036" s="119" t="s">
        <v>2791</v>
      </c>
      <c r="AC1036" s="119">
        <v>0</v>
      </c>
      <c r="AD1036" s="119">
        <v>1</v>
      </c>
      <c r="AE1036" s="119" t="s">
        <v>37</v>
      </c>
      <c r="AF1036" s="119" t="s">
        <v>43</v>
      </c>
      <c r="AG1036" s="119" t="s">
        <v>38</v>
      </c>
      <c r="AH1036" s="119" t="s">
        <v>2792</v>
      </c>
    </row>
    <row r="1037" spans="1:34" x14ac:dyDescent="0.3">
      <c r="A1037" s="107" t="s">
        <v>2791</v>
      </c>
      <c r="B1037" s="108" t="s">
        <v>2819</v>
      </c>
      <c r="C1037" s="108" t="s">
        <v>2820</v>
      </c>
      <c r="D1037" s="109">
        <v>45729</v>
      </c>
      <c r="E1037" s="110">
        <v>65000</v>
      </c>
      <c r="F1037" s="108" t="s">
        <v>32</v>
      </c>
      <c r="G1037" s="108" t="s">
        <v>33</v>
      </c>
      <c r="H1037" s="110">
        <v>65000</v>
      </c>
      <c r="I1037" s="110">
        <v>35200</v>
      </c>
      <c r="J1037" s="111">
        <f t="shared" si="116"/>
        <v>54.153846153846153</v>
      </c>
      <c r="K1037" s="110">
        <v>77600</v>
      </c>
      <c r="L1037" s="110">
        <f>H1037-67600</f>
        <v>-2600</v>
      </c>
      <c r="M1037" s="110">
        <v>10000</v>
      </c>
      <c r="N1037" s="112">
        <f t="shared" si="117"/>
        <v>0.15384615384615385</v>
      </c>
      <c r="O1037" s="113">
        <v>0</v>
      </c>
      <c r="P1037" s="114">
        <v>0</v>
      </c>
      <c r="Q1037" s="115">
        <v>0</v>
      </c>
      <c r="R1037" s="115">
        <v>0</v>
      </c>
      <c r="S1037" s="110" t="e">
        <f t="shared" si="118"/>
        <v>#DIV/0!</v>
      </c>
      <c r="T1037" s="110" t="e">
        <f t="shared" si="119"/>
        <v>#DIV/0!</v>
      </c>
      <c r="U1037" s="116" t="e">
        <f t="shared" si="120"/>
        <v>#DIV/0!</v>
      </c>
      <c r="V1037" s="115">
        <v>0</v>
      </c>
      <c r="W1037" s="115">
        <f t="shared" si="121"/>
        <v>13000</v>
      </c>
      <c r="X1037" s="115"/>
      <c r="Y1037" s="117" t="s">
        <v>2790</v>
      </c>
      <c r="Z1037" s="108" t="s">
        <v>35</v>
      </c>
      <c r="AA1037" s="108" t="s">
        <v>35</v>
      </c>
      <c r="AB1037" s="108" t="s">
        <v>2791</v>
      </c>
      <c r="AC1037" s="108">
        <v>0</v>
      </c>
      <c r="AD1037" s="108">
        <v>1</v>
      </c>
      <c r="AE1037" s="108" t="s">
        <v>37</v>
      </c>
      <c r="AF1037" s="108" t="s">
        <v>35</v>
      </c>
      <c r="AG1037" s="108" t="s">
        <v>38</v>
      </c>
      <c r="AH1037" s="108" t="s">
        <v>2792</v>
      </c>
    </row>
    <row r="1038" spans="1:34" x14ac:dyDescent="0.3">
      <c r="A1038" s="118" t="s">
        <v>2791</v>
      </c>
      <c r="B1038" s="119" t="s">
        <v>2799</v>
      </c>
      <c r="C1038" s="119" t="s">
        <v>2800</v>
      </c>
      <c r="D1038" s="120">
        <v>45565</v>
      </c>
      <c r="E1038" s="121">
        <v>60000</v>
      </c>
      <c r="F1038" s="119" t="s">
        <v>32</v>
      </c>
      <c r="G1038" s="119" t="s">
        <v>33</v>
      </c>
      <c r="H1038" s="121">
        <v>60000</v>
      </c>
      <c r="I1038" s="121">
        <v>35200</v>
      </c>
      <c r="J1038" s="122">
        <f t="shared" si="116"/>
        <v>58.666666666666664</v>
      </c>
      <c r="K1038" s="121">
        <v>77600</v>
      </c>
      <c r="L1038" s="121">
        <f>H1038-67600</f>
        <v>-7600</v>
      </c>
      <c r="M1038" s="121">
        <v>10000</v>
      </c>
      <c r="N1038" s="123">
        <f t="shared" si="117"/>
        <v>0.16666666666666666</v>
      </c>
      <c r="O1038" s="124">
        <v>0</v>
      </c>
      <c r="P1038" s="125">
        <v>0</v>
      </c>
      <c r="Q1038" s="126">
        <v>0</v>
      </c>
      <c r="R1038" s="126">
        <v>0</v>
      </c>
      <c r="S1038" s="121" t="e">
        <f t="shared" si="118"/>
        <v>#DIV/0!</v>
      </c>
      <c r="T1038" s="121" t="e">
        <f t="shared" si="119"/>
        <v>#DIV/0!</v>
      </c>
      <c r="U1038" s="127" t="e">
        <f t="shared" si="120"/>
        <v>#DIV/0!</v>
      </c>
      <c r="V1038" s="126">
        <v>0</v>
      </c>
      <c r="W1038" s="126">
        <f t="shared" si="121"/>
        <v>12000</v>
      </c>
      <c r="X1038" s="126"/>
      <c r="Y1038" s="128" t="s">
        <v>2790</v>
      </c>
      <c r="Z1038" s="119" t="s">
        <v>35</v>
      </c>
      <c r="AA1038" s="119" t="s">
        <v>35</v>
      </c>
      <c r="AB1038" s="119" t="s">
        <v>2791</v>
      </c>
      <c r="AC1038" s="119">
        <v>0</v>
      </c>
      <c r="AD1038" s="119">
        <v>1</v>
      </c>
      <c r="AE1038" s="119" t="s">
        <v>37</v>
      </c>
      <c r="AF1038" s="119" t="s">
        <v>43</v>
      </c>
      <c r="AG1038" s="119" t="s">
        <v>38</v>
      </c>
      <c r="AH1038" s="119" t="s">
        <v>2792</v>
      </c>
    </row>
    <row r="1039" spans="1:34" x14ac:dyDescent="0.3">
      <c r="A1039" s="107" t="s">
        <v>2791</v>
      </c>
      <c r="B1039" s="108" t="s">
        <v>2829</v>
      </c>
      <c r="C1039" s="108" t="s">
        <v>2830</v>
      </c>
      <c r="D1039" s="109">
        <v>45565</v>
      </c>
      <c r="E1039" s="110">
        <v>55000</v>
      </c>
      <c r="F1039" s="108" t="s">
        <v>32</v>
      </c>
      <c r="G1039" s="108" t="s">
        <v>33</v>
      </c>
      <c r="H1039" s="110">
        <v>55000</v>
      </c>
      <c r="I1039" s="110">
        <v>36500</v>
      </c>
      <c r="J1039" s="111">
        <f t="shared" si="116"/>
        <v>66.363636363636374</v>
      </c>
      <c r="K1039" s="110">
        <v>80475</v>
      </c>
      <c r="L1039" s="110">
        <f>H1039-70475</f>
        <v>-15475</v>
      </c>
      <c r="M1039" s="110">
        <v>10000</v>
      </c>
      <c r="N1039" s="112">
        <f t="shared" si="117"/>
        <v>0.18181818181818182</v>
      </c>
      <c r="O1039" s="113">
        <v>0</v>
      </c>
      <c r="P1039" s="114">
        <v>0</v>
      </c>
      <c r="Q1039" s="115">
        <v>0</v>
      </c>
      <c r="R1039" s="115">
        <v>0</v>
      </c>
      <c r="S1039" s="110" t="e">
        <f t="shared" si="118"/>
        <v>#DIV/0!</v>
      </c>
      <c r="T1039" s="110" t="e">
        <f t="shared" si="119"/>
        <v>#DIV/0!</v>
      </c>
      <c r="U1039" s="116" t="e">
        <f t="shared" si="120"/>
        <v>#DIV/0!</v>
      </c>
      <c r="V1039" s="115">
        <v>0</v>
      </c>
      <c r="W1039" s="115">
        <f t="shared" si="121"/>
        <v>11000</v>
      </c>
      <c r="X1039" s="115"/>
      <c r="Y1039" s="117" t="s">
        <v>2790</v>
      </c>
      <c r="Z1039" s="108" t="s">
        <v>35</v>
      </c>
      <c r="AA1039" s="108" t="s">
        <v>35</v>
      </c>
      <c r="AB1039" s="108" t="s">
        <v>2791</v>
      </c>
      <c r="AC1039" s="108">
        <v>0</v>
      </c>
      <c r="AD1039" s="108">
        <v>1</v>
      </c>
      <c r="AE1039" s="108" t="s">
        <v>37</v>
      </c>
      <c r="AF1039" s="108" t="s">
        <v>35</v>
      </c>
      <c r="AG1039" s="108" t="s">
        <v>38</v>
      </c>
      <c r="AH1039" s="108" t="s">
        <v>2792</v>
      </c>
    </row>
    <row r="1040" spans="1:34" x14ac:dyDescent="0.3">
      <c r="A1040" s="118" t="s">
        <v>2791</v>
      </c>
      <c r="B1040" s="119" t="s">
        <v>2801</v>
      </c>
      <c r="C1040" s="119" t="s">
        <v>2802</v>
      </c>
      <c r="D1040" s="120">
        <v>45474</v>
      </c>
      <c r="E1040" s="121">
        <v>30000</v>
      </c>
      <c r="F1040" s="119" t="s">
        <v>32</v>
      </c>
      <c r="G1040" s="119" t="s">
        <v>33</v>
      </c>
      <c r="H1040" s="121">
        <v>30000</v>
      </c>
      <c r="I1040" s="121">
        <v>35900</v>
      </c>
      <c r="J1040" s="122">
        <f t="shared" si="116"/>
        <v>119.66666666666667</v>
      </c>
      <c r="K1040" s="121">
        <v>79203</v>
      </c>
      <c r="L1040" s="121">
        <f>H1040-69203</f>
        <v>-39203</v>
      </c>
      <c r="M1040" s="121">
        <v>10000</v>
      </c>
      <c r="N1040" s="123">
        <f t="shared" si="117"/>
        <v>0.33333333333333331</v>
      </c>
      <c r="O1040" s="124">
        <v>0</v>
      </c>
      <c r="P1040" s="125">
        <v>0</v>
      </c>
      <c r="Q1040" s="126">
        <v>0</v>
      </c>
      <c r="R1040" s="126">
        <v>0</v>
      </c>
      <c r="S1040" s="121" t="e">
        <f t="shared" si="118"/>
        <v>#DIV/0!</v>
      </c>
      <c r="T1040" s="121" t="e">
        <f t="shared" si="119"/>
        <v>#DIV/0!</v>
      </c>
      <c r="U1040" s="127" t="e">
        <f t="shared" si="120"/>
        <v>#DIV/0!</v>
      </c>
      <c r="V1040" s="126">
        <v>0</v>
      </c>
      <c r="W1040" s="126">
        <f t="shared" si="121"/>
        <v>6000</v>
      </c>
      <c r="X1040" s="126"/>
      <c r="Y1040" s="128" t="s">
        <v>2790</v>
      </c>
      <c r="Z1040" s="119" t="s">
        <v>35</v>
      </c>
      <c r="AA1040" s="119" t="s">
        <v>35</v>
      </c>
      <c r="AB1040" s="119" t="s">
        <v>2791</v>
      </c>
      <c r="AC1040" s="119">
        <v>0</v>
      </c>
      <c r="AD1040" s="119">
        <v>1</v>
      </c>
      <c r="AE1040" s="119" t="s">
        <v>37</v>
      </c>
      <c r="AF1040" s="119" t="s">
        <v>43</v>
      </c>
      <c r="AG1040" s="119" t="s">
        <v>38</v>
      </c>
      <c r="AH1040" s="119" t="s">
        <v>2792</v>
      </c>
    </row>
    <row r="1041" spans="1:34" x14ac:dyDescent="0.3">
      <c r="A1041" s="118" t="s">
        <v>2791</v>
      </c>
      <c r="B1041" s="119" t="s">
        <v>2809</v>
      </c>
      <c r="C1041" s="119" t="s">
        <v>2810</v>
      </c>
      <c r="D1041" s="120">
        <v>45672</v>
      </c>
      <c r="E1041" s="121">
        <v>30000</v>
      </c>
      <c r="F1041" s="119" t="s">
        <v>32</v>
      </c>
      <c r="G1041" s="119" t="s">
        <v>33</v>
      </c>
      <c r="H1041" s="121">
        <v>30000</v>
      </c>
      <c r="I1041" s="121">
        <v>35200</v>
      </c>
      <c r="J1041" s="122">
        <f t="shared" si="116"/>
        <v>117.33333333333333</v>
      </c>
      <c r="K1041" s="121">
        <v>77600</v>
      </c>
      <c r="L1041" s="121">
        <f>H1041-67600</f>
        <v>-37600</v>
      </c>
      <c r="M1041" s="121">
        <v>10000</v>
      </c>
      <c r="N1041" s="123">
        <f t="shared" si="117"/>
        <v>0.33333333333333331</v>
      </c>
      <c r="O1041" s="124">
        <v>0</v>
      </c>
      <c r="P1041" s="125">
        <v>0</v>
      </c>
      <c r="Q1041" s="126">
        <v>0</v>
      </c>
      <c r="R1041" s="126">
        <v>0</v>
      </c>
      <c r="S1041" s="121" t="e">
        <f t="shared" si="118"/>
        <v>#DIV/0!</v>
      </c>
      <c r="T1041" s="121" t="e">
        <f t="shared" si="119"/>
        <v>#DIV/0!</v>
      </c>
      <c r="U1041" s="127" t="e">
        <f t="shared" si="120"/>
        <v>#DIV/0!</v>
      </c>
      <c r="V1041" s="126">
        <v>0</v>
      </c>
      <c r="W1041" s="126">
        <f t="shared" si="121"/>
        <v>6000</v>
      </c>
      <c r="X1041" s="126"/>
      <c r="Y1041" s="128" t="s">
        <v>2790</v>
      </c>
      <c r="Z1041" s="119" t="s">
        <v>35</v>
      </c>
      <c r="AA1041" s="119" t="s">
        <v>35</v>
      </c>
      <c r="AB1041" s="119" t="s">
        <v>2791</v>
      </c>
      <c r="AC1041" s="119">
        <v>0</v>
      </c>
      <c r="AD1041" s="119">
        <v>1</v>
      </c>
      <c r="AE1041" s="119" t="s">
        <v>37</v>
      </c>
      <c r="AF1041" s="119" t="s">
        <v>35</v>
      </c>
      <c r="AG1041" s="119" t="s">
        <v>38</v>
      </c>
      <c r="AH1041" s="119" t="s">
        <v>2792</v>
      </c>
    </row>
    <row r="1042" spans="1:34" x14ac:dyDescent="0.3">
      <c r="A1042" s="118" t="s">
        <v>1984</v>
      </c>
      <c r="B1042" s="119" t="s">
        <v>1994</v>
      </c>
      <c r="C1042" s="119" t="s">
        <v>1995</v>
      </c>
      <c r="D1042" s="120">
        <v>45604</v>
      </c>
      <c r="E1042" s="121">
        <v>384900</v>
      </c>
      <c r="F1042" s="119" t="s">
        <v>32</v>
      </c>
      <c r="G1042" s="119" t="s">
        <v>33</v>
      </c>
      <c r="H1042" s="121">
        <v>384900</v>
      </c>
      <c r="I1042" s="121">
        <v>24000</v>
      </c>
      <c r="J1042" s="122">
        <f t="shared" si="116"/>
        <v>6.2353858144972722</v>
      </c>
      <c r="K1042" s="121">
        <v>380432</v>
      </c>
      <c r="L1042" s="121">
        <f>H1042-329560</f>
        <v>55340</v>
      </c>
      <c r="M1042" s="121">
        <v>50872</v>
      </c>
      <c r="N1042" s="123">
        <f t="shared" si="117"/>
        <v>0.13216939464796051</v>
      </c>
      <c r="O1042" s="124">
        <v>119.98</v>
      </c>
      <c r="P1042" s="125">
        <v>127.76</v>
      </c>
      <c r="Q1042" s="126">
        <v>0.38100000000000001</v>
      </c>
      <c r="R1042" s="126">
        <v>0.38100000000000001</v>
      </c>
      <c r="S1042" s="121">
        <f t="shared" si="118"/>
        <v>461.24354059009835</v>
      </c>
      <c r="T1042" s="121">
        <f t="shared" si="119"/>
        <v>145249.343832021</v>
      </c>
      <c r="U1042" s="127">
        <f t="shared" si="120"/>
        <v>3.3344661118462122</v>
      </c>
      <c r="V1042" s="126">
        <v>130</v>
      </c>
      <c r="W1042" s="126">
        <f t="shared" si="121"/>
        <v>76980</v>
      </c>
      <c r="X1042" s="126">
        <f t="shared" ref="X1042:X1055" si="122">W1042/V1042</f>
        <v>592.15384615384619</v>
      </c>
      <c r="Y1042" s="128" t="s">
        <v>1983</v>
      </c>
      <c r="Z1042" s="119" t="s">
        <v>35</v>
      </c>
      <c r="AA1042" s="119" t="s">
        <v>35</v>
      </c>
      <c r="AB1042" s="119" t="s">
        <v>1984</v>
      </c>
      <c r="AC1042" s="119">
        <v>0</v>
      </c>
      <c r="AD1042" s="119">
        <v>1</v>
      </c>
      <c r="AE1042" s="119" t="s">
        <v>1989</v>
      </c>
      <c r="AF1042" s="119" t="s">
        <v>35</v>
      </c>
      <c r="AG1042" s="119" t="s">
        <v>38</v>
      </c>
      <c r="AH1042" s="119" t="s">
        <v>92</v>
      </c>
    </row>
    <row r="1043" spans="1:34" x14ac:dyDescent="0.3">
      <c r="A1043" s="107" t="s">
        <v>1984</v>
      </c>
      <c r="B1043" s="108" t="s">
        <v>1990</v>
      </c>
      <c r="C1043" s="108" t="s">
        <v>1991</v>
      </c>
      <c r="D1043" s="109">
        <v>45265</v>
      </c>
      <c r="E1043" s="110">
        <v>315000</v>
      </c>
      <c r="F1043" s="108" t="s">
        <v>32</v>
      </c>
      <c r="G1043" s="108" t="s">
        <v>33</v>
      </c>
      <c r="H1043" s="110">
        <v>315000</v>
      </c>
      <c r="I1043" s="110">
        <v>147100</v>
      </c>
      <c r="J1043" s="111">
        <f t="shared" si="116"/>
        <v>46.698412698412703</v>
      </c>
      <c r="K1043" s="110">
        <v>313418</v>
      </c>
      <c r="L1043" s="110">
        <f>H1043-273415</f>
        <v>41585</v>
      </c>
      <c r="M1043" s="110">
        <v>40003</v>
      </c>
      <c r="N1043" s="112">
        <f t="shared" si="117"/>
        <v>0.1269936507936508</v>
      </c>
      <c r="O1043" s="113">
        <v>94.34</v>
      </c>
      <c r="P1043" s="114">
        <v>127.5</v>
      </c>
      <c r="Q1043" s="115">
        <v>0.29599999999999999</v>
      </c>
      <c r="R1043" s="115">
        <v>0.29599999999999999</v>
      </c>
      <c r="S1043" s="110">
        <f t="shared" si="118"/>
        <v>440.79923680305279</v>
      </c>
      <c r="T1043" s="110">
        <f t="shared" si="119"/>
        <v>140489.86486486488</v>
      </c>
      <c r="U1043" s="116">
        <f t="shared" si="120"/>
        <v>3.2252035092944187</v>
      </c>
      <c r="V1043" s="115">
        <v>105</v>
      </c>
      <c r="W1043" s="115">
        <f t="shared" si="121"/>
        <v>63000</v>
      </c>
      <c r="X1043" s="115">
        <f t="shared" si="122"/>
        <v>600</v>
      </c>
      <c r="Y1043" s="117" t="s">
        <v>1983</v>
      </c>
      <c r="Z1043" s="108" t="s">
        <v>35</v>
      </c>
      <c r="AA1043" s="108" t="s">
        <v>35</v>
      </c>
      <c r="AB1043" s="108" t="s">
        <v>1984</v>
      </c>
      <c r="AC1043" s="108">
        <v>0</v>
      </c>
      <c r="AD1043" s="108">
        <v>1</v>
      </c>
      <c r="AE1043" s="108" t="s">
        <v>1989</v>
      </c>
      <c r="AF1043" s="108" t="s">
        <v>43</v>
      </c>
      <c r="AG1043" s="108" t="s">
        <v>38</v>
      </c>
      <c r="AH1043" s="108" t="s">
        <v>92</v>
      </c>
    </row>
    <row r="1044" spans="1:34" x14ac:dyDescent="0.3">
      <c r="A1044" s="118" t="s">
        <v>1984</v>
      </c>
      <c r="B1044" s="119" t="s">
        <v>1985</v>
      </c>
      <c r="C1044" s="119" t="s">
        <v>1986</v>
      </c>
      <c r="D1044" s="120">
        <v>45054</v>
      </c>
      <c r="E1044" s="121">
        <v>295000</v>
      </c>
      <c r="F1044" s="119" t="s">
        <v>32</v>
      </c>
      <c r="G1044" s="119" t="s">
        <v>33</v>
      </c>
      <c r="H1044" s="121">
        <v>295000</v>
      </c>
      <c r="I1044" s="121">
        <v>146800</v>
      </c>
      <c r="J1044" s="122">
        <f t="shared" si="116"/>
        <v>49.762711864406775</v>
      </c>
      <c r="K1044" s="121">
        <v>313126</v>
      </c>
      <c r="L1044" s="121">
        <f>H1044-279206</f>
        <v>15794</v>
      </c>
      <c r="M1044" s="121">
        <v>33920</v>
      </c>
      <c r="N1044" s="123">
        <f t="shared" si="117"/>
        <v>0.11498305084745762</v>
      </c>
      <c r="O1044" s="124">
        <v>80</v>
      </c>
      <c r="P1044" s="125">
        <v>150</v>
      </c>
      <c r="Q1044" s="126">
        <v>0.27500000000000002</v>
      </c>
      <c r="R1044" s="126">
        <v>0.27500000000000002</v>
      </c>
      <c r="S1044" s="121">
        <f t="shared" si="118"/>
        <v>197.42500000000001</v>
      </c>
      <c r="T1044" s="121">
        <f t="shared" si="119"/>
        <v>57432.727272727265</v>
      </c>
      <c r="U1044" s="127">
        <f t="shared" si="120"/>
        <v>1.3184739961599463</v>
      </c>
      <c r="V1044" s="126">
        <v>80</v>
      </c>
      <c r="W1044" s="126">
        <f t="shared" si="121"/>
        <v>59000</v>
      </c>
      <c r="X1044" s="126">
        <f t="shared" si="122"/>
        <v>737.5</v>
      </c>
      <c r="Y1044" s="128" t="s">
        <v>1983</v>
      </c>
      <c r="Z1044" s="119" t="s">
        <v>35</v>
      </c>
      <c r="AA1044" s="119" t="s">
        <v>35</v>
      </c>
      <c r="AB1044" s="119" t="s">
        <v>1984</v>
      </c>
      <c r="AC1044" s="119">
        <v>0</v>
      </c>
      <c r="AD1044" s="119">
        <v>1</v>
      </c>
      <c r="AE1044" s="119" t="s">
        <v>37</v>
      </c>
      <c r="AF1044" s="119" t="s">
        <v>43</v>
      </c>
      <c r="AG1044" s="119" t="s">
        <v>38</v>
      </c>
      <c r="AH1044" s="119" t="s">
        <v>92</v>
      </c>
    </row>
    <row r="1045" spans="1:34" x14ac:dyDescent="0.3">
      <c r="A1045" s="107" t="s">
        <v>1984</v>
      </c>
      <c r="B1045" s="108" t="s">
        <v>1987</v>
      </c>
      <c r="C1045" s="108" t="s">
        <v>1988</v>
      </c>
      <c r="D1045" s="109">
        <v>45603</v>
      </c>
      <c r="E1045" s="110">
        <v>369000</v>
      </c>
      <c r="F1045" s="108" t="s">
        <v>32</v>
      </c>
      <c r="G1045" s="108" t="s">
        <v>33</v>
      </c>
      <c r="H1045" s="110">
        <v>369000</v>
      </c>
      <c r="I1045" s="110">
        <v>17900</v>
      </c>
      <c r="J1045" s="111">
        <f t="shared" si="116"/>
        <v>4.8509485094850948</v>
      </c>
      <c r="K1045" s="110">
        <v>356054</v>
      </c>
      <c r="L1045" s="110">
        <f>H1045-318122</f>
        <v>50878</v>
      </c>
      <c r="M1045" s="110">
        <v>37932</v>
      </c>
      <c r="N1045" s="112">
        <f t="shared" si="117"/>
        <v>0.10279674796747967</v>
      </c>
      <c r="O1045" s="113">
        <v>89.46</v>
      </c>
      <c r="P1045" s="114">
        <v>125</v>
      </c>
      <c r="Q1045" s="115">
        <v>0.28100000000000003</v>
      </c>
      <c r="R1045" s="115">
        <v>0.28100000000000003</v>
      </c>
      <c r="S1045" s="110">
        <f t="shared" si="118"/>
        <v>568.72345182204344</v>
      </c>
      <c r="T1045" s="110">
        <f t="shared" si="119"/>
        <v>181060.49822064055</v>
      </c>
      <c r="U1045" s="116">
        <f t="shared" si="120"/>
        <v>4.156577094137754</v>
      </c>
      <c r="V1045" s="115">
        <v>98</v>
      </c>
      <c r="W1045" s="115">
        <f t="shared" si="121"/>
        <v>73800</v>
      </c>
      <c r="X1045" s="115">
        <f t="shared" si="122"/>
        <v>753.0612244897959</v>
      </c>
      <c r="Y1045" s="117" t="s">
        <v>1983</v>
      </c>
      <c r="Z1045" s="108" t="s">
        <v>35</v>
      </c>
      <c r="AA1045" s="108" t="s">
        <v>35</v>
      </c>
      <c r="AB1045" s="108" t="s">
        <v>1984</v>
      </c>
      <c r="AC1045" s="108">
        <v>0</v>
      </c>
      <c r="AD1045" s="108">
        <v>1</v>
      </c>
      <c r="AE1045" s="108" t="s">
        <v>1989</v>
      </c>
      <c r="AF1045" s="108" t="s">
        <v>35</v>
      </c>
      <c r="AG1045" s="108" t="s">
        <v>38</v>
      </c>
      <c r="AH1045" s="108" t="s">
        <v>92</v>
      </c>
    </row>
    <row r="1046" spans="1:34" x14ac:dyDescent="0.3">
      <c r="A1046" s="118" t="s">
        <v>1984</v>
      </c>
      <c r="B1046" s="119" t="s">
        <v>1981</v>
      </c>
      <c r="C1046" s="119" t="s">
        <v>1982</v>
      </c>
      <c r="D1046" s="120">
        <v>45197</v>
      </c>
      <c r="E1046" s="121">
        <v>305000</v>
      </c>
      <c r="F1046" s="119" t="s">
        <v>32</v>
      </c>
      <c r="G1046" s="119" t="s">
        <v>33</v>
      </c>
      <c r="H1046" s="121">
        <v>305000</v>
      </c>
      <c r="I1046" s="121">
        <v>141500</v>
      </c>
      <c r="J1046" s="122">
        <f t="shared" si="116"/>
        <v>46.393442622950822</v>
      </c>
      <c r="K1046" s="121">
        <v>301023</v>
      </c>
      <c r="L1046" s="121">
        <f>H1046-267103</f>
        <v>37897</v>
      </c>
      <c r="M1046" s="121">
        <v>33920</v>
      </c>
      <c r="N1046" s="123">
        <f t="shared" si="117"/>
        <v>0.11121311475409836</v>
      </c>
      <c r="O1046" s="124">
        <v>80</v>
      </c>
      <c r="P1046" s="125">
        <v>150</v>
      </c>
      <c r="Q1046" s="126">
        <v>0.27500000000000002</v>
      </c>
      <c r="R1046" s="126">
        <v>0.27500000000000002</v>
      </c>
      <c r="S1046" s="121">
        <f t="shared" si="118"/>
        <v>473.71249999999998</v>
      </c>
      <c r="T1046" s="121">
        <f t="shared" si="119"/>
        <v>137807.27272727271</v>
      </c>
      <c r="U1046" s="127">
        <f t="shared" si="120"/>
        <v>3.1636196677518988</v>
      </c>
      <c r="V1046" s="126">
        <v>80</v>
      </c>
      <c r="W1046" s="126">
        <f t="shared" si="121"/>
        <v>61000</v>
      </c>
      <c r="X1046" s="126">
        <f t="shared" si="122"/>
        <v>762.5</v>
      </c>
      <c r="Y1046" s="128" t="s">
        <v>1983</v>
      </c>
      <c r="Z1046" s="119" t="s">
        <v>35</v>
      </c>
      <c r="AA1046" s="119" t="s">
        <v>35</v>
      </c>
      <c r="AB1046" s="119" t="s">
        <v>1984</v>
      </c>
      <c r="AC1046" s="119">
        <v>0</v>
      </c>
      <c r="AD1046" s="119">
        <v>1</v>
      </c>
      <c r="AE1046" s="119" t="s">
        <v>37</v>
      </c>
      <c r="AF1046" s="119" t="s">
        <v>43</v>
      </c>
      <c r="AG1046" s="119" t="s">
        <v>38</v>
      </c>
      <c r="AH1046" s="119" t="s">
        <v>92</v>
      </c>
    </row>
    <row r="1047" spans="1:34" x14ac:dyDescent="0.3">
      <c r="A1047" s="118" t="s">
        <v>1984</v>
      </c>
      <c r="B1047" s="119" t="s">
        <v>1992</v>
      </c>
      <c r="C1047" s="119" t="s">
        <v>1993</v>
      </c>
      <c r="D1047" s="120">
        <v>45387</v>
      </c>
      <c r="E1047" s="121">
        <v>360000</v>
      </c>
      <c r="F1047" s="119" t="s">
        <v>32</v>
      </c>
      <c r="G1047" s="119" t="s">
        <v>33</v>
      </c>
      <c r="H1047" s="121">
        <v>360000</v>
      </c>
      <c r="I1047" s="121">
        <v>179600</v>
      </c>
      <c r="J1047" s="122">
        <f t="shared" si="116"/>
        <v>49.888888888888886</v>
      </c>
      <c r="K1047" s="121">
        <v>361086</v>
      </c>
      <c r="L1047" s="121">
        <f>H1047-327166</f>
        <v>32834</v>
      </c>
      <c r="M1047" s="121">
        <v>33920</v>
      </c>
      <c r="N1047" s="123">
        <f t="shared" si="117"/>
        <v>9.4222222222222221E-2</v>
      </c>
      <c r="O1047" s="124">
        <v>80</v>
      </c>
      <c r="P1047" s="125">
        <v>150</v>
      </c>
      <c r="Q1047" s="126">
        <v>0.27500000000000002</v>
      </c>
      <c r="R1047" s="126">
        <v>0.27500000000000002</v>
      </c>
      <c r="S1047" s="121">
        <f t="shared" si="118"/>
        <v>410.42500000000001</v>
      </c>
      <c r="T1047" s="121">
        <f t="shared" si="119"/>
        <v>119396.36363636363</v>
      </c>
      <c r="U1047" s="127">
        <f t="shared" si="120"/>
        <v>2.7409633525336004</v>
      </c>
      <c r="V1047" s="126">
        <v>80</v>
      </c>
      <c r="W1047" s="126">
        <f t="shared" si="121"/>
        <v>72000</v>
      </c>
      <c r="X1047" s="126">
        <f t="shared" si="122"/>
        <v>900</v>
      </c>
      <c r="Y1047" s="128" t="s">
        <v>1983</v>
      </c>
      <c r="Z1047" s="119" t="s">
        <v>35</v>
      </c>
      <c r="AA1047" s="119" t="s">
        <v>35</v>
      </c>
      <c r="AB1047" s="119" t="s">
        <v>1984</v>
      </c>
      <c r="AC1047" s="119">
        <v>0</v>
      </c>
      <c r="AD1047" s="119">
        <v>1</v>
      </c>
      <c r="AE1047" s="119" t="s">
        <v>37</v>
      </c>
      <c r="AF1047" s="119" t="s">
        <v>43</v>
      </c>
      <c r="AG1047" s="119" t="s">
        <v>38</v>
      </c>
      <c r="AH1047" s="119" t="s">
        <v>92</v>
      </c>
    </row>
    <row r="1048" spans="1:34" x14ac:dyDescent="0.3">
      <c r="A1048" s="118" t="s">
        <v>590</v>
      </c>
      <c r="B1048" s="119" t="s">
        <v>588</v>
      </c>
      <c r="C1048" s="119" t="s">
        <v>589</v>
      </c>
      <c r="D1048" s="120">
        <v>45463</v>
      </c>
      <c r="E1048" s="121">
        <v>240000</v>
      </c>
      <c r="F1048" s="119" t="s">
        <v>32</v>
      </c>
      <c r="G1048" s="119" t="s">
        <v>33</v>
      </c>
      <c r="H1048" s="121">
        <v>240000</v>
      </c>
      <c r="I1048" s="121">
        <v>97000</v>
      </c>
      <c r="J1048" s="122">
        <f t="shared" si="116"/>
        <v>40.416666666666664</v>
      </c>
      <c r="K1048" s="121">
        <v>226964</v>
      </c>
      <c r="L1048" s="121">
        <f>H1048-183751</f>
        <v>56249</v>
      </c>
      <c r="M1048" s="121">
        <v>43213</v>
      </c>
      <c r="N1048" s="123">
        <f t="shared" si="117"/>
        <v>0.18005416666666665</v>
      </c>
      <c r="O1048" s="124">
        <v>270.08</v>
      </c>
      <c r="P1048" s="125">
        <v>100</v>
      </c>
      <c r="Q1048" s="126">
        <v>0.62</v>
      </c>
      <c r="R1048" s="126">
        <v>0.62</v>
      </c>
      <c r="S1048" s="121">
        <f t="shared" si="118"/>
        <v>208.26792061611377</v>
      </c>
      <c r="T1048" s="121">
        <f t="shared" si="119"/>
        <v>90724.193548387091</v>
      </c>
      <c r="U1048" s="127">
        <f t="shared" si="120"/>
        <v>2.0827408987233031</v>
      </c>
      <c r="V1048" s="126">
        <v>270.08</v>
      </c>
      <c r="W1048" s="126">
        <f t="shared" si="121"/>
        <v>48000</v>
      </c>
      <c r="X1048" s="126">
        <f t="shared" si="122"/>
        <v>177.72511848341233</v>
      </c>
      <c r="Y1048" s="128" t="s">
        <v>503</v>
      </c>
      <c r="Z1048" s="119" t="s">
        <v>35</v>
      </c>
      <c r="AA1048" s="119" t="s">
        <v>35</v>
      </c>
      <c r="AB1048" s="119" t="s">
        <v>590</v>
      </c>
      <c r="AC1048" s="119">
        <v>0</v>
      </c>
      <c r="AD1048" s="119">
        <v>1</v>
      </c>
      <c r="AE1048" s="119" t="s">
        <v>412</v>
      </c>
      <c r="AF1048" s="119" t="s">
        <v>43</v>
      </c>
      <c r="AG1048" s="119" t="s">
        <v>38</v>
      </c>
      <c r="AH1048" s="119" t="s">
        <v>591</v>
      </c>
    </row>
    <row r="1049" spans="1:34" x14ac:dyDescent="0.3">
      <c r="A1049" s="107" t="s">
        <v>590</v>
      </c>
      <c r="B1049" s="108" t="s">
        <v>594</v>
      </c>
      <c r="C1049" s="108" t="s">
        <v>595</v>
      </c>
      <c r="D1049" s="109">
        <v>45511</v>
      </c>
      <c r="E1049" s="110">
        <v>135000</v>
      </c>
      <c r="F1049" s="108" t="s">
        <v>32</v>
      </c>
      <c r="G1049" s="108" t="s">
        <v>33</v>
      </c>
      <c r="H1049" s="110">
        <v>135000</v>
      </c>
      <c r="I1049" s="110">
        <v>65500</v>
      </c>
      <c r="J1049" s="111">
        <f t="shared" si="116"/>
        <v>48.518518518518519</v>
      </c>
      <c r="K1049" s="110">
        <v>150327</v>
      </c>
      <c r="L1049" s="110">
        <f>H1049-139806</f>
        <v>-4806</v>
      </c>
      <c r="M1049" s="110">
        <v>10521</v>
      </c>
      <c r="N1049" s="112">
        <f t="shared" si="117"/>
        <v>7.7933333333333327E-2</v>
      </c>
      <c r="O1049" s="113">
        <v>65.75</v>
      </c>
      <c r="P1049" s="114">
        <v>110</v>
      </c>
      <c r="Q1049" s="115">
        <v>0.16600000000000001</v>
      </c>
      <c r="R1049" s="115">
        <v>0.16600000000000001</v>
      </c>
      <c r="S1049" s="110">
        <f t="shared" si="118"/>
        <v>-73.095057034220531</v>
      </c>
      <c r="T1049" s="110">
        <f t="shared" si="119"/>
        <v>-28951.807228915663</v>
      </c>
      <c r="U1049" s="116">
        <f t="shared" si="120"/>
        <v>-0.66464203923130538</v>
      </c>
      <c r="V1049" s="115">
        <v>65.78</v>
      </c>
      <c r="W1049" s="115">
        <f t="shared" si="121"/>
        <v>27000</v>
      </c>
      <c r="X1049" s="115">
        <f t="shared" si="122"/>
        <v>410.45910611127999</v>
      </c>
      <c r="Y1049" s="117" t="s">
        <v>503</v>
      </c>
      <c r="Z1049" s="108" t="s">
        <v>35</v>
      </c>
      <c r="AA1049" s="108" t="s">
        <v>35</v>
      </c>
      <c r="AB1049" s="108" t="s">
        <v>590</v>
      </c>
      <c r="AC1049" s="108">
        <v>0</v>
      </c>
      <c r="AD1049" s="108">
        <v>1</v>
      </c>
      <c r="AE1049" s="108" t="s">
        <v>37</v>
      </c>
      <c r="AF1049" s="108" t="s">
        <v>314</v>
      </c>
      <c r="AG1049" s="108" t="s">
        <v>38</v>
      </c>
      <c r="AH1049" s="108" t="s">
        <v>591</v>
      </c>
    </row>
    <row r="1050" spans="1:34" x14ac:dyDescent="0.3">
      <c r="A1050" s="118" t="s">
        <v>590</v>
      </c>
      <c r="B1050" s="119" t="s">
        <v>592</v>
      </c>
      <c r="C1050" s="119" t="s">
        <v>593</v>
      </c>
      <c r="D1050" s="120">
        <v>45596</v>
      </c>
      <c r="E1050" s="121">
        <v>175000</v>
      </c>
      <c r="F1050" s="119" t="s">
        <v>32</v>
      </c>
      <c r="G1050" s="119" t="s">
        <v>33</v>
      </c>
      <c r="H1050" s="121">
        <v>175000</v>
      </c>
      <c r="I1050" s="121">
        <v>84200</v>
      </c>
      <c r="J1050" s="122">
        <f t="shared" si="116"/>
        <v>48.114285714285714</v>
      </c>
      <c r="K1050" s="121">
        <v>195669</v>
      </c>
      <c r="L1050" s="121">
        <f>H1050-184469</f>
        <v>-9469</v>
      </c>
      <c r="M1050" s="121">
        <v>11200</v>
      </c>
      <c r="N1050" s="123">
        <f t="shared" si="117"/>
        <v>6.4000000000000001E-2</v>
      </c>
      <c r="O1050" s="124">
        <v>70</v>
      </c>
      <c r="P1050" s="125">
        <v>110</v>
      </c>
      <c r="Q1050" s="126">
        <v>0.17699999999999999</v>
      </c>
      <c r="R1050" s="126">
        <v>0.17699999999999999</v>
      </c>
      <c r="S1050" s="121">
        <f t="shared" si="118"/>
        <v>-135.27142857142857</v>
      </c>
      <c r="T1050" s="121">
        <f t="shared" si="119"/>
        <v>-53497.175141242944</v>
      </c>
      <c r="U1050" s="127">
        <f t="shared" si="120"/>
        <v>-1.2281261510845487</v>
      </c>
      <c r="V1050" s="126">
        <v>70</v>
      </c>
      <c r="W1050" s="126">
        <f t="shared" si="121"/>
        <v>35000</v>
      </c>
      <c r="X1050" s="126">
        <f t="shared" si="122"/>
        <v>500</v>
      </c>
      <c r="Y1050" s="128" t="s">
        <v>503</v>
      </c>
      <c r="Z1050" s="119" t="s">
        <v>35</v>
      </c>
      <c r="AA1050" s="119" t="s">
        <v>35</v>
      </c>
      <c r="AB1050" s="119" t="s">
        <v>590</v>
      </c>
      <c r="AC1050" s="119">
        <v>0</v>
      </c>
      <c r="AD1050" s="119">
        <v>1</v>
      </c>
      <c r="AE1050" s="119" t="s">
        <v>42</v>
      </c>
      <c r="AF1050" s="119" t="s">
        <v>35</v>
      </c>
      <c r="AG1050" s="119" t="s">
        <v>38</v>
      </c>
      <c r="AH1050" s="119" t="s">
        <v>591</v>
      </c>
    </row>
    <row r="1051" spans="1:34" x14ac:dyDescent="0.3">
      <c r="A1051" s="107" t="s">
        <v>590</v>
      </c>
      <c r="B1051" s="108" t="s">
        <v>596</v>
      </c>
      <c r="C1051" s="108" t="s">
        <v>597</v>
      </c>
      <c r="D1051" s="109">
        <v>45649</v>
      </c>
      <c r="E1051" s="110">
        <v>145000</v>
      </c>
      <c r="F1051" s="108" t="s">
        <v>32</v>
      </c>
      <c r="G1051" s="108" t="s">
        <v>33</v>
      </c>
      <c r="H1051" s="110">
        <v>145000</v>
      </c>
      <c r="I1051" s="110">
        <v>44200</v>
      </c>
      <c r="J1051" s="111">
        <f t="shared" si="116"/>
        <v>30.482758620689655</v>
      </c>
      <c r="K1051" s="110">
        <v>105925</v>
      </c>
      <c r="L1051" s="110">
        <f>H1051-99205</f>
        <v>45795</v>
      </c>
      <c r="M1051" s="110">
        <v>6720</v>
      </c>
      <c r="N1051" s="112">
        <f t="shared" si="117"/>
        <v>4.6344827586206894E-2</v>
      </c>
      <c r="O1051" s="113">
        <v>42</v>
      </c>
      <c r="P1051" s="114">
        <v>109.79</v>
      </c>
      <c r="Q1051" s="115">
        <v>0.108</v>
      </c>
      <c r="R1051" s="115">
        <v>0.108</v>
      </c>
      <c r="S1051" s="110">
        <f t="shared" si="118"/>
        <v>1090.3571428571429</v>
      </c>
      <c r="T1051" s="110">
        <f t="shared" si="119"/>
        <v>424027.77777777781</v>
      </c>
      <c r="U1051" s="116">
        <f t="shared" si="120"/>
        <v>9.7343383328231816</v>
      </c>
      <c r="V1051" s="115">
        <v>40</v>
      </c>
      <c r="W1051" s="115">
        <f t="shared" si="121"/>
        <v>29000</v>
      </c>
      <c r="X1051" s="115">
        <f t="shared" si="122"/>
        <v>725</v>
      </c>
      <c r="Y1051" s="117" t="s">
        <v>503</v>
      </c>
      <c r="Z1051" s="108" t="s">
        <v>35</v>
      </c>
      <c r="AA1051" s="108" t="s">
        <v>35</v>
      </c>
      <c r="AB1051" s="108" t="s">
        <v>590</v>
      </c>
      <c r="AC1051" s="108">
        <v>0</v>
      </c>
      <c r="AD1051" s="108">
        <v>1</v>
      </c>
      <c r="AE1051" s="108" t="s">
        <v>42</v>
      </c>
      <c r="AF1051" s="108" t="s">
        <v>35</v>
      </c>
      <c r="AG1051" s="108" t="s">
        <v>38</v>
      </c>
      <c r="AH1051" s="108" t="s">
        <v>591</v>
      </c>
    </row>
    <row r="1052" spans="1:34" x14ac:dyDescent="0.3">
      <c r="A1052" s="118" t="s">
        <v>2419</v>
      </c>
      <c r="B1052" s="119" t="s">
        <v>2416</v>
      </c>
      <c r="C1052" s="119" t="s">
        <v>2417</v>
      </c>
      <c r="D1052" s="120">
        <v>45568</v>
      </c>
      <c r="E1052" s="121">
        <v>75000</v>
      </c>
      <c r="F1052" s="119" t="s">
        <v>32</v>
      </c>
      <c r="G1052" s="119" t="s">
        <v>33</v>
      </c>
      <c r="H1052" s="121">
        <v>75000</v>
      </c>
      <c r="I1052" s="121">
        <v>18300</v>
      </c>
      <c r="J1052" s="122">
        <f t="shared" si="116"/>
        <v>24.4</v>
      </c>
      <c r="K1052" s="121">
        <v>42085</v>
      </c>
      <c r="L1052" s="121">
        <f>H1052-0</f>
        <v>75000</v>
      </c>
      <c r="M1052" s="121">
        <v>42085</v>
      </c>
      <c r="N1052" s="123">
        <f t="shared" si="117"/>
        <v>0.56113333333333337</v>
      </c>
      <c r="O1052" s="124">
        <v>95</v>
      </c>
      <c r="P1052" s="125">
        <v>179.82</v>
      </c>
      <c r="Q1052" s="126">
        <v>0.39200000000000002</v>
      </c>
      <c r="R1052" s="126">
        <v>0.39200000000000002</v>
      </c>
      <c r="S1052" s="121">
        <f t="shared" si="118"/>
        <v>789.47368421052636</v>
      </c>
      <c r="T1052" s="121">
        <f t="shared" si="119"/>
        <v>191326.53061224488</v>
      </c>
      <c r="U1052" s="127">
        <f t="shared" si="120"/>
        <v>4.392252768876145</v>
      </c>
      <c r="V1052" s="126">
        <v>95</v>
      </c>
      <c r="W1052" s="126">
        <f t="shared" si="121"/>
        <v>15000</v>
      </c>
      <c r="X1052" s="126">
        <f t="shared" si="122"/>
        <v>157.89473684210526</v>
      </c>
      <c r="Y1052" s="128" t="s">
        <v>2418</v>
      </c>
      <c r="Z1052" s="119" t="s">
        <v>35</v>
      </c>
      <c r="AA1052" s="119" t="s">
        <v>35</v>
      </c>
      <c r="AB1052" s="119" t="s">
        <v>2419</v>
      </c>
      <c r="AC1052" s="119">
        <v>0</v>
      </c>
      <c r="AD1052" s="119">
        <v>1</v>
      </c>
      <c r="AE1052" s="119" t="s">
        <v>37</v>
      </c>
      <c r="AF1052" s="119" t="s">
        <v>43</v>
      </c>
      <c r="AG1052" s="119" t="s">
        <v>61</v>
      </c>
      <c r="AH1052" s="119" t="s">
        <v>92</v>
      </c>
    </row>
    <row r="1053" spans="1:34" x14ac:dyDescent="0.3">
      <c r="A1053" s="118" t="s">
        <v>2419</v>
      </c>
      <c r="B1053" s="119" t="s">
        <v>2420</v>
      </c>
      <c r="C1053" s="119" t="s">
        <v>2421</v>
      </c>
      <c r="D1053" s="120">
        <v>45086</v>
      </c>
      <c r="E1053" s="121">
        <v>515000</v>
      </c>
      <c r="F1053" s="119" t="s">
        <v>32</v>
      </c>
      <c r="G1053" s="119" t="s">
        <v>33</v>
      </c>
      <c r="H1053" s="121">
        <v>515000</v>
      </c>
      <c r="I1053" s="121">
        <v>178700</v>
      </c>
      <c r="J1053" s="122">
        <f t="shared" si="116"/>
        <v>34.699029126213595</v>
      </c>
      <c r="K1053" s="121">
        <v>480803</v>
      </c>
      <c r="L1053" s="121">
        <f>H1053-436503</f>
        <v>78497</v>
      </c>
      <c r="M1053" s="121">
        <v>44300</v>
      </c>
      <c r="N1053" s="123">
        <f t="shared" si="117"/>
        <v>8.6019417475728152E-2</v>
      </c>
      <c r="O1053" s="124">
        <v>100</v>
      </c>
      <c r="P1053" s="125">
        <v>199.55</v>
      </c>
      <c r="Q1053" s="126">
        <v>0.45800000000000002</v>
      </c>
      <c r="R1053" s="126">
        <v>0.45800000000000002</v>
      </c>
      <c r="S1053" s="121">
        <f t="shared" si="118"/>
        <v>784.97</v>
      </c>
      <c r="T1053" s="121">
        <f t="shared" si="119"/>
        <v>171390.82969432313</v>
      </c>
      <c r="U1053" s="127">
        <f t="shared" si="120"/>
        <v>3.9345920499155906</v>
      </c>
      <c r="V1053" s="126">
        <v>100</v>
      </c>
      <c r="W1053" s="126">
        <f t="shared" si="121"/>
        <v>103000</v>
      </c>
      <c r="X1053" s="126">
        <f t="shared" si="122"/>
        <v>1030</v>
      </c>
      <c r="Y1053" s="128" t="s">
        <v>2418</v>
      </c>
      <c r="Z1053" s="119" t="s">
        <v>35</v>
      </c>
      <c r="AA1053" s="119" t="s">
        <v>35</v>
      </c>
      <c r="AB1053" s="119" t="s">
        <v>2419</v>
      </c>
      <c r="AC1053" s="119">
        <v>0</v>
      </c>
      <c r="AD1053" s="119">
        <v>1</v>
      </c>
      <c r="AE1053" s="119" t="s">
        <v>37</v>
      </c>
      <c r="AF1053" s="119" t="s">
        <v>43</v>
      </c>
      <c r="AG1053" s="119" t="s">
        <v>38</v>
      </c>
      <c r="AH1053" s="119" t="s">
        <v>92</v>
      </c>
    </row>
    <row r="1054" spans="1:34" x14ac:dyDescent="0.3">
      <c r="A1054" s="107" t="s">
        <v>2419</v>
      </c>
      <c r="B1054" s="108" t="s">
        <v>2424</v>
      </c>
      <c r="C1054" s="108" t="s">
        <v>2425</v>
      </c>
      <c r="D1054" s="109">
        <v>45413</v>
      </c>
      <c r="E1054" s="110">
        <v>505000</v>
      </c>
      <c r="F1054" s="108" t="s">
        <v>32</v>
      </c>
      <c r="G1054" s="108" t="s">
        <v>33</v>
      </c>
      <c r="H1054" s="110">
        <v>505000</v>
      </c>
      <c r="I1054" s="110">
        <v>195600</v>
      </c>
      <c r="J1054" s="111">
        <f t="shared" si="116"/>
        <v>38.732673267326732</v>
      </c>
      <c r="K1054" s="110">
        <v>457532</v>
      </c>
      <c r="L1054" s="110">
        <f>H1054-415004</f>
        <v>89996</v>
      </c>
      <c r="M1054" s="110">
        <v>42528</v>
      </c>
      <c r="N1054" s="112">
        <f t="shared" si="117"/>
        <v>8.4213861386138608E-2</v>
      </c>
      <c r="O1054" s="113">
        <v>96</v>
      </c>
      <c r="P1054" s="114">
        <v>171</v>
      </c>
      <c r="Q1054" s="115">
        <v>0.377</v>
      </c>
      <c r="R1054" s="115">
        <v>0.377</v>
      </c>
      <c r="S1054" s="110">
        <f t="shared" si="118"/>
        <v>937.45833333333337</v>
      </c>
      <c r="T1054" s="110">
        <f t="shared" si="119"/>
        <v>238716.18037135279</v>
      </c>
      <c r="U1054" s="116">
        <f t="shared" si="120"/>
        <v>5.4801694300126904</v>
      </c>
      <c r="V1054" s="115">
        <v>96</v>
      </c>
      <c r="W1054" s="115">
        <f t="shared" si="121"/>
        <v>101000</v>
      </c>
      <c r="X1054" s="115">
        <f t="shared" si="122"/>
        <v>1052.0833333333333</v>
      </c>
      <c r="Y1054" s="117" t="s">
        <v>2418</v>
      </c>
      <c r="Z1054" s="108" t="s">
        <v>35</v>
      </c>
      <c r="AA1054" s="108" t="s">
        <v>35</v>
      </c>
      <c r="AB1054" s="108" t="s">
        <v>2419</v>
      </c>
      <c r="AC1054" s="108">
        <v>0</v>
      </c>
      <c r="AD1054" s="108">
        <v>1</v>
      </c>
      <c r="AE1054" s="108" t="s">
        <v>37</v>
      </c>
      <c r="AF1054" s="108" t="s">
        <v>43</v>
      </c>
      <c r="AG1054" s="108" t="s">
        <v>38</v>
      </c>
      <c r="AH1054" s="108" t="s">
        <v>92</v>
      </c>
    </row>
    <row r="1055" spans="1:34" x14ac:dyDescent="0.3">
      <c r="A1055" s="107" t="s">
        <v>2419</v>
      </c>
      <c r="B1055" s="108" t="s">
        <v>2422</v>
      </c>
      <c r="C1055" s="108" t="s">
        <v>2423</v>
      </c>
      <c r="D1055" s="109">
        <v>45169</v>
      </c>
      <c r="E1055" s="110">
        <v>520000</v>
      </c>
      <c r="F1055" s="108" t="s">
        <v>32</v>
      </c>
      <c r="G1055" s="108" t="s">
        <v>33</v>
      </c>
      <c r="H1055" s="110">
        <v>520000</v>
      </c>
      <c r="I1055" s="110">
        <v>177400</v>
      </c>
      <c r="J1055" s="111">
        <f t="shared" si="116"/>
        <v>34.115384615384613</v>
      </c>
      <c r="K1055" s="110">
        <v>477215</v>
      </c>
      <c r="L1055" s="110">
        <f>H1055-434687</f>
        <v>85313</v>
      </c>
      <c r="M1055" s="110">
        <v>42528</v>
      </c>
      <c r="N1055" s="112">
        <f t="shared" si="117"/>
        <v>8.1784615384615386E-2</v>
      </c>
      <c r="O1055" s="113">
        <v>96</v>
      </c>
      <c r="P1055" s="114">
        <v>164.5</v>
      </c>
      <c r="Q1055" s="115">
        <v>0.36299999999999999</v>
      </c>
      <c r="R1055" s="115">
        <v>0.36299999999999999</v>
      </c>
      <c r="S1055" s="110">
        <f t="shared" si="118"/>
        <v>888.67708333333337</v>
      </c>
      <c r="T1055" s="110">
        <f t="shared" si="119"/>
        <v>235022.03856749312</v>
      </c>
      <c r="U1055" s="116">
        <f t="shared" si="120"/>
        <v>5.3953636034778034</v>
      </c>
      <c r="V1055" s="115">
        <v>96</v>
      </c>
      <c r="W1055" s="115">
        <f t="shared" si="121"/>
        <v>104000</v>
      </c>
      <c r="X1055" s="115">
        <f t="shared" si="122"/>
        <v>1083.3333333333333</v>
      </c>
      <c r="Y1055" s="117" t="s">
        <v>2418</v>
      </c>
      <c r="Z1055" s="108" t="s">
        <v>35</v>
      </c>
      <c r="AA1055" s="108" t="s">
        <v>35</v>
      </c>
      <c r="AB1055" s="108" t="s">
        <v>2419</v>
      </c>
      <c r="AC1055" s="108">
        <v>0</v>
      </c>
      <c r="AD1055" s="108">
        <v>1</v>
      </c>
      <c r="AE1055" s="108" t="s">
        <v>37</v>
      </c>
      <c r="AF1055" s="108" t="s">
        <v>43</v>
      </c>
      <c r="AG1055" s="108" t="s">
        <v>38</v>
      </c>
      <c r="AH1055" s="108" t="s">
        <v>92</v>
      </c>
    </row>
    <row r="1056" spans="1:34" x14ac:dyDescent="0.3">
      <c r="A1056" s="107" t="s">
        <v>2341</v>
      </c>
      <c r="B1056" s="108" t="s">
        <v>2346</v>
      </c>
      <c r="C1056" s="108" t="s">
        <v>2347</v>
      </c>
      <c r="D1056" s="109">
        <v>45610</v>
      </c>
      <c r="E1056" s="110">
        <v>260000</v>
      </c>
      <c r="F1056" s="108" t="s">
        <v>32</v>
      </c>
      <c r="G1056" s="108" t="s">
        <v>33</v>
      </c>
      <c r="H1056" s="110">
        <v>260000</v>
      </c>
      <c r="I1056" s="110">
        <v>105900</v>
      </c>
      <c r="J1056" s="111">
        <f t="shared" si="116"/>
        <v>40.730769230769234</v>
      </c>
      <c r="K1056" s="110">
        <v>234471</v>
      </c>
      <c r="L1056" s="110">
        <f>H1056-214471</f>
        <v>45529</v>
      </c>
      <c r="M1056" s="110">
        <v>20000</v>
      </c>
      <c r="N1056" s="112">
        <f t="shared" si="117"/>
        <v>7.6923076923076927E-2</v>
      </c>
      <c r="O1056" s="113">
        <v>0</v>
      </c>
      <c r="P1056" s="114">
        <v>0</v>
      </c>
      <c r="Q1056" s="115">
        <v>0</v>
      </c>
      <c r="R1056" s="115">
        <v>0</v>
      </c>
      <c r="S1056" s="110" t="e">
        <f t="shared" si="118"/>
        <v>#DIV/0!</v>
      </c>
      <c r="T1056" s="110" t="e">
        <f t="shared" si="119"/>
        <v>#DIV/0!</v>
      </c>
      <c r="U1056" s="116" t="e">
        <f t="shared" si="120"/>
        <v>#DIV/0!</v>
      </c>
      <c r="V1056" s="115">
        <v>0</v>
      </c>
      <c r="W1056" s="115">
        <f t="shared" si="121"/>
        <v>52000</v>
      </c>
      <c r="X1056" s="115"/>
      <c r="Y1056" s="117" t="s">
        <v>2340</v>
      </c>
      <c r="Z1056" s="108" t="s">
        <v>35</v>
      </c>
      <c r="AA1056" s="108" t="s">
        <v>35</v>
      </c>
      <c r="AB1056" s="108" t="s">
        <v>2341</v>
      </c>
      <c r="AC1056" s="108">
        <v>0</v>
      </c>
      <c r="AD1056" s="108">
        <v>1</v>
      </c>
      <c r="AE1056" s="108" t="s">
        <v>37</v>
      </c>
      <c r="AF1056" s="108" t="s">
        <v>35</v>
      </c>
      <c r="AG1056" s="108" t="s">
        <v>38</v>
      </c>
      <c r="AH1056" s="108" t="s">
        <v>2319</v>
      </c>
    </row>
    <row r="1057" spans="1:34" x14ac:dyDescent="0.3">
      <c r="A1057" s="118" t="s">
        <v>2341</v>
      </c>
      <c r="B1057" s="119" t="s">
        <v>2356</v>
      </c>
      <c r="C1057" s="119" t="s">
        <v>2357</v>
      </c>
      <c r="D1057" s="120">
        <v>45519</v>
      </c>
      <c r="E1057" s="121">
        <v>259900</v>
      </c>
      <c r="F1057" s="119" t="s">
        <v>32</v>
      </c>
      <c r="G1057" s="119" t="s">
        <v>33</v>
      </c>
      <c r="H1057" s="121">
        <v>259900</v>
      </c>
      <c r="I1057" s="121">
        <v>95000</v>
      </c>
      <c r="J1057" s="122">
        <f t="shared" si="116"/>
        <v>36.552520200076955</v>
      </c>
      <c r="K1057" s="121">
        <v>209873</v>
      </c>
      <c r="L1057" s="121">
        <f>H1057-189873</f>
        <v>70027</v>
      </c>
      <c r="M1057" s="121">
        <v>20000</v>
      </c>
      <c r="N1057" s="123">
        <f t="shared" si="117"/>
        <v>7.6952674105425167E-2</v>
      </c>
      <c r="O1057" s="124">
        <v>0</v>
      </c>
      <c r="P1057" s="125">
        <v>0</v>
      </c>
      <c r="Q1057" s="126">
        <v>0</v>
      </c>
      <c r="R1057" s="126">
        <v>0</v>
      </c>
      <c r="S1057" s="121" t="e">
        <f t="shared" si="118"/>
        <v>#DIV/0!</v>
      </c>
      <c r="T1057" s="121" t="e">
        <f t="shared" si="119"/>
        <v>#DIV/0!</v>
      </c>
      <c r="U1057" s="127" t="e">
        <f t="shared" si="120"/>
        <v>#DIV/0!</v>
      </c>
      <c r="V1057" s="126">
        <v>0</v>
      </c>
      <c r="W1057" s="126">
        <f t="shared" si="121"/>
        <v>51980</v>
      </c>
      <c r="X1057" s="126"/>
      <c r="Y1057" s="128" t="s">
        <v>2340</v>
      </c>
      <c r="Z1057" s="119" t="s">
        <v>35</v>
      </c>
      <c r="AA1057" s="119" t="s">
        <v>35</v>
      </c>
      <c r="AB1057" s="119" t="s">
        <v>2341</v>
      </c>
      <c r="AC1057" s="119">
        <v>0</v>
      </c>
      <c r="AD1057" s="119">
        <v>1</v>
      </c>
      <c r="AE1057" s="119" t="s">
        <v>37</v>
      </c>
      <c r="AF1057" s="119" t="s">
        <v>43</v>
      </c>
      <c r="AG1057" s="119" t="s">
        <v>38</v>
      </c>
      <c r="AH1057" s="119" t="s">
        <v>2319</v>
      </c>
    </row>
    <row r="1058" spans="1:34" x14ac:dyDescent="0.3">
      <c r="A1058" s="118" t="s">
        <v>2341</v>
      </c>
      <c r="B1058" s="119" t="s">
        <v>2342</v>
      </c>
      <c r="C1058" s="119" t="s">
        <v>2343</v>
      </c>
      <c r="D1058" s="120">
        <v>45373</v>
      </c>
      <c r="E1058" s="121">
        <v>245000</v>
      </c>
      <c r="F1058" s="119" t="s">
        <v>32</v>
      </c>
      <c r="G1058" s="119" t="s">
        <v>33</v>
      </c>
      <c r="H1058" s="121">
        <v>245000</v>
      </c>
      <c r="I1058" s="121">
        <v>98700</v>
      </c>
      <c r="J1058" s="122">
        <f t="shared" si="116"/>
        <v>40.285714285714285</v>
      </c>
      <c r="K1058" s="121">
        <v>233989</v>
      </c>
      <c r="L1058" s="121">
        <f>H1058-213989</f>
        <v>31011</v>
      </c>
      <c r="M1058" s="121">
        <v>20000</v>
      </c>
      <c r="N1058" s="123">
        <f t="shared" si="117"/>
        <v>8.1632653061224483E-2</v>
      </c>
      <c r="O1058" s="124">
        <v>0</v>
      </c>
      <c r="P1058" s="125">
        <v>0</v>
      </c>
      <c r="Q1058" s="126">
        <v>0</v>
      </c>
      <c r="R1058" s="126">
        <v>0</v>
      </c>
      <c r="S1058" s="121" t="e">
        <f t="shared" si="118"/>
        <v>#DIV/0!</v>
      </c>
      <c r="T1058" s="121" t="e">
        <f t="shared" si="119"/>
        <v>#DIV/0!</v>
      </c>
      <c r="U1058" s="127" t="e">
        <f t="shared" si="120"/>
        <v>#DIV/0!</v>
      </c>
      <c r="V1058" s="126">
        <v>0</v>
      </c>
      <c r="W1058" s="126">
        <f t="shared" si="121"/>
        <v>49000</v>
      </c>
      <c r="X1058" s="126"/>
      <c r="Y1058" s="128" t="s">
        <v>2340</v>
      </c>
      <c r="Z1058" s="119" t="s">
        <v>35</v>
      </c>
      <c r="AA1058" s="119" t="s">
        <v>35</v>
      </c>
      <c r="AB1058" s="119" t="s">
        <v>2341</v>
      </c>
      <c r="AC1058" s="119">
        <v>0</v>
      </c>
      <c r="AD1058" s="119">
        <v>1</v>
      </c>
      <c r="AE1058" s="119" t="s">
        <v>37</v>
      </c>
      <c r="AF1058" s="119" t="s">
        <v>43</v>
      </c>
      <c r="AG1058" s="119" t="s">
        <v>38</v>
      </c>
      <c r="AH1058" s="119" t="s">
        <v>2319</v>
      </c>
    </row>
    <row r="1059" spans="1:34" x14ac:dyDescent="0.3">
      <c r="A1059" s="118" t="s">
        <v>2341</v>
      </c>
      <c r="B1059" s="119" t="s">
        <v>2354</v>
      </c>
      <c r="C1059" s="119" t="s">
        <v>2355</v>
      </c>
      <c r="D1059" s="120">
        <v>45712</v>
      </c>
      <c r="E1059" s="121">
        <v>239900</v>
      </c>
      <c r="F1059" s="119" t="s">
        <v>32</v>
      </c>
      <c r="G1059" s="119" t="s">
        <v>33</v>
      </c>
      <c r="H1059" s="121">
        <v>239900</v>
      </c>
      <c r="I1059" s="121">
        <v>101900</v>
      </c>
      <c r="J1059" s="122">
        <f t="shared" si="116"/>
        <v>42.476031679866608</v>
      </c>
      <c r="K1059" s="121">
        <v>225378</v>
      </c>
      <c r="L1059" s="121">
        <f>H1059-205378</f>
        <v>34522</v>
      </c>
      <c r="M1059" s="121">
        <v>20000</v>
      </c>
      <c r="N1059" s="123">
        <f t="shared" si="117"/>
        <v>8.3368070029178828E-2</v>
      </c>
      <c r="O1059" s="124">
        <v>0</v>
      </c>
      <c r="P1059" s="125">
        <v>0</v>
      </c>
      <c r="Q1059" s="126">
        <v>0</v>
      </c>
      <c r="R1059" s="126">
        <v>0</v>
      </c>
      <c r="S1059" s="121" t="e">
        <f t="shared" si="118"/>
        <v>#DIV/0!</v>
      </c>
      <c r="T1059" s="121" t="e">
        <f t="shared" si="119"/>
        <v>#DIV/0!</v>
      </c>
      <c r="U1059" s="127" t="e">
        <f t="shared" si="120"/>
        <v>#DIV/0!</v>
      </c>
      <c r="V1059" s="126">
        <v>0</v>
      </c>
      <c r="W1059" s="126">
        <f t="shared" si="121"/>
        <v>47980</v>
      </c>
      <c r="X1059" s="126"/>
      <c r="Y1059" s="128" t="s">
        <v>2340</v>
      </c>
      <c r="Z1059" s="119" t="s">
        <v>35</v>
      </c>
      <c r="AA1059" s="119" t="s">
        <v>35</v>
      </c>
      <c r="AB1059" s="119" t="s">
        <v>2341</v>
      </c>
      <c r="AC1059" s="119">
        <v>0</v>
      </c>
      <c r="AD1059" s="119">
        <v>1</v>
      </c>
      <c r="AE1059" s="119" t="s">
        <v>37</v>
      </c>
      <c r="AF1059" s="119" t="s">
        <v>35</v>
      </c>
      <c r="AG1059" s="119" t="s">
        <v>38</v>
      </c>
      <c r="AH1059" s="119" t="s">
        <v>2319</v>
      </c>
    </row>
    <row r="1060" spans="1:34" x14ac:dyDescent="0.3">
      <c r="A1060" s="107" t="s">
        <v>2341</v>
      </c>
      <c r="B1060" s="108" t="s">
        <v>2350</v>
      </c>
      <c r="C1060" s="108" t="s">
        <v>2351</v>
      </c>
      <c r="D1060" s="109">
        <v>45112</v>
      </c>
      <c r="E1060" s="110">
        <v>235000</v>
      </c>
      <c r="F1060" s="108" t="s">
        <v>32</v>
      </c>
      <c r="G1060" s="108" t="s">
        <v>33</v>
      </c>
      <c r="H1060" s="110">
        <v>235000</v>
      </c>
      <c r="I1060" s="110">
        <v>99800</v>
      </c>
      <c r="J1060" s="111">
        <f t="shared" si="116"/>
        <v>42.468085106382979</v>
      </c>
      <c r="K1060" s="110">
        <v>236751</v>
      </c>
      <c r="L1060" s="110">
        <f>H1060-216751</f>
        <v>18249</v>
      </c>
      <c r="M1060" s="110">
        <v>20000</v>
      </c>
      <c r="N1060" s="112">
        <f t="shared" si="117"/>
        <v>8.5106382978723402E-2</v>
      </c>
      <c r="O1060" s="113">
        <v>0</v>
      </c>
      <c r="P1060" s="114">
        <v>0</v>
      </c>
      <c r="Q1060" s="115">
        <v>0</v>
      </c>
      <c r="R1060" s="115">
        <v>0</v>
      </c>
      <c r="S1060" s="110" t="e">
        <f t="shared" si="118"/>
        <v>#DIV/0!</v>
      </c>
      <c r="T1060" s="110" t="e">
        <f t="shared" si="119"/>
        <v>#DIV/0!</v>
      </c>
      <c r="U1060" s="116" t="e">
        <f t="shared" si="120"/>
        <v>#DIV/0!</v>
      </c>
      <c r="V1060" s="115">
        <v>0</v>
      </c>
      <c r="W1060" s="115">
        <f t="shared" si="121"/>
        <v>47000</v>
      </c>
      <c r="X1060" s="115"/>
      <c r="Y1060" s="117" t="s">
        <v>2340</v>
      </c>
      <c r="Z1060" s="108" t="s">
        <v>35</v>
      </c>
      <c r="AA1060" s="108" t="s">
        <v>35</v>
      </c>
      <c r="AB1060" s="108" t="s">
        <v>2341</v>
      </c>
      <c r="AC1060" s="108">
        <v>0</v>
      </c>
      <c r="AD1060" s="108">
        <v>1</v>
      </c>
      <c r="AE1060" s="108" t="s">
        <v>37</v>
      </c>
      <c r="AF1060" s="108" t="s">
        <v>43</v>
      </c>
      <c r="AG1060" s="108" t="s">
        <v>38</v>
      </c>
      <c r="AH1060" s="108" t="s">
        <v>2319</v>
      </c>
    </row>
    <row r="1061" spans="1:34" x14ac:dyDescent="0.3">
      <c r="A1061" s="107" t="s">
        <v>2341</v>
      </c>
      <c r="B1061" s="108" t="s">
        <v>2352</v>
      </c>
      <c r="C1061" s="108" t="s">
        <v>2353</v>
      </c>
      <c r="D1061" s="109">
        <v>45534</v>
      </c>
      <c r="E1061" s="110">
        <v>235000</v>
      </c>
      <c r="F1061" s="108" t="s">
        <v>32</v>
      </c>
      <c r="G1061" s="108" t="s">
        <v>33</v>
      </c>
      <c r="H1061" s="110">
        <v>235000</v>
      </c>
      <c r="I1061" s="110">
        <v>102500</v>
      </c>
      <c r="J1061" s="111">
        <f t="shared" si="116"/>
        <v>43.61702127659575</v>
      </c>
      <c r="K1061" s="110">
        <v>226828</v>
      </c>
      <c r="L1061" s="110">
        <f>H1061-206828</f>
        <v>28172</v>
      </c>
      <c r="M1061" s="110">
        <v>20000</v>
      </c>
      <c r="N1061" s="112">
        <f t="shared" si="117"/>
        <v>8.5106382978723402E-2</v>
      </c>
      <c r="O1061" s="113">
        <v>0</v>
      </c>
      <c r="P1061" s="114">
        <v>0</v>
      </c>
      <c r="Q1061" s="115">
        <v>0</v>
      </c>
      <c r="R1061" s="115">
        <v>0</v>
      </c>
      <c r="S1061" s="110" t="e">
        <f t="shared" si="118"/>
        <v>#DIV/0!</v>
      </c>
      <c r="T1061" s="110" t="e">
        <f t="shared" si="119"/>
        <v>#DIV/0!</v>
      </c>
      <c r="U1061" s="116" t="e">
        <f t="shared" si="120"/>
        <v>#DIV/0!</v>
      </c>
      <c r="V1061" s="115">
        <v>0</v>
      </c>
      <c r="W1061" s="115">
        <f t="shared" si="121"/>
        <v>47000</v>
      </c>
      <c r="X1061" s="115"/>
      <c r="Y1061" s="117" t="s">
        <v>2340</v>
      </c>
      <c r="Z1061" s="108" t="s">
        <v>35</v>
      </c>
      <c r="AA1061" s="108" t="s">
        <v>35</v>
      </c>
      <c r="AB1061" s="108" t="s">
        <v>2341</v>
      </c>
      <c r="AC1061" s="108">
        <v>0</v>
      </c>
      <c r="AD1061" s="108">
        <v>1</v>
      </c>
      <c r="AE1061" s="108" t="s">
        <v>37</v>
      </c>
      <c r="AF1061" s="108" t="s">
        <v>43</v>
      </c>
      <c r="AG1061" s="108" t="s">
        <v>38</v>
      </c>
      <c r="AH1061" s="108" t="s">
        <v>2319</v>
      </c>
    </row>
    <row r="1062" spans="1:34" x14ac:dyDescent="0.3">
      <c r="A1062" s="118" t="s">
        <v>2341</v>
      </c>
      <c r="B1062" s="119" t="s">
        <v>2348</v>
      </c>
      <c r="C1062" s="119" t="s">
        <v>2349</v>
      </c>
      <c r="D1062" s="120">
        <v>45097</v>
      </c>
      <c r="E1062" s="121">
        <v>232000</v>
      </c>
      <c r="F1062" s="119" t="s">
        <v>32</v>
      </c>
      <c r="G1062" s="119" t="s">
        <v>33</v>
      </c>
      <c r="H1062" s="121">
        <v>232000</v>
      </c>
      <c r="I1062" s="121">
        <v>0</v>
      </c>
      <c r="J1062" s="122">
        <f t="shared" si="116"/>
        <v>0</v>
      </c>
      <c r="K1062" s="121">
        <v>223623</v>
      </c>
      <c r="L1062" s="121">
        <f>H1062-203623</f>
        <v>28377</v>
      </c>
      <c r="M1062" s="121">
        <v>20000</v>
      </c>
      <c r="N1062" s="123">
        <f t="shared" si="117"/>
        <v>8.6206896551724144E-2</v>
      </c>
      <c r="O1062" s="124">
        <v>0</v>
      </c>
      <c r="P1062" s="125">
        <v>0</v>
      </c>
      <c r="Q1062" s="126">
        <v>0</v>
      </c>
      <c r="R1062" s="126">
        <v>0</v>
      </c>
      <c r="S1062" s="121" t="e">
        <f t="shared" si="118"/>
        <v>#DIV/0!</v>
      </c>
      <c r="T1062" s="121" t="e">
        <f t="shared" si="119"/>
        <v>#DIV/0!</v>
      </c>
      <c r="U1062" s="127" t="e">
        <f t="shared" si="120"/>
        <v>#DIV/0!</v>
      </c>
      <c r="V1062" s="126">
        <v>0</v>
      </c>
      <c r="W1062" s="126">
        <f t="shared" si="121"/>
        <v>46400</v>
      </c>
      <c r="X1062" s="126"/>
      <c r="Y1062" s="128" t="s">
        <v>2340</v>
      </c>
      <c r="Z1062" s="119" t="s">
        <v>35</v>
      </c>
      <c r="AA1062" s="119" t="s">
        <v>35</v>
      </c>
      <c r="AB1062" s="119" t="s">
        <v>2341</v>
      </c>
      <c r="AC1062" s="119">
        <v>0</v>
      </c>
      <c r="AD1062" s="119">
        <v>1</v>
      </c>
      <c r="AE1062" s="119" t="s">
        <v>37</v>
      </c>
      <c r="AF1062" s="119" t="s">
        <v>1280</v>
      </c>
      <c r="AG1062" s="119" t="s">
        <v>38</v>
      </c>
      <c r="AH1062" s="119" t="s">
        <v>2319</v>
      </c>
    </row>
    <row r="1063" spans="1:34" x14ac:dyDescent="0.3">
      <c r="A1063" s="107" t="s">
        <v>2341</v>
      </c>
      <c r="B1063" s="108" t="s">
        <v>2344</v>
      </c>
      <c r="C1063" s="108" t="s">
        <v>2345</v>
      </c>
      <c r="D1063" s="109">
        <v>45226</v>
      </c>
      <c r="E1063" s="110">
        <v>228000</v>
      </c>
      <c r="F1063" s="108" t="s">
        <v>32</v>
      </c>
      <c r="G1063" s="108" t="s">
        <v>33</v>
      </c>
      <c r="H1063" s="110">
        <v>228000</v>
      </c>
      <c r="I1063" s="110">
        <v>94600</v>
      </c>
      <c r="J1063" s="111">
        <f t="shared" si="116"/>
        <v>41.491228070175438</v>
      </c>
      <c r="K1063" s="110">
        <v>224193</v>
      </c>
      <c r="L1063" s="110">
        <f>H1063-204193</f>
        <v>23807</v>
      </c>
      <c r="M1063" s="110">
        <v>20000</v>
      </c>
      <c r="N1063" s="112">
        <f t="shared" si="117"/>
        <v>8.771929824561403E-2</v>
      </c>
      <c r="O1063" s="113">
        <v>0</v>
      </c>
      <c r="P1063" s="114">
        <v>0</v>
      </c>
      <c r="Q1063" s="115">
        <v>0</v>
      </c>
      <c r="R1063" s="115">
        <v>0</v>
      </c>
      <c r="S1063" s="110" t="e">
        <f t="shared" si="118"/>
        <v>#DIV/0!</v>
      </c>
      <c r="T1063" s="110" t="e">
        <f t="shared" si="119"/>
        <v>#DIV/0!</v>
      </c>
      <c r="U1063" s="116" t="e">
        <f t="shared" si="120"/>
        <v>#DIV/0!</v>
      </c>
      <c r="V1063" s="115">
        <v>0</v>
      </c>
      <c r="W1063" s="115">
        <f t="shared" si="121"/>
        <v>45600</v>
      </c>
      <c r="X1063" s="115"/>
      <c r="Y1063" s="117" t="s">
        <v>2340</v>
      </c>
      <c r="Z1063" s="108" t="s">
        <v>35</v>
      </c>
      <c r="AA1063" s="108" t="s">
        <v>35</v>
      </c>
      <c r="AB1063" s="108" t="s">
        <v>2341</v>
      </c>
      <c r="AC1063" s="108">
        <v>0</v>
      </c>
      <c r="AD1063" s="108">
        <v>1</v>
      </c>
      <c r="AE1063" s="108" t="s">
        <v>37</v>
      </c>
      <c r="AF1063" s="108" t="s">
        <v>43</v>
      </c>
      <c r="AG1063" s="108" t="s">
        <v>38</v>
      </c>
      <c r="AH1063" s="108" t="s">
        <v>2319</v>
      </c>
    </row>
    <row r="1064" spans="1:34" x14ac:dyDescent="0.3">
      <c r="A1064" s="118" t="s">
        <v>2341</v>
      </c>
      <c r="B1064" s="119" t="s">
        <v>2338</v>
      </c>
      <c r="C1064" s="119" t="s">
        <v>2339</v>
      </c>
      <c r="D1064" s="120">
        <v>45065</v>
      </c>
      <c r="E1064" s="121">
        <v>207000</v>
      </c>
      <c r="F1064" s="119" t="s">
        <v>32</v>
      </c>
      <c r="G1064" s="119" t="s">
        <v>33</v>
      </c>
      <c r="H1064" s="121">
        <v>207000</v>
      </c>
      <c r="I1064" s="121">
        <v>95900</v>
      </c>
      <c r="J1064" s="122">
        <f t="shared" si="116"/>
        <v>46.328502415458942</v>
      </c>
      <c r="K1064" s="121">
        <v>227014</v>
      </c>
      <c r="L1064" s="121">
        <f>H1064-207014</f>
        <v>-14</v>
      </c>
      <c r="M1064" s="121">
        <v>20000</v>
      </c>
      <c r="N1064" s="123">
        <f t="shared" si="117"/>
        <v>9.6618357487922704E-2</v>
      </c>
      <c r="O1064" s="124">
        <v>0</v>
      </c>
      <c r="P1064" s="125">
        <v>0</v>
      </c>
      <c r="Q1064" s="126">
        <v>0</v>
      </c>
      <c r="R1064" s="126">
        <v>0</v>
      </c>
      <c r="S1064" s="121" t="e">
        <f t="shared" si="118"/>
        <v>#DIV/0!</v>
      </c>
      <c r="T1064" s="121" t="e">
        <f t="shared" si="119"/>
        <v>#DIV/0!</v>
      </c>
      <c r="U1064" s="127" t="e">
        <f t="shared" si="120"/>
        <v>#DIV/0!</v>
      </c>
      <c r="V1064" s="126">
        <v>0</v>
      </c>
      <c r="W1064" s="126">
        <f t="shared" si="121"/>
        <v>41400</v>
      </c>
      <c r="X1064" s="126"/>
      <c r="Y1064" s="128" t="s">
        <v>2340</v>
      </c>
      <c r="Z1064" s="119" t="s">
        <v>35</v>
      </c>
      <c r="AA1064" s="119" t="s">
        <v>35</v>
      </c>
      <c r="AB1064" s="119" t="s">
        <v>2341</v>
      </c>
      <c r="AC1064" s="119">
        <v>0</v>
      </c>
      <c r="AD1064" s="119">
        <v>1</v>
      </c>
      <c r="AE1064" s="119" t="s">
        <v>37</v>
      </c>
      <c r="AF1064" s="119" t="s">
        <v>43</v>
      </c>
      <c r="AG1064" s="119" t="s">
        <v>38</v>
      </c>
      <c r="AH1064" s="119" t="s">
        <v>2319</v>
      </c>
    </row>
    <row r="1065" spans="1:34" x14ac:dyDescent="0.3">
      <c r="A1065" s="107" t="s">
        <v>607</v>
      </c>
      <c r="B1065" s="108" t="s">
        <v>604</v>
      </c>
      <c r="C1065" s="108" t="s">
        <v>605</v>
      </c>
      <c r="D1065" s="109">
        <v>45589</v>
      </c>
      <c r="E1065" s="110">
        <v>179000</v>
      </c>
      <c r="F1065" s="108" t="s">
        <v>32</v>
      </c>
      <c r="G1065" s="108" t="s">
        <v>33</v>
      </c>
      <c r="H1065" s="110">
        <v>179000</v>
      </c>
      <c r="I1065" s="110">
        <v>55600</v>
      </c>
      <c r="J1065" s="111">
        <f t="shared" si="116"/>
        <v>31.061452513966479</v>
      </c>
      <c r="K1065" s="110">
        <v>127174</v>
      </c>
      <c r="L1065" s="110">
        <f>H1065-112572</f>
        <v>66428</v>
      </c>
      <c r="M1065" s="110">
        <v>14602</v>
      </c>
      <c r="N1065" s="112">
        <f t="shared" si="117"/>
        <v>8.1575418994413409E-2</v>
      </c>
      <c r="O1065" s="113">
        <v>74.5</v>
      </c>
      <c r="P1065" s="114">
        <v>261</v>
      </c>
      <c r="Q1065" s="115">
        <v>0.44600000000000001</v>
      </c>
      <c r="R1065" s="115">
        <v>0.44600000000000001</v>
      </c>
      <c r="S1065" s="110">
        <f t="shared" si="118"/>
        <v>891.65100671140942</v>
      </c>
      <c r="T1065" s="110">
        <f t="shared" si="119"/>
        <v>148941.70403587443</v>
      </c>
      <c r="U1065" s="116">
        <f t="shared" si="120"/>
        <v>3.4192310384727831</v>
      </c>
      <c r="V1065" s="115">
        <v>74.5</v>
      </c>
      <c r="W1065" s="115">
        <f t="shared" si="121"/>
        <v>35800</v>
      </c>
      <c r="X1065" s="115">
        <f t="shared" ref="X1065:X1128" si="123">W1065/V1065</f>
        <v>480.53691275167785</v>
      </c>
      <c r="Y1065" s="117" t="s">
        <v>606</v>
      </c>
      <c r="Z1065" s="108" t="s">
        <v>35</v>
      </c>
      <c r="AA1065" s="108" t="s">
        <v>35</v>
      </c>
      <c r="AB1065" s="108" t="s">
        <v>607</v>
      </c>
      <c r="AC1065" s="108">
        <v>0</v>
      </c>
      <c r="AD1065" s="108">
        <v>1</v>
      </c>
      <c r="AE1065" s="108" t="s">
        <v>42</v>
      </c>
      <c r="AF1065" s="108" t="s">
        <v>35</v>
      </c>
      <c r="AG1065" s="108" t="s">
        <v>38</v>
      </c>
      <c r="AH1065" s="108" t="s">
        <v>92</v>
      </c>
    </row>
    <row r="1066" spans="1:34" x14ac:dyDescent="0.3">
      <c r="A1066" s="118" t="s">
        <v>802</v>
      </c>
      <c r="B1066" s="119" t="s">
        <v>849</v>
      </c>
      <c r="C1066" s="119" t="s">
        <v>850</v>
      </c>
      <c r="D1066" s="120">
        <v>45681</v>
      </c>
      <c r="E1066" s="121">
        <v>185000</v>
      </c>
      <c r="F1066" s="119" t="s">
        <v>32</v>
      </c>
      <c r="G1066" s="119" t="s">
        <v>33</v>
      </c>
      <c r="H1066" s="121">
        <v>185000</v>
      </c>
      <c r="I1066" s="121">
        <v>89100</v>
      </c>
      <c r="J1066" s="122">
        <f t="shared" si="116"/>
        <v>48.162162162162161</v>
      </c>
      <c r="K1066" s="121">
        <v>192966</v>
      </c>
      <c r="L1066" s="121">
        <f>H1066-178508</f>
        <v>6492</v>
      </c>
      <c r="M1066" s="121">
        <v>14458</v>
      </c>
      <c r="N1066" s="123">
        <f t="shared" si="117"/>
        <v>7.8151351351351345E-2</v>
      </c>
      <c r="O1066" s="124">
        <v>72.28</v>
      </c>
      <c r="P1066" s="125">
        <v>114.98</v>
      </c>
      <c r="Q1066" s="126">
        <v>0.19900000000000001</v>
      </c>
      <c r="R1066" s="126">
        <v>0.19900000000000001</v>
      </c>
      <c r="S1066" s="121">
        <f t="shared" si="118"/>
        <v>89.817376867736584</v>
      </c>
      <c r="T1066" s="121">
        <f t="shared" si="119"/>
        <v>32623.115577889446</v>
      </c>
      <c r="U1066" s="127">
        <f t="shared" si="120"/>
        <v>0.74892368176973012</v>
      </c>
      <c r="V1066" s="126">
        <v>75.11</v>
      </c>
      <c r="W1066" s="126">
        <f t="shared" si="121"/>
        <v>37000</v>
      </c>
      <c r="X1066" s="126">
        <f t="shared" si="123"/>
        <v>492.61083743842363</v>
      </c>
      <c r="Y1066" s="128" t="s">
        <v>801</v>
      </c>
      <c r="Z1066" s="119" t="s">
        <v>35</v>
      </c>
      <c r="AA1066" s="119" t="s">
        <v>35</v>
      </c>
      <c r="AB1066" s="119" t="s">
        <v>802</v>
      </c>
      <c r="AC1066" s="119">
        <v>0</v>
      </c>
      <c r="AD1066" s="119">
        <v>1</v>
      </c>
      <c r="AE1066" s="119" t="s">
        <v>42</v>
      </c>
      <c r="AF1066" s="119" t="s">
        <v>35</v>
      </c>
      <c r="AG1066" s="119" t="s">
        <v>38</v>
      </c>
      <c r="AH1066" s="119" t="s">
        <v>92</v>
      </c>
    </row>
    <row r="1067" spans="1:34" x14ac:dyDescent="0.3">
      <c r="A1067" s="118" t="s">
        <v>802</v>
      </c>
      <c r="B1067" s="119" t="s">
        <v>841</v>
      </c>
      <c r="C1067" s="119" t="s">
        <v>842</v>
      </c>
      <c r="D1067" s="120">
        <v>45415</v>
      </c>
      <c r="E1067" s="121">
        <v>215000</v>
      </c>
      <c r="F1067" s="119" t="s">
        <v>32</v>
      </c>
      <c r="G1067" s="119" t="s">
        <v>33</v>
      </c>
      <c r="H1067" s="121">
        <v>215000</v>
      </c>
      <c r="I1067" s="121">
        <v>87500</v>
      </c>
      <c r="J1067" s="122">
        <f t="shared" si="116"/>
        <v>40.697674418604649</v>
      </c>
      <c r="K1067" s="121">
        <v>189873</v>
      </c>
      <c r="L1067" s="121">
        <f>H1067-174396</f>
        <v>40604</v>
      </c>
      <c r="M1067" s="121">
        <v>15477</v>
      </c>
      <c r="N1067" s="123">
        <f t="shared" si="117"/>
        <v>7.1986046511627905E-2</v>
      </c>
      <c r="O1067" s="124">
        <v>77.38</v>
      </c>
      <c r="P1067" s="125">
        <v>101.16</v>
      </c>
      <c r="Q1067" s="126">
        <v>0.2</v>
      </c>
      <c r="R1067" s="126">
        <v>0.2</v>
      </c>
      <c r="S1067" s="121">
        <f t="shared" si="118"/>
        <v>524.73507366244507</v>
      </c>
      <c r="T1067" s="121">
        <f t="shared" si="119"/>
        <v>203020</v>
      </c>
      <c r="U1067" s="127">
        <f t="shared" si="120"/>
        <v>4.6606978879706151</v>
      </c>
      <c r="V1067" s="126">
        <v>86.03</v>
      </c>
      <c r="W1067" s="126">
        <f t="shared" si="121"/>
        <v>43000</v>
      </c>
      <c r="X1067" s="126">
        <f t="shared" si="123"/>
        <v>499.82564221783099</v>
      </c>
      <c r="Y1067" s="128" t="s">
        <v>801</v>
      </c>
      <c r="Z1067" s="119" t="s">
        <v>35</v>
      </c>
      <c r="AA1067" s="119" t="s">
        <v>35</v>
      </c>
      <c r="AB1067" s="119" t="s">
        <v>802</v>
      </c>
      <c r="AC1067" s="119">
        <v>0</v>
      </c>
      <c r="AD1067" s="119">
        <v>1</v>
      </c>
      <c r="AE1067" s="119" t="s">
        <v>42</v>
      </c>
      <c r="AF1067" s="119" t="s">
        <v>43</v>
      </c>
      <c r="AG1067" s="119" t="s">
        <v>38</v>
      </c>
      <c r="AH1067" s="119" t="s">
        <v>92</v>
      </c>
    </row>
    <row r="1068" spans="1:34" x14ac:dyDescent="0.3">
      <c r="A1068" s="118" t="s">
        <v>802</v>
      </c>
      <c r="B1068" s="119" t="s">
        <v>811</v>
      </c>
      <c r="C1068" s="119" t="s">
        <v>812</v>
      </c>
      <c r="D1068" s="120">
        <v>45443</v>
      </c>
      <c r="E1068" s="121">
        <v>180000</v>
      </c>
      <c r="F1068" s="119" t="s">
        <v>32</v>
      </c>
      <c r="G1068" s="119" t="s">
        <v>33</v>
      </c>
      <c r="H1068" s="121">
        <v>180000</v>
      </c>
      <c r="I1068" s="121">
        <v>82000</v>
      </c>
      <c r="J1068" s="122">
        <f t="shared" si="116"/>
        <v>45.555555555555557</v>
      </c>
      <c r="K1068" s="121">
        <v>178028</v>
      </c>
      <c r="L1068" s="121">
        <f>H1068-166147</f>
        <v>13853</v>
      </c>
      <c r="M1068" s="121">
        <v>11881</v>
      </c>
      <c r="N1068" s="123">
        <f t="shared" si="117"/>
        <v>6.6005555555555553E-2</v>
      </c>
      <c r="O1068" s="124">
        <v>59.4</v>
      </c>
      <c r="P1068" s="125">
        <v>149.33000000000001</v>
      </c>
      <c r="Q1068" s="126">
        <v>0.161</v>
      </c>
      <c r="R1068" s="126">
        <v>0.161</v>
      </c>
      <c r="S1068" s="121">
        <f t="shared" si="118"/>
        <v>233.21548821548822</v>
      </c>
      <c r="T1068" s="121">
        <f t="shared" si="119"/>
        <v>86043.478260869568</v>
      </c>
      <c r="U1068" s="127">
        <f t="shared" si="120"/>
        <v>1.9752864614524694</v>
      </c>
      <c r="V1068" s="126">
        <v>69.23</v>
      </c>
      <c r="W1068" s="126">
        <f t="shared" si="121"/>
        <v>36000</v>
      </c>
      <c r="X1068" s="126">
        <f t="shared" si="123"/>
        <v>520.00577784197594</v>
      </c>
      <c r="Y1068" s="128" t="s">
        <v>801</v>
      </c>
      <c r="Z1068" s="119" t="s">
        <v>35</v>
      </c>
      <c r="AA1068" s="119" t="s">
        <v>35</v>
      </c>
      <c r="AB1068" s="119" t="s">
        <v>802</v>
      </c>
      <c r="AC1068" s="119">
        <v>0</v>
      </c>
      <c r="AD1068" s="119">
        <v>1</v>
      </c>
      <c r="AE1068" s="119" t="s">
        <v>42</v>
      </c>
      <c r="AF1068" s="119" t="s">
        <v>43</v>
      </c>
      <c r="AG1068" s="119" t="s">
        <v>38</v>
      </c>
      <c r="AH1068" s="119" t="s">
        <v>92</v>
      </c>
    </row>
    <row r="1069" spans="1:34" x14ac:dyDescent="0.3">
      <c r="A1069" s="107" t="s">
        <v>802</v>
      </c>
      <c r="B1069" s="108" t="s">
        <v>839</v>
      </c>
      <c r="C1069" s="108" t="s">
        <v>840</v>
      </c>
      <c r="D1069" s="109">
        <v>45152</v>
      </c>
      <c r="E1069" s="110">
        <v>221500</v>
      </c>
      <c r="F1069" s="108" t="s">
        <v>32</v>
      </c>
      <c r="G1069" s="108" t="s">
        <v>33</v>
      </c>
      <c r="H1069" s="110">
        <v>221500</v>
      </c>
      <c r="I1069" s="110">
        <v>79300</v>
      </c>
      <c r="J1069" s="111">
        <f t="shared" si="116"/>
        <v>35.801354401805867</v>
      </c>
      <c r="K1069" s="110">
        <v>202654</v>
      </c>
      <c r="L1069" s="110">
        <f>H1069-186637</f>
        <v>34863</v>
      </c>
      <c r="M1069" s="110">
        <v>16017</v>
      </c>
      <c r="N1069" s="112">
        <f t="shared" si="117"/>
        <v>7.2311512415349888E-2</v>
      </c>
      <c r="O1069" s="113">
        <v>80.08</v>
      </c>
      <c r="P1069" s="114">
        <v>117.68</v>
      </c>
      <c r="Q1069" s="115">
        <v>0.254</v>
      </c>
      <c r="R1069" s="115">
        <v>0.222</v>
      </c>
      <c r="S1069" s="110">
        <f t="shared" si="118"/>
        <v>435.35214785214788</v>
      </c>
      <c r="T1069" s="110">
        <f t="shared" si="119"/>
        <v>137255.90551181103</v>
      </c>
      <c r="U1069" s="116">
        <f t="shared" si="120"/>
        <v>3.1509620181774798</v>
      </c>
      <c r="V1069" s="115">
        <v>82.98</v>
      </c>
      <c r="W1069" s="115">
        <f t="shared" si="121"/>
        <v>44300</v>
      </c>
      <c r="X1069" s="115">
        <f t="shared" si="123"/>
        <v>533.86358158592429</v>
      </c>
      <c r="Y1069" s="117" t="s">
        <v>801</v>
      </c>
      <c r="Z1069" s="108" t="s">
        <v>35</v>
      </c>
      <c r="AA1069" s="108" t="s">
        <v>35</v>
      </c>
      <c r="AB1069" s="108" t="s">
        <v>802</v>
      </c>
      <c r="AC1069" s="108">
        <v>0</v>
      </c>
      <c r="AD1069" s="108">
        <v>1</v>
      </c>
      <c r="AE1069" s="108" t="s">
        <v>37</v>
      </c>
      <c r="AF1069" s="108" t="s">
        <v>43</v>
      </c>
      <c r="AG1069" s="108" t="s">
        <v>38</v>
      </c>
      <c r="AH1069" s="108" t="s">
        <v>92</v>
      </c>
    </row>
    <row r="1070" spans="1:34" x14ac:dyDescent="0.3">
      <c r="A1070" s="107" t="s">
        <v>802</v>
      </c>
      <c r="B1070" s="108" t="s">
        <v>847</v>
      </c>
      <c r="C1070" s="108" t="s">
        <v>848</v>
      </c>
      <c r="D1070" s="109">
        <v>45175</v>
      </c>
      <c r="E1070" s="110">
        <v>200000</v>
      </c>
      <c r="F1070" s="108" t="s">
        <v>32</v>
      </c>
      <c r="G1070" s="108" t="s">
        <v>33</v>
      </c>
      <c r="H1070" s="110">
        <v>200000</v>
      </c>
      <c r="I1070" s="110">
        <v>72100</v>
      </c>
      <c r="J1070" s="111">
        <f t="shared" si="116"/>
        <v>36.049999999999997</v>
      </c>
      <c r="K1070" s="110">
        <v>186435</v>
      </c>
      <c r="L1070" s="110">
        <f>H1070-172898</f>
        <v>27102</v>
      </c>
      <c r="M1070" s="110">
        <v>13537</v>
      </c>
      <c r="N1070" s="112">
        <f t="shared" si="117"/>
        <v>6.7684999999999995E-2</v>
      </c>
      <c r="O1070" s="113">
        <v>67.680000000000007</v>
      </c>
      <c r="P1070" s="114">
        <v>114.98</v>
      </c>
      <c r="Q1070" s="115">
        <v>0.185</v>
      </c>
      <c r="R1070" s="115">
        <v>0.185</v>
      </c>
      <c r="S1070" s="110">
        <f t="shared" si="118"/>
        <v>400.44326241134746</v>
      </c>
      <c r="T1070" s="110">
        <f t="shared" si="119"/>
        <v>146497.29729729731</v>
      </c>
      <c r="U1070" s="116">
        <f t="shared" si="120"/>
        <v>3.3631151812969997</v>
      </c>
      <c r="V1070" s="115">
        <v>71.41</v>
      </c>
      <c r="W1070" s="115">
        <f t="shared" si="121"/>
        <v>40000</v>
      </c>
      <c r="X1070" s="115">
        <f t="shared" si="123"/>
        <v>560.14563786584517</v>
      </c>
      <c r="Y1070" s="117" t="s">
        <v>801</v>
      </c>
      <c r="Z1070" s="108" t="s">
        <v>35</v>
      </c>
      <c r="AA1070" s="108" t="s">
        <v>35</v>
      </c>
      <c r="AB1070" s="108" t="s">
        <v>802</v>
      </c>
      <c r="AC1070" s="108">
        <v>0</v>
      </c>
      <c r="AD1070" s="108">
        <v>1</v>
      </c>
      <c r="AE1070" s="108" t="s">
        <v>42</v>
      </c>
      <c r="AF1070" s="108" t="s">
        <v>43</v>
      </c>
      <c r="AG1070" s="108" t="s">
        <v>38</v>
      </c>
      <c r="AH1070" s="108" t="s">
        <v>92</v>
      </c>
    </row>
    <row r="1071" spans="1:34" x14ac:dyDescent="0.3">
      <c r="A1071" s="107" t="s">
        <v>802</v>
      </c>
      <c r="B1071" s="108" t="s">
        <v>855</v>
      </c>
      <c r="C1071" s="108" t="s">
        <v>856</v>
      </c>
      <c r="D1071" s="109">
        <v>45288</v>
      </c>
      <c r="E1071" s="110">
        <v>157000</v>
      </c>
      <c r="F1071" s="108" t="s">
        <v>32</v>
      </c>
      <c r="G1071" s="108" t="s">
        <v>33</v>
      </c>
      <c r="H1071" s="110">
        <v>157000</v>
      </c>
      <c r="I1071" s="110">
        <v>67500</v>
      </c>
      <c r="J1071" s="111">
        <f t="shared" si="116"/>
        <v>42.99363057324841</v>
      </c>
      <c r="K1071" s="110">
        <v>177957</v>
      </c>
      <c r="L1071" s="110">
        <f>H1071-167337</f>
        <v>-10337</v>
      </c>
      <c r="M1071" s="110">
        <v>10620</v>
      </c>
      <c r="N1071" s="112">
        <f t="shared" si="117"/>
        <v>6.7643312101910824E-2</v>
      </c>
      <c r="O1071" s="113">
        <v>53.09</v>
      </c>
      <c r="P1071" s="114">
        <v>140.97</v>
      </c>
      <c r="Q1071" s="115">
        <v>0.16200000000000001</v>
      </c>
      <c r="R1071" s="115">
        <v>0.16200000000000001</v>
      </c>
      <c r="S1071" s="110">
        <f t="shared" si="118"/>
        <v>-194.70710114899225</v>
      </c>
      <c r="T1071" s="110">
        <f t="shared" si="119"/>
        <v>-63808.641975308637</v>
      </c>
      <c r="U1071" s="116">
        <f t="shared" si="120"/>
        <v>-1.4648448571007493</v>
      </c>
      <c r="V1071" s="115">
        <v>50</v>
      </c>
      <c r="W1071" s="115">
        <f t="shared" si="121"/>
        <v>31400</v>
      </c>
      <c r="X1071" s="115">
        <f t="shared" si="123"/>
        <v>628</v>
      </c>
      <c r="Y1071" s="117" t="s">
        <v>801</v>
      </c>
      <c r="Z1071" s="108" t="s">
        <v>35</v>
      </c>
      <c r="AA1071" s="108" t="s">
        <v>35</v>
      </c>
      <c r="AB1071" s="108" t="s">
        <v>802</v>
      </c>
      <c r="AC1071" s="108">
        <v>0</v>
      </c>
      <c r="AD1071" s="108">
        <v>1</v>
      </c>
      <c r="AE1071" s="108" t="s">
        <v>37</v>
      </c>
      <c r="AF1071" s="108" t="s">
        <v>43</v>
      </c>
      <c r="AG1071" s="108" t="s">
        <v>38</v>
      </c>
      <c r="AH1071" s="108" t="s">
        <v>92</v>
      </c>
    </row>
    <row r="1072" spans="1:34" x14ac:dyDescent="0.3">
      <c r="A1072" s="107" t="s">
        <v>802</v>
      </c>
      <c r="B1072" s="108" t="s">
        <v>845</v>
      </c>
      <c r="C1072" s="108" t="s">
        <v>846</v>
      </c>
      <c r="D1072" s="109">
        <v>45460</v>
      </c>
      <c r="E1072" s="110">
        <v>160000</v>
      </c>
      <c r="F1072" s="108" t="s">
        <v>32</v>
      </c>
      <c r="G1072" s="108" t="s">
        <v>33</v>
      </c>
      <c r="H1072" s="110">
        <v>160000</v>
      </c>
      <c r="I1072" s="110">
        <v>79000</v>
      </c>
      <c r="J1072" s="111">
        <f t="shared" si="116"/>
        <v>49.375</v>
      </c>
      <c r="K1072" s="110">
        <v>171578</v>
      </c>
      <c r="L1072" s="110">
        <f>H1072-161780</f>
        <v>-1780</v>
      </c>
      <c r="M1072" s="110">
        <v>9798</v>
      </c>
      <c r="N1072" s="112">
        <f t="shared" si="117"/>
        <v>6.12375E-2</v>
      </c>
      <c r="O1072" s="113">
        <v>48.98</v>
      </c>
      <c r="P1072" s="114">
        <v>120</v>
      </c>
      <c r="Q1072" s="115">
        <v>0.13800000000000001</v>
      </c>
      <c r="R1072" s="115">
        <v>0.13800000000000001</v>
      </c>
      <c r="S1072" s="110">
        <f t="shared" si="118"/>
        <v>-36.341363821968152</v>
      </c>
      <c r="T1072" s="110">
        <f t="shared" si="119"/>
        <v>-12898.55072463768</v>
      </c>
      <c r="U1072" s="116">
        <f t="shared" si="120"/>
        <v>-0.29610997990444626</v>
      </c>
      <c r="V1072" s="115">
        <v>50</v>
      </c>
      <c r="W1072" s="115">
        <f t="shared" si="121"/>
        <v>32000</v>
      </c>
      <c r="X1072" s="115">
        <f t="shared" si="123"/>
        <v>640</v>
      </c>
      <c r="Y1072" s="117" t="s">
        <v>801</v>
      </c>
      <c r="Z1072" s="108" t="s">
        <v>35</v>
      </c>
      <c r="AA1072" s="108" t="s">
        <v>35</v>
      </c>
      <c r="AB1072" s="108" t="s">
        <v>802</v>
      </c>
      <c r="AC1072" s="108">
        <v>0</v>
      </c>
      <c r="AD1072" s="108">
        <v>1</v>
      </c>
      <c r="AE1072" s="108" t="s">
        <v>37</v>
      </c>
      <c r="AF1072" s="108" t="s">
        <v>43</v>
      </c>
      <c r="AG1072" s="108" t="s">
        <v>38</v>
      </c>
      <c r="AH1072" s="108" t="s">
        <v>92</v>
      </c>
    </row>
    <row r="1073" spans="1:34" x14ac:dyDescent="0.3">
      <c r="A1073" s="107" t="s">
        <v>802</v>
      </c>
      <c r="B1073" s="108" t="s">
        <v>807</v>
      </c>
      <c r="C1073" s="108" t="s">
        <v>808</v>
      </c>
      <c r="D1073" s="109">
        <v>45202</v>
      </c>
      <c r="E1073" s="110">
        <v>157000</v>
      </c>
      <c r="F1073" s="108" t="s">
        <v>32</v>
      </c>
      <c r="G1073" s="108" t="s">
        <v>33</v>
      </c>
      <c r="H1073" s="110">
        <v>157000</v>
      </c>
      <c r="I1073" s="110">
        <v>67300</v>
      </c>
      <c r="J1073" s="111">
        <f t="shared" si="116"/>
        <v>42.866242038216562</v>
      </c>
      <c r="K1073" s="110">
        <v>174027</v>
      </c>
      <c r="L1073" s="110">
        <f>H1073-163652</f>
        <v>-6652</v>
      </c>
      <c r="M1073" s="110">
        <v>10375</v>
      </c>
      <c r="N1073" s="112">
        <f t="shared" si="117"/>
        <v>6.60828025477707E-2</v>
      </c>
      <c r="O1073" s="113">
        <v>51.87</v>
      </c>
      <c r="P1073" s="114">
        <v>146</v>
      </c>
      <c r="Q1073" s="115">
        <v>0.161</v>
      </c>
      <c r="R1073" s="115">
        <v>0.161</v>
      </c>
      <c r="S1073" s="110">
        <f t="shared" si="118"/>
        <v>-128.24368613842299</v>
      </c>
      <c r="T1073" s="110">
        <f t="shared" si="119"/>
        <v>-41316.770186335401</v>
      </c>
      <c r="U1073" s="116">
        <f t="shared" si="120"/>
        <v>-0.94850252953019742</v>
      </c>
      <c r="V1073" s="115">
        <v>48</v>
      </c>
      <c r="W1073" s="115">
        <f t="shared" si="121"/>
        <v>31400</v>
      </c>
      <c r="X1073" s="115">
        <f t="shared" si="123"/>
        <v>654.16666666666663</v>
      </c>
      <c r="Y1073" s="117" t="s">
        <v>801</v>
      </c>
      <c r="Z1073" s="108" t="s">
        <v>35</v>
      </c>
      <c r="AA1073" s="108" t="s">
        <v>35</v>
      </c>
      <c r="AB1073" s="108" t="s">
        <v>802</v>
      </c>
      <c r="AC1073" s="108">
        <v>0</v>
      </c>
      <c r="AD1073" s="108">
        <v>1</v>
      </c>
      <c r="AE1073" s="108" t="s">
        <v>42</v>
      </c>
      <c r="AF1073" s="108" t="s">
        <v>43</v>
      </c>
      <c r="AG1073" s="108" t="s">
        <v>38</v>
      </c>
      <c r="AH1073" s="108" t="s">
        <v>92</v>
      </c>
    </row>
    <row r="1074" spans="1:34" x14ac:dyDescent="0.3">
      <c r="A1074" s="118" t="s">
        <v>802</v>
      </c>
      <c r="B1074" s="119" t="s">
        <v>835</v>
      </c>
      <c r="C1074" s="119" t="s">
        <v>836</v>
      </c>
      <c r="D1074" s="120">
        <v>45302</v>
      </c>
      <c r="E1074" s="121">
        <v>165000</v>
      </c>
      <c r="F1074" s="119" t="s">
        <v>32</v>
      </c>
      <c r="G1074" s="119" t="s">
        <v>33</v>
      </c>
      <c r="H1074" s="121">
        <v>165000</v>
      </c>
      <c r="I1074" s="121">
        <v>65400</v>
      </c>
      <c r="J1074" s="122">
        <f t="shared" si="116"/>
        <v>39.636363636363633</v>
      </c>
      <c r="K1074" s="121">
        <v>169193</v>
      </c>
      <c r="L1074" s="121">
        <f>H1074-159567</f>
        <v>5433</v>
      </c>
      <c r="M1074" s="121">
        <v>9626</v>
      </c>
      <c r="N1074" s="123">
        <f t="shared" si="117"/>
        <v>5.8339393939393941E-2</v>
      </c>
      <c r="O1074" s="124">
        <v>48.12</v>
      </c>
      <c r="P1074" s="125">
        <v>115.88</v>
      </c>
      <c r="Q1074" s="126">
        <v>0.13300000000000001</v>
      </c>
      <c r="R1074" s="126">
        <v>0.13300000000000001</v>
      </c>
      <c r="S1074" s="121">
        <f t="shared" si="118"/>
        <v>112.90523690773068</v>
      </c>
      <c r="T1074" s="121">
        <f t="shared" si="119"/>
        <v>40849.624060150374</v>
      </c>
      <c r="U1074" s="127">
        <f t="shared" si="120"/>
        <v>0.93777833012282774</v>
      </c>
      <c r="V1074" s="126">
        <v>50</v>
      </c>
      <c r="W1074" s="126">
        <f t="shared" si="121"/>
        <v>33000</v>
      </c>
      <c r="X1074" s="126">
        <f t="shared" si="123"/>
        <v>660</v>
      </c>
      <c r="Y1074" s="128" t="s">
        <v>801</v>
      </c>
      <c r="Z1074" s="119" t="s">
        <v>35</v>
      </c>
      <c r="AA1074" s="119" t="s">
        <v>35</v>
      </c>
      <c r="AB1074" s="119" t="s">
        <v>802</v>
      </c>
      <c r="AC1074" s="119">
        <v>0</v>
      </c>
      <c r="AD1074" s="119">
        <v>1</v>
      </c>
      <c r="AE1074" s="119" t="s">
        <v>42</v>
      </c>
      <c r="AF1074" s="119" t="s">
        <v>43</v>
      </c>
      <c r="AG1074" s="119" t="s">
        <v>38</v>
      </c>
      <c r="AH1074" s="119" t="s">
        <v>92</v>
      </c>
    </row>
    <row r="1075" spans="1:34" x14ac:dyDescent="0.3">
      <c r="A1075" s="107" t="s">
        <v>802</v>
      </c>
      <c r="B1075" s="108" t="s">
        <v>823</v>
      </c>
      <c r="C1075" s="108" t="s">
        <v>824</v>
      </c>
      <c r="D1075" s="109">
        <v>45394</v>
      </c>
      <c r="E1075" s="110">
        <v>172000</v>
      </c>
      <c r="F1075" s="108" t="s">
        <v>32</v>
      </c>
      <c r="G1075" s="108" t="s">
        <v>33</v>
      </c>
      <c r="H1075" s="110">
        <v>172000</v>
      </c>
      <c r="I1075" s="110">
        <v>80600</v>
      </c>
      <c r="J1075" s="111">
        <f t="shared" si="116"/>
        <v>46.860465116279073</v>
      </c>
      <c r="K1075" s="110">
        <v>175029</v>
      </c>
      <c r="L1075" s="110">
        <f>H1075-164637</f>
        <v>7363</v>
      </c>
      <c r="M1075" s="110">
        <v>10392</v>
      </c>
      <c r="N1075" s="112">
        <f t="shared" si="117"/>
        <v>6.0418604651162791E-2</v>
      </c>
      <c r="O1075" s="113">
        <v>51.96</v>
      </c>
      <c r="P1075" s="114">
        <v>135</v>
      </c>
      <c r="Q1075" s="115">
        <v>0.155</v>
      </c>
      <c r="R1075" s="115">
        <v>0.155</v>
      </c>
      <c r="S1075" s="110">
        <f t="shared" si="118"/>
        <v>141.70515781370284</v>
      </c>
      <c r="T1075" s="110">
        <f t="shared" si="119"/>
        <v>47503.225806451614</v>
      </c>
      <c r="U1075" s="116">
        <f t="shared" si="120"/>
        <v>1.0905240084125716</v>
      </c>
      <c r="V1075" s="115">
        <v>50</v>
      </c>
      <c r="W1075" s="115">
        <f t="shared" si="121"/>
        <v>34400</v>
      </c>
      <c r="X1075" s="115">
        <f t="shared" si="123"/>
        <v>688</v>
      </c>
      <c r="Y1075" s="117" t="s">
        <v>801</v>
      </c>
      <c r="Z1075" s="108" t="s">
        <v>35</v>
      </c>
      <c r="AA1075" s="108" t="s">
        <v>35</v>
      </c>
      <c r="AB1075" s="108" t="s">
        <v>802</v>
      </c>
      <c r="AC1075" s="108">
        <v>0</v>
      </c>
      <c r="AD1075" s="108">
        <v>1</v>
      </c>
      <c r="AE1075" s="108" t="s">
        <v>37</v>
      </c>
      <c r="AF1075" s="108" t="s">
        <v>43</v>
      </c>
      <c r="AG1075" s="108" t="s">
        <v>38</v>
      </c>
      <c r="AH1075" s="108" t="s">
        <v>92</v>
      </c>
    </row>
    <row r="1076" spans="1:34" x14ac:dyDescent="0.3">
      <c r="A1076" s="118" t="s">
        <v>802</v>
      </c>
      <c r="B1076" s="119" t="s">
        <v>833</v>
      </c>
      <c r="C1076" s="119" t="s">
        <v>834</v>
      </c>
      <c r="D1076" s="120">
        <v>45440</v>
      </c>
      <c r="E1076" s="121">
        <v>175000</v>
      </c>
      <c r="F1076" s="119" t="s">
        <v>32</v>
      </c>
      <c r="G1076" s="119" t="s">
        <v>33</v>
      </c>
      <c r="H1076" s="121">
        <v>175000</v>
      </c>
      <c r="I1076" s="121">
        <v>78100</v>
      </c>
      <c r="J1076" s="122">
        <f t="shared" si="116"/>
        <v>44.628571428571426</v>
      </c>
      <c r="K1076" s="121">
        <v>169896</v>
      </c>
      <c r="L1076" s="121">
        <f>H1076-160180</f>
        <v>14820</v>
      </c>
      <c r="M1076" s="121">
        <v>9716</v>
      </c>
      <c r="N1076" s="123">
        <f t="shared" si="117"/>
        <v>5.552E-2</v>
      </c>
      <c r="O1076" s="124">
        <v>48.57</v>
      </c>
      <c r="P1076" s="125">
        <v>118</v>
      </c>
      <c r="Q1076" s="126">
        <v>0.13500000000000001</v>
      </c>
      <c r="R1076" s="126">
        <v>0.13500000000000001</v>
      </c>
      <c r="S1076" s="121">
        <f t="shared" si="118"/>
        <v>305.1266213712168</v>
      </c>
      <c r="T1076" s="121">
        <f t="shared" si="119"/>
        <v>109777.77777777777</v>
      </c>
      <c r="U1076" s="127">
        <f t="shared" si="120"/>
        <v>2.5201510049994895</v>
      </c>
      <c r="V1076" s="126">
        <v>50</v>
      </c>
      <c r="W1076" s="126">
        <f t="shared" si="121"/>
        <v>35000</v>
      </c>
      <c r="X1076" s="126">
        <f t="shared" si="123"/>
        <v>700</v>
      </c>
      <c r="Y1076" s="128" t="s">
        <v>801</v>
      </c>
      <c r="Z1076" s="119" t="s">
        <v>35</v>
      </c>
      <c r="AA1076" s="119" t="s">
        <v>35</v>
      </c>
      <c r="AB1076" s="119" t="s">
        <v>802</v>
      </c>
      <c r="AC1076" s="119">
        <v>0</v>
      </c>
      <c r="AD1076" s="119">
        <v>1</v>
      </c>
      <c r="AE1076" s="119" t="s">
        <v>42</v>
      </c>
      <c r="AF1076" s="119" t="s">
        <v>43</v>
      </c>
      <c r="AG1076" s="119" t="s">
        <v>38</v>
      </c>
      <c r="AH1076" s="119" t="s">
        <v>92</v>
      </c>
    </row>
    <row r="1077" spans="1:34" x14ac:dyDescent="0.3">
      <c r="A1077" s="118" t="s">
        <v>802</v>
      </c>
      <c r="B1077" s="119" t="s">
        <v>809</v>
      </c>
      <c r="C1077" s="119" t="s">
        <v>810</v>
      </c>
      <c r="D1077" s="120">
        <v>45448</v>
      </c>
      <c r="E1077" s="121">
        <v>180000</v>
      </c>
      <c r="F1077" s="119" t="s">
        <v>32</v>
      </c>
      <c r="G1077" s="119" t="s">
        <v>33</v>
      </c>
      <c r="H1077" s="121">
        <v>180000</v>
      </c>
      <c r="I1077" s="121">
        <v>87500</v>
      </c>
      <c r="J1077" s="122">
        <f t="shared" si="116"/>
        <v>48.611111111111107</v>
      </c>
      <c r="K1077" s="121">
        <v>189591</v>
      </c>
      <c r="L1077" s="121">
        <f>H1077-178784</f>
        <v>1216</v>
      </c>
      <c r="M1077" s="121">
        <v>10807</v>
      </c>
      <c r="N1077" s="123">
        <f t="shared" si="117"/>
        <v>6.0038888888888892E-2</v>
      </c>
      <c r="O1077" s="124">
        <v>54.03</v>
      </c>
      <c r="P1077" s="125">
        <v>146</v>
      </c>
      <c r="Q1077" s="126">
        <v>0.16800000000000001</v>
      </c>
      <c r="R1077" s="126">
        <v>0.16800000000000001</v>
      </c>
      <c r="S1077" s="121">
        <f t="shared" si="118"/>
        <v>22.506015176753653</v>
      </c>
      <c r="T1077" s="121">
        <f t="shared" si="119"/>
        <v>7238.0952380952376</v>
      </c>
      <c r="U1077" s="127">
        <f t="shared" si="120"/>
        <v>0.16616380252743887</v>
      </c>
      <c r="V1077" s="126">
        <v>50</v>
      </c>
      <c r="W1077" s="126">
        <f t="shared" si="121"/>
        <v>36000</v>
      </c>
      <c r="X1077" s="126">
        <f t="shared" si="123"/>
        <v>720</v>
      </c>
      <c r="Y1077" s="128" t="s">
        <v>801</v>
      </c>
      <c r="Z1077" s="119" t="s">
        <v>35</v>
      </c>
      <c r="AA1077" s="119" t="s">
        <v>35</v>
      </c>
      <c r="AB1077" s="119" t="s">
        <v>802</v>
      </c>
      <c r="AC1077" s="119">
        <v>0</v>
      </c>
      <c r="AD1077" s="119">
        <v>1</v>
      </c>
      <c r="AE1077" s="119" t="s">
        <v>42</v>
      </c>
      <c r="AF1077" s="119" t="s">
        <v>43</v>
      </c>
      <c r="AG1077" s="119" t="s">
        <v>38</v>
      </c>
      <c r="AH1077" s="119" t="s">
        <v>92</v>
      </c>
    </row>
    <row r="1078" spans="1:34" x14ac:dyDescent="0.3">
      <c r="A1078" s="118" t="s">
        <v>802</v>
      </c>
      <c r="B1078" s="119" t="s">
        <v>843</v>
      </c>
      <c r="C1078" s="119" t="s">
        <v>844</v>
      </c>
      <c r="D1078" s="120">
        <v>45390</v>
      </c>
      <c r="E1078" s="121">
        <v>180000</v>
      </c>
      <c r="F1078" s="119" t="s">
        <v>32</v>
      </c>
      <c r="G1078" s="119" t="s">
        <v>33</v>
      </c>
      <c r="H1078" s="121">
        <v>180000</v>
      </c>
      <c r="I1078" s="121">
        <v>72700</v>
      </c>
      <c r="J1078" s="122">
        <f t="shared" si="116"/>
        <v>40.388888888888893</v>
      </c>
      <c r="K1078" s="121">
        <v>160742</v>
      </c>
      <c r="L1078" s="121">
        <f>H1078-149821</f>
        <v>30179</v>
      </c>
      <c r="M1078" s="121">
        <v>10921</v>
      </c>
      <c r="N1078" s="123">
        <f t="shared" si="117"/>
        <v>6.0672222222222225E-2</v>
      </c>
      <c r="O1078" s="124">
        <v>54.6</v>
      </c>
      <c r="P1078" s="125">
        <v>127.25</v>
      </c>
      <c r="Q1078" s="126">
        <v>0.16400000000000001</v>
      </c>
      <c r="R1078" s="126">
        <v>0.16400000000000001</v>
      </c>
      <c r="S1078" s="121">
        <f t="shared" si="118"/>
        <v>552.72893772893769</v>
      </c>
      <c r="T1078" s="121">
        <f t="shared" si="119"/>
        <v>184018.29268292681</v>
      </c>
      <c r="U1078" s="127">
        <f t="shared" si="120"/>
        <v>4.2244787117292653</v>
      </c>
      <c r="V1078" s="126">
        <v>50</v>
      </c>
      <c r="W1078" s="126">
        <f t="shared" si="121"/>
        <v>36000</v>
      </c>
      <c r="X1078" s="126">
        <f t="shared" si="123"/>
        <v>720</v>
      </c>
      <c r="Y1078" s="128" t="s">
        <v>801</v>
      </c>
      <c r="Z1078" s="119" t="s">
        <v>35</v>
      </c>
      <c r="AA1078" s="119" t="s">
        <v>35</v>
      </c>
      <c r="AB1078" s="119" t="s">
        <v>802</v>
      </c>
      <c r="AC1078" s="119">
        <v>0</v>
      </c>
      <c r="AD1078" s="119">
        <v>1</v>
      </c>
      <c r="AE1078" s="119" t="s">
        <v>37</v>
      </c>
      <c r="AF1078" s="119" t="s">
        <v>43</v>
      </c>
      <c r="AG1078" s="119" t="s">
        <v>38</v>
      </c>
      <c r="AH1078" s="119" t="s">
        <v>92</v>
      </c>
    </row>
    <row r="1079" spans="1:34" x14ac:dyDescent="0.3">
      <c r="A1079" s="107" t="s">
        <v>802</v>
      </c>
      <c r="B1079" s="108" t="s">
        <v>853</v>
      </c>
      <c r="C1079" s="108" t="s">
        <v>854</v>
      </c>
      <c r="D1079" s="109">
        <v>45068</v>
      </c>
      <c r="E1079" s="110">
        <v>185000</v>
      </c>
      <c r="F1079" s="108" t="s">
        <v>32</v>
      </c>
      <c r="G1079" s="108" t="s">
        <v>33</v>
      </c>
      <c r="H1079" s="110">
        <v>185000</v>
      </c>
      <c r="I1079" s="110">
        <v>66800</v>
      </c>
      <c r="J1079" s="111">
        <f t="shared" si="116"/>
        <v>36.108108108108105</v>
      </c>
      <c r="K1079" s="110">
        <v>172969</v>
      </c>
      <c r="L1079" s="110">
        <f>H1079-163804</f>
        <v>21196</v>
      </c>
      <c r="M1079" s="110">
        <v>9165</v>
      </c>
      <c r="N1079" s="112">
        <f t="shared" si="117"/>
        <v>4.9540540540540544E-2</v>
      </c>
      <c r="O1079" s="113">
        <v>45.82</v>
      </c>
      <c r="P1079" s="114">
        <v>105</v>
      </c>
      <c r="Q1079" s="115">
        <v>0.121</v>
      </c>
      <c r="R1079" s="115">
        <v>0.121</v>
      </c>
      <c r="S1079" s="110">
        <f t="shared" si="118"/>
        <v>462.59275425578352</v>
      </c>
      <c r="T1079" s="110">
        <f t="shared" si="119"/>
        <v>175173.55371900828</v>
      </c>
      <c r="U1079" s="116">
        <f t="shared" si="120"/>
        <v>4.0214314444216779</v>
      </c>
      <c r="V1079" s="115">
        <v>50</v>
      </c>
      <c r="W1079" s="115">
        <f t="shared" si="121"/>
        <v>37000</v>
      </c>
      <c r="X1079" s="115">
        <f t="shared" si="123"/>
        <v>740</v>
      </c>
      <c r="Y1079" s="117" t="s">
        <v>801</v>
      </c>
      <c r="Z1079" s="108" t="s">
        <v>35</v>
      </c>
      <c r="AA1079" s="108" t="s">
        <v>35</v>
      </c>
      <c r="AB1079" s="108" t="s">
        <v>802</v>
      </c>
      <c r="AC1079" s="108">
        <v>0</v>
      </c>
      <c r="AD1079" s="108">
        <v>1</v>
      </c>
      <c r="AE1079" s="108" t="s">
        <v>42</v>
      </c>
      <c r="AF1079" s="108" t="s">
        <v>43</v>
      </c>
      <c r="AG1079" s="108" t="s">
        <v>38</v>
      </c>
      <c r="AH1079" s="108" t="s">
        <v>92</v>
      </c>
    </row>
    <row r="1080" spans="1:34" x14ac:dyDescent="0.3">
      <c r="A1080" s="107" t="s">
        <v>802</v>
      </c>
      <c r="B1080" s="108" t="s">
        <v>813</v>
      </c>
      <c r="C1080" s="108" t="s">
        <v>814</v>
      </c>
      <c r="D1080" s="109">
        <v>45061</v>
      </c>
      <c r="E1080" s="110">
        <v>185000</v>
      </c>
      <c r="F1080" s="108" t="s">
        <v>32</v>
      </c>
      <c r="G1080" s="108" t="s">
        <v>33</v>
      </c>
      <c r="H1080" s="110">
        <v>185000</v>
      </c>
      <c r="I1080" s="110">
        <v>69300</v>
      </c>
      <c r="J1080" s="111">
        <f t="shared" si="116"/>
        <v>37.45945945945946</v>
      </c>
      <c r="K1080" s="110">
        <v>179093</v>
      </c>
      <c r="L1080" s="110">
        <f>H1080-168286</f>
        <v>16714</v>
      </c>
      <c r="M1080" s="110">
        <v>10807</v>
      </c>
      <c r="N1080" s="112">
        <f t="shared" si="117"/>
        <v>5.8416216216216219E-2</v>
      </c>
      <c r="O1080" s="113">
        <v>54.03</v>
      </c>
      <c r="P1080" s="114">
        <v>146</v>
      </c>
      <c r="Q1080" s="115">
        <v>0.16800000000000001</v>
      </c>
      <c r="R1080" s="115">
        <v>0.16800000000000001</v>
      </c>
      <c r="S1080" s="110">
        <f t="shared" si="118"/>
        <v>309.3466592633722</v>
      </c>
      <c r="T1080" s="110">
        <f t="shared" si="119"/>
        <v>99488.095238095237</v>
      </c>
      <c r="U1080" s="116">
        <f t="shared" si="120"/>
        <v>2.2839323975687611</v>
      </c>
      <c r="V1080" s="115">
        <v>50</v>
      </c>
      <c r="W1080" s="115">
        <f t="shared" si="121"/>
        <v>37000</v>
      </c>
      <c r="X1080" s="115">
        <f t="shared" si="123"/>
        <v>740</v>
      </c>
      <c r="Y1080" s="117" t="s">
        <v>801</v>
      </c>
      <c r="Z1080" s="108" t="s">
        <v>35</v>
      </c>
      <c r="AA1080" s="108" t="s">
        <v>35</v>
      </c>
      <c r="AB1080" s="108" t="s">
        <v>802</v>
      </c>
      <c r="AC1080" s="108">
        <v>0</v>
      </c>
      <c r="AD1080" s="108">
        <v>1</v>
      </c>
      <c r="AE1080" s="108" t="s">
        <v>42</v>
      </c>
      <c r="AF1080" s="108" t="s">
        <v>43</v>
      </c>
      <c r="AG1080" s="108" t="s">
        <v>38</v>
      </c>
      <c r="AH1080" s="108" t="s">
        <v>92</v>
      </c>
    </row>
    <row r="1081" spans="1:34" x14ac:dyDescent="0.3">
      <c r="A1081" s="107" t="s">
        <v>802</v>
      </c>
      <c r="B1081" s="108" t="s">
        <v>821</v>
      </c>
      <c r="C1081" s="108" t="s">
        <v>822</v>
      </c>
      <c r="D1081" s="109">
        <v>45602</v>
      </c>
      <c r="E1081" s="110">
        <v>190000</v>
      </c>
      <c r="F1081" s="108" t="s">
        <v>32</v>
      </c>
      <c r="G1081" s="108" t="s">
        <v>33</v>
      </c>
      <c r="H1081" s="110">
        <v>190000</v>
      </c>
      <c r="I1081" s="110">
        <v>80200</v>
      </c>
      <c r="J1081" s="111">
        <f t="shared" si="116"/>
        <v>42.21052631578948</v>
      </c>
      <c r="K1081" s="110">
        <v>174196</v>
      </c>
      <c r="L1081" s="110">
        <f>H1081-163804</f>
        <v>26196</v>
      </c>
      <c r="M1081" s="110">
        <v>10392</v>
      </c>
      <c r="N1081" s="112">
        <f t="shared" si="117"/>
        <v>5.4694736842105261E-2</v>
      </c>
      <c r="O1081" s="113">
        <v>51.96</v>
      </c>
      <c r="P1081" s="114">
        <v>135</v>
      </c>
      <c r="Q1081" s="115">
        <v>0.155</v>
      </c>
      <c r="R1081" s="115">
        <v>0.155</v>
      </c>
      <c r="S1081" s="110">
        <f t="shared" si="118"/>
        <v>504.15704387990763</v>
      </c>
      <c r="T1081" s="110">
        <f t="shared" si="119"/>
        <v>169006.45161290321</v>
      </c>
      <c r="U1081" s="116">
        <f t="shared" si="120"/>
        <v>3.8798542610859323</v>
      </c>
      <c r="V1081" s="115">
        <v>50</v>
      </c>
      <c r="W1081" s="115">
        <f t="shared" si="121"/>
        <v>38000</v>
      </c>
      <c r="X1081" s="115">
        <f t="shared" si="123"/>
        <v>760</v>
      </c>
      <c r="Y1081" s="117" t="s">
        <v>801</v>
      </c>
      <c r="Z1081" s="108" t="s">
        <v>35</v>
      </c>
      <c r="AA1081" s="108" t="s">
        <v>35</v>
      </c>
      <c r="AB1081" s="108" t="s">
        <v>802</v>
      </c>
      <c r="AC1081" s="108">
        <v>0</v>
      </c>
      <c r="AD1081" s="108">
        <v>1</v>
      </c>
      <c r="AE1081" s="108" t="s">
        <v>37</v>
      </c>
      <c r="AF1081" s="108" t="s">
        <v>35</v>
      </c>
      <c r="AG1081" s="108" t="s">
        <v>38</v>
      </c>
      <c r="AH1081" s="108" t="s">
        <v>92</v>
      </c>
    </row>
    <row r="1082" spans="1:34" x14ac:dyDescent="0.3">
      <c r="A1082" s="118" t="s">
        <v>802</v>
      </c>
      <c r="B1082" s="119" t="s">
        <v>803</v>
      </c>
      <c r="C1082" s="119" t="s">
        <v>804</v>
      </c>
      <c r="D1082" s="120">
        <v>45468</v>
      </c>
      <c r="E1082" s="121">
        <v>190000</v>
      </c>
      <c r="F1082" s="119" t="s">
        <v>32</v>
      </c>
      <c r="G1082" s="119" t="s">
        <v>33</v>
      </c>
      <c r="H1082" s="121">
        <v>190000</v>
      </c>
      <c r="I1082" s="121">
        <v>80300</v>
      </c>
      <c r="J1082" s="122">
        <f t="shared" si="116"/>
        <v>42.263157894736842</v>
      </c>
      <c r="K1082" s="121">
        <v>174281</v>
      </c>
      <c r="L1082" s="121">
        <f>H1082-163804</f>
        <v>26196</v>
      </c>
      <c r="M1082" s="121">
        <v>10477</v>
      </c>
      <c r="N1082" s="123">
        <f t="shared" si="117"/>
        <v>5.5142105263157895E-2</v>
      </c>
      <c r="O1082" s="124">
        <v>52.38</v>
      </c>
      <c r="P1082" s="125">
        <v>137.19999999999999</v>
      </c>
      <c r="Q1082" s="126">
        <v>0.14599999999999999</v>
      </c>
      <c r="R1082" s="126">
        <v>0.157</v>
      </c>
      <c r="S1082" s="121">
        <f t="shared" si="118"/>
        <v>500.11454753722791</v>
      </c>
      <c r="T1082" s="121">
        <f t="shared" si="119"/>
        <v>179424.65753424659</v>
      </c>
      <c r="U1082" s="127">
        <f t="shared" si="120"/>
        <v>4.1190233593720524</v>
      </c>
      <c r="V1082" s="126">
        <v>50</v>
      </c>
      <c r="W1082" s="126">
        <f t="shared" si="121"/>
        <v>38000</v>
      </c>
      <c r="X1082" s="126">
        <f t="shared" si="123"/>
        <v>760</v>
      </c>
      <c r="Y1082" s="128" t="s">
        <v>801</v>
      </c>
      <c r="Z1082" s="119" t="s">
        <v>35</v>
      </c>
      <c r="AA1082" s="119" t="s">
        <v>35</v>
      </c>
      <c r="AB1082" s="119" t="s">
        <v>802</v>
      </c>
      <c r="AC1082" s="119">
        <v>0</v>
      </c>
      <c r="AD1082" s="119">
        <v>1</v>
      </c>
      <c r="AE1082" s="119" t="s">
        <v>37</v>
      </c>
      <c r="AF1082" s="119" t="s">
        <v>43</v>
      </c>
      <c r="AG1082" s="119" t="s">
        <v>38</v>
      </c>
      <c r="AH1082" s="119" t="s">
        <v>92</v>
      </c>
    </row>
    <row r="1083" spans="1:34" x14ac:dyDescent="0.3">
      <c r="A1083" s="118" t="s">
        <v>802</v>
      </c>
      <c r="B1083" s="119" t="s">
        <v>851</v>
      </c>
      <c r="C1083" s="119" t="s">
        <v>852</v>
      </c>
      <c r="D1083" s="120">
        <v>45534</v>
      </c>
      <c r="E1083" s="121">
        <v>191000</v>
      </c>
      <c r="F1083" s="119" t="s">
        <v>32</v>
      </c>
      <c r="G1083" s="119" t="s">
        <v>33</v>
      </c>
      <c r="H1083" s="121">
        <v>191000</v>
      </c>
      <c r="I1083" s="121">
        <v>78300</v>
      </c>
      <c r="J1083" s="122">
        <f t="shared" si="116"/>
        <v>40.994764397905762</v>
      </c>
      <c r="K1083" s="121">
        <v>170001</v>
      </c>
      <c r="L1083" s="121">
        <f>H1083-160411</f>
        <v>30589</v>
      </c>
      <c r="M1083" s="121">
        <v>9590</v>
      </c>
      <c r="N1083" s="123">
        <f t="shared" si="117"/>
        <v>5.0209424083769633E-2</v>
      </c>
      <c r="O1083" s="124">
        <v>47.95</v>
      </c>
      <c r="P1083" s="125">
        <v>114.97</v>
      </c>
      <c r="Q1083" s="126">
        <v>0.13200000000000001</v>
      </c>
      <c r="R1083" s="126">
        <v>0.13200000000000001</v>
      </c>
      <c r="S1083" s="121">
        <f t="shared" si="118"/>
        <v>637.93534932221064</v>
      </c>
      <c r="T1083" s="121">
        <f t="shared" si="119"/>
        <v>231734.84848484848</v>
      </c>
      <c r="U1083" s="127">
        <f t="shared" si="120"/>
        <v>5.3199001029579538</v>
      </c>
      <c r="V1083" s="126">
        <v>50</v>
      </c>
      <c r="W1083" s="126">
        <f t="shared" si="121"/>
        <v>38200</v>
      </c>
      <c r="X1083" s="126">
        <f t="shared" si="123"/>
        <v>764</v>
      </c>
      <c r="Y1083" s="128" t="s">
        <v>801</v>
      </c>
      <c r="Z1083" s="119" t="s">
        <v>35</v>
      </c>
      <c r="AA1083" s="119" t="s">
        <v>35</v>
      </c>
      <c r="AB1083" s="119" t="s">
        <v>802</v>
      </c>
      <c r="AC1083" s="119">
        <v>0</v>
      </c>
      <c r="AD1083" s="119">
        <v>1</v>
      </c>
      <c r="AE1083" s="119" t="s">
        <v>37</v>
      </c>
      <c r="AF1083" s="119" t="s">
        <v>43</v>
      </c>
      <c r="AG1083" s="119" t="s">
        <v>38</v>
      </c>
      <c r="AH1083" s="119" t="s">
        <v>92</v>
      </c>
    </row>
    <row r="1084" spans="1:34" x14ac:dyDescent="0.3">
      <c r="A1084" s="118" t="s">
        <v>802</v>
      </c>
      <c r="B1084" s="119" t="s">
        <v>819</v>
      </c>
      <c r="C1084" s="119" t="s">
        <v>820</v>
      </c>
      <c r="D1084" s="120">
        <v>45569</v>
      </c>
      <c r="E1084" s="121">
        <v>200000</v>
      </c>
      <c r="F1084" s="119" t="s">
        <v>32</v>
      </c>
      <c r="G1084" s="119" t="s">
        <v>33</v>
      </c>
      <c r="H1084" s="121">
        <v>200000</v>
      </c>
      <c r="I1084" s="121">
        <v>89600</v>
      </c>
      <c r="J1084" s="122">
        <f t="shared" si="116"/>
        <v>44.800000000000004</v>
      </c>
      <c r="K1084" s="121">
        <v>195839</v>
      </c>
      <c r="L1084" s="121">
        <f>H1084-185447</f>
        <v>14553</v>
      </c>
      <c r="M1084" s="121">
        <v>10392</v>
      </c>
      <c r="N1084" s="123">
        <f t="shared" si="117"/>
        <v>5.1959999999999999E-2</v>
      </c>
      <c r="O1084" s="124">
        <v>51.96</v>
      </c>
      <c r="P1084" s="125">
        <v>135</v>
      </c>
      <c r="Q1084" s="126">
        <v>0.155</v>
      </c>
      <c r="R1084" s="126">
        <v>0.155</v>
      </c>
      <c r="S1084" s="121">
        <f t="shared" si="118"/>
        <v>280.08083140877596</v>
      </c>
      <c r="T1084" s="121">
        <f t="shared" si="119"/>
        <v>93890.322580645166</v>
      </c>
      <c r="U1084" s="127">
        <f t="shared" si="120"/>
        <v>2.1554252199413493</v>
      </c>
      <c r="V1084" s="126">
        <v>50</v>
      </c>
      <c r="W1084" s="126">
        <f t="shared" si="121"/>
        <v>40000</v>
      </c>
      <c r="X1084" s="126">
        <f t="shared" si="123"/>
        <v>800</v>
      </c>
      <c r="Y1084" s="128" t="s">
        <v>801</v>
      </c>
      <c r="Z1084" s="119" t="s">
        <v>35</v>
      </c>
      <c r="AA1084" s="119" t="s">
        <v>35</v>
      </c>
      <c r="AB1084" s="119" t="s">
        <v>802</v>
      </c>
      <c r="AC1084" s="119">
        <v>0</v>
      </c>
      <c r="AD1084" s="119">
        <v>1</v>
      </c>
      <c r="AE1084" s="119" t="s">
        <v>42</v>
      </c>
      <c r="AF1084" s="119" t="s">
        <v>35</v>
      </c>
      <c r="AG1084" s="119" t="s">
        <v>38</v>
      </c>
      <c r="AH1084" s="119" t="s">
        <v>92</v>
      </c>
    </row>
    <row r="1085" spans="1:34" x14ac:dyDescent="0.3">
      <c r="A1085" s="118" t="s">
        <v>802</v>
      </c>
      <c r="B1085" s="119" t="s">
        <v>825</v>
      </c>
      <c r="C1085" s="119" t="s">
        <v>826</v>
      </c>
      <c r="D1085" s="120">
        <v>45162</v>
      </c>
      <c r="E1085" s="121">
        <v>204900</v>
      </c>
      <c r="F1085" s="119" t="s">
        <v>32</v>
      </c>
      <c r="G1085" s="119" t="s">
        <v>33</v>
      </c>
      <c r="H1085" s="121">
        <v>204900</v>
      </c>
      <c r="I1085" s="121">
        <v>70400</v>
      </c>
      <c r="J1085" s="122">
        <f t="shared" si="116"/>
        <v>34.358223523670084</v>
      </c>
      <c r="K1085" s="121">
        <v>181934</v>
      </c>
      <c r="L1085" s="121">
        <f>H1085-171542</f>
        <v>33358</v>
      </c>
      <c r="M1085" s="121">
        <v>10392</v>
      </c>
      <c r="N1085" s="123">
        <f t="shared" si="117"/>
        <v>5.0717423133235726E-2</v>
      </c>
      <c r="O1085" s="124">
        <v>51.96</v>
      </c>
      <c r="P1085" s="125">
        <v>135</v>
      </c>
      <c r="Q1085" s="126">
        <v>0.155</v>
      </c>
      <c r="R1085" s="126">
        <v>0.155</v>
      </c>
      <c r="S1085" s="121">
        <f t="shared" si="118"/>
        <v>641.9938414164742</v>
      </c>
      <c r="T1085" s="121">
        <f t="shared" si="119"/>
        <v>215212.90322580645</v>
      </c>
      <c r="U1085" s="127">
        <f t="shared" si="120"/>
        <v>4.9406084303445006</v>
      </c>
      <c r="V1085" s="126">
        <v>50</v>
      </c>
      <c r="W1085" s="126">
        <f t="shared" si="121"/>
        <v>40980</v>
      </c>
      <c r="X1085" s="126">
        <f t="shared" si="123"/>
        <v>819.6</v>
      </c>
      <c r="Y1085" s="128" t="s">
        <v>801</v>
      </c>
      <c r="Z1085" s="119" t="s">
        <v>35</v>
      </c>
      <c r="AA1085" s="119" t="s">
        <v>35</v>
      </c>
      <c r="AB1085" s="119" t="s">
        <v>802</v>
      </c>
      <c r="AC1085" s="119">
        <v>0</v>
      </c>
      <c r="AD1085" s="119">
        <v>1</v>
      </c>
      <c r="AE1085" s="119" t="s">
        <v>42</v>
      </c>
      <c r="AF1085" s="119" t="s">
        <v>43</v>
      </c>
      <c r="AG1085" s="119" t="s">
        <v>38</v>
      </c>
      <c r="AH1085" s="119" t="s">
        <v>92</v>
      </c>
    </row>
    <row r="1086" spans="1:34" x14ac:dyDescent="0.3">
      <c r="A1086" s="107" t="s">
        <v>802</v>
      </c>
      <c r="B1086" s="108" t="s">
        <v>837</v>
      </c>
      <c r="C1086" s="108" t="s">
        <v>838</v>
      </c>
      <c r="D1086" s="109">
        <v>45447</v>
      </c>
      <c r="E1086" s="110">
        <v>205000</v>
      </c>
      <c r="F1086" s="108" t="s">
        <v>32</v>
      </c>
      <c r="G1086" s="108" t="s">
        <v>33</v>
      </c>
      <c r="H1086" s="110">
        <v>205000</v>
      </c>
      <c r="I1086" s="110">
        <v>76600</v>
      </c>
      <c r="J1086" s="111">
        <f t="shared" si="116"/>
        <v>37.365853658536587</v>
      </c>
      <c r="K1086" s="110">
        <v>166656</v>
      </c>
      <c r="L1086" s="110">
        <f>H1086-156957</f>
        <v>48043</v>
      </c>
      <c r="M1086" s="110">
        <v>9699</v>
      </c>
      <c r="N1086" s="112">
        <f t="shared" si="117"/>
        <v>4.7312195121951221E-2</v>
      </c>
      <c r="O1086" s="113">
        <v>48.49</v>
      </c>
      <c r="P1086" s="114">
        <v>117.58</v>
      </c>
      <c r="Q1086" s="115">
        <v>0.13500000000000001</v>
      </c>
      <c r="R1086" s="115">
        <v>0.13500000000000001</v>
      </c>
      <c r="S1086" s="110">
        <f t="shared" si="118"/>
        <v>990.7816044545267</v>
      </c>
      <c r="T1086" s="110">
        <f t="shared" si="119"/>
        <v>355874.07407407404</v>
      </c>
      <c r="U1086" s="116">
        <f t="shared" si="120"/>
        <v>8.169744583885997</v>
      </c>
      <c r="V1086" s="115">
        <v>50</v>
      </c>
      <c r="W1086" s="115">
        <f t="shared" si="121"/>
        <v>41000</v>
      </c>
      <c r="X1086" s="115">
        <f t="shared" si="123"/>
        <v>820</v>
      </c>
      <c r="Y1086" s="117" t="s">
        <v>801</v>
      </c>
      <c r="Z1086" s="108" t="s">
        <v>35</v>
      </c>
      <c r="AA1086" s="108" t="s">
        <v>35</v>
      </c>
      <c r="AB1086" s="108" t="s">
        <v>802</v>
      </c>
      <c r="AC1086" s="108">
        <v>0</v>
      </c>
      <c r="AD1086" s="108">
        <v>1</v>
      </c>
      <c r="AE1086" s="108" t="s">
        <v>42</v>
      </c>
      <c r="AF1086" s="108" t="s">
        <v>43</v>
      </c>
      <c r="AG1086" s="108" t="s">
        <v>38</v>
      </c>
      <c r="AH1086" s="108" t="s">
        <v>92</v>
      </c>
    </row>
    <row r="1087" spans="1:34" x14ac:dyDescent="0.3">
      <c r="A1087" s="107" t="s">
        <v>802</v>
      </c>
      <c r="B1087" s="108" t="s">
        <v>815</v>
      </c>
      <c r="C1087" s="108" t="s">
        <v>816</v>
      </c>
      <c r="D1087" s="109">
        <v>45450</v>
      </c>
      <c r="E1087" s="110">
        <v>205000</v>
      </c>
      <c r="F1087" s="108" t="s">
        <v>32</v>
      </c>
      <c r="G1087" s="108" t="s">
        <v>33</v>
      </c>
      <c r="H1087" s="110">
        <v>205000</v>
      </c>
      <c r="I1087" s="110">
        <v>79900</v>
      </c>
      <c r="J1087" s="111">
        <f t="shared" si="116"/>
        <v>38.975609756097562</v>
      </c>
      <c r="K1087" s="110">
        <v>173564</v>
      </c>
      <c r="L1087" s="110">
        <f>H1087-162757</f>
        <v>42243</v>
      </c>
      <c r="M1087" s="110">
        <v>10807</v>
      </c>
      <c r="N1087" s="112">
        <f t="shared" si="117"/>
        <v>5.271707317073171E-2</v>
      </c>
      <c r="O1087" s="113">
        <v>54.03</v>
      </c>
      <c r="P1087" s="114">
        <v>146</v>
      </c>
      <c r="Q1087" s="115">
        <v>0.16800000000000001</v>
      </c>
      <c r="R1087" s="115">
        <v>0.16800000000000001</v>
      </c>
      <c r="S1087" s="110">
        <f t="shared" si="118"/>
        <v>781.84342032204324</v>
      </c>
      <c r="T1087" s="110">
        <f t="shared" si="119"/>
        <v>251446.42857142855</v>
      </c>
      <c r="U1087" s="116">
        <f t="shared" si="120"/>
        <v>5.7724157155975329</v>
      </c>
      <c r="V1087" s="115">
        <v>50</v>
      </c>
      <c r="W1087" s="115">
        <f t="shared" si="121"/>
        <v>41000</v>
      </c>
      <c r="X1087" s="115">
        <f t="shared" si="123"/>
        <v>820</v>
      </c>
      <c r="Y1087" s="117" t="s">
        <v>801</v>
      </c>
      <c r="Z1087" s="108" t="s">
        <v>35</v>
      </c>
      <c r="AA1087" s="108" t="s">
        <v>35</v>
      </c>
      <c r="AB1087" s="108" t="s">
        <v>802</v>
      </c>
      <c r="AC1087" s="108">
        <v>0</v>
      </c>
      <c r="AD1087" s="108">
        <v>1</v>
      </c>
      <c r="AE1087" s="108" t="s">
        <v>37</v>
      </c>
      <c r="AF1087" s="108" t="s">
        <v>43</v>
      </c>
      <c r="AG1087" s="108" t="s">
        <v>38</v>
      </c>
      <c r="AH1087" s="108" t="s">
        <v>92</v>
      </c>
    </row>
    <row r="1088" spans="1:34" x14ac:dyDescent="0.3">
      <c r="A1088" s="118" t="s">
        <v>802</v>
      </c>
      <c r="B1088" s="119" t="s">
        <v>799</v>
      </c>
      <c r="C1088" s="119" t="s">
        <v>800</v>
      </c>
      <c r="D1088" s="120">
        <v>45605</v>
      </c>
      <c r="E1088" s="121">
        <v>205000</v>
      </c>
      <c r="F1088" s="119" t="s">
        <v>32</v>
      </c>
      <c r="G1088" s="119" t="s">
        <v>33</v>
      </c>
      <c r="H1088" s="121">
        <v>205000</v>
      </c>
      <c r="I1088" s="121">
        <v>83900</v>
      </c>
      <c r="J1088" s="122">
        <f t="shared" si="116"/>
        <v>40.926829268292678</v>
      </c>
      <c r="K1088" s="121">
        <v>182292</v>
      </c>
      <c r="L1088" s="121">
        <f>H1088-170482</f>
        <v>34518</v>
      </c>
      <c r="M1088" s="121">
        <v>11810</v>
      </c>
      <c r="N1088" s="123">
        <f t="shared" si="117"/>
        <v>5.7609756097560978E-2</v>
      </c>
      <c r="O1088" s="124">
        <v>59.05</v>
      </c>
      <c r="P1088" s="125">
        <v>113.38</v>
      </c>
      <c r="Q1088" s="126">
        <v>0.17699999999999999</v>
      </c>
      <c r="R1088" s="126">
        <v>0.17699999999999999</v>
      </c>
      <c r="S1088" s="121">
        <f t="shared" si="118"/>
        <v>584.55546147332768</v>
      </c>
      <c r="T1088" s="121">
        <f t="shared" si="119"/>
        <v>195016.94915254239</v>
      </c>
      <c r="U1088" s="127">
        <f t="shared" si="120"/>
        <v>4.4769731210409178</v>
      </c>
      <c r="V1088" s="126">
        <v>50</v>
      </c>
      <c r="W1088" s="126">
        <f t="shared" si="121"/>
        <v>41000</v>
      </c>
      <c r="X1088" s="126">
        <f t="shared" si="123"/>
        <v>820</v>
      </c>
      <c r="Y1088" s="128" t="s">
        <v>801</v>
      </c>
      <c r="Z1088" s="119" t="s">
        <v>35</v>
      </c>
      <c r="AA1088" s="119" t="s">
        <v>35</v>
      </c>
      <c r="AB1088" s="119" t="s">
        <v>802</v>
      </c>
      <c r="AC1088" s="119">
        <v>0</v>
      </c>
      <c r="AD1088" s="119">
        <v>1</v>
      </c>
      <c r="AE1088" s="119" t="s">
        <v>42</v>
      </c>
      <c r="AF1088" s="119" t="s">
        <v>35</v>
      </c>
      <c r="AG1088" s="119" t="s">
        <v>38</v>
      </c>
      <c r="AH1088" s="119" t="s">
        <v>92</v>
      </c>
    </row>
    <row r="1089" spans="1:34" x14ac:dyDescent="0.3">
      <c r="A1089" s="118" t="s">
        <v>802</v>
      </c>
      <c r="B1089" s="119" t="s">
        <v>817</v>
      </c>
      <c r="C1089" s="119" t="s">
        <v>818</v>
      </c>
      <c r="D1089" s="120">
        <v>45503</v>
      </c>
      <c r="E1089" s="121">
        <v>207500</v>
      </c>
      <c r="F1089" s="119" t="s">
        <v>32</v>
      </c>
      <c r="G1089" s="119" t="s">
        <v>33</v>
      </c>
      <c r="H1089" s="121">
        <v>207500</v>
      </c>
      <c r="I1089" s="121">
        <v>82300</v>
      </c>
      <c r="J1089" s="122">
        <f t="shared" si="116"/>
        <v>39.662650602409641</v>
      </c>
      <c r="K1089" s="121">
        <v>182556</v>
      </c>
      <c r="L1089" s="121">
        <f>H1089-171749</f>
        <v>35751</v>
      </c>
      <c r="M1089" s="121">
        <v>10807</v>
      </c>
      <c r="N1089" s="123">
        <f t="shared" si="117"/>
        <v>5.208192771084337E-2</v>
      </c>
      <c r="O1089" s="124">
        <v>54.03</v>
      </c>
      <c r="P1089" s="125">
        <v>146</v>
      </c>
      <c r="Q1089" s="126">
        <v>0.16800000000000001</v>
      </c>
      <c r="R1089" s="126">
        <v>0.16800000000000001</v>
      </c>
      <c r="S1089" s="121">
        <f t="shared" si="118"/>
        <v>661.68795113825649</v>
      </c>
      <c r="T1089" s="121">
        <f t="shared" si="119"/>
        <v>212803.57142857142</v>
      </c>
      <c r="U1089" s="127">
        <f t="shared" si="120"/>
        <v>4.8852977830250559</v>
      </c>
      <c r="V1089" s="126">
        <v>50</v>
      </c>
      <c r="W1089" s="126">
        <f t="shared" si="121"/>
        <v>41500</v>
      </c>
      <c r="X1089" s="126">
        <f t="shared" si="123"/>
        <v>830</v>
      </c>
      <c r="Y1089" s="128" t="s">
        <v>801</v>
      </c>
      <c r="Z1089" s="119" t="s">
        <v>35</v>
      </c>
      <c r="AA1089" s="119" t="s">
        <v>35</v>
      </c>
      <c r="AB1089" s="119" t="s">
        <v>802</v>
      </c>
      <c r="AC1089" s="119">
        <v>0</v>
      </c>
      <c r="AD1089" s="119">
        <v>1</v>
      </c>
      <c r="AE1089" s="119" t="s">
        <v>42</v>
      </c>
      <c r="AF1089" s="119" t="s">
        <v>43</v>
      </c>
      <c r="AG1089" s="119" t="s">
        <v>38</v>
      </c>
      <c r="AH1089" s="119" t="s">
        <v>92</v>
      </c>
    </row>
    <row r="1090" spans="1:34" x14ac:dyDescent="0.3">
      <c r="A1090" s="107" t="s">
        <v>802</v>
      </c>
      <c r="B1090" s="108" t="s">
        <v>831</v>
      </c>
      <c r="C1090" s="108" t="s">
        <v>832</v>
      </c>
      <c r="D1090" s="109">
        <v>45693</v>
      </c>
      <c r="E1090" s="110">
        <v>209900</v>
      </c>
      <c r="F1090" s="108" t="s">
        <v>32</v>
      </c>
      <c r="G1090" s="108" t="s">
        <v>33</v>
      </c>
      <c r="H1090" s="110">
        <v>209900</v>
      </c>
      <c r="I1090" s="110">
        <v>85700</v>
      </c>
      <c r="J1090" s="111">
        <f t="shared" ref="J1090:J1153" si="124">I1090/H1090*100</f>
        <v>40.828966174368745</v>
      </c>
      <c r="K1090" s="110">
        <v>185968</v>
      </c>
      <c r="L1090" s="110">
        <f>H1090-176252</f>
        <v>33648</v>
      </c>
      <c r="M1090" s="110">
        <v>9716</v>
      </c>
      <c r="N1090" s="112">
        <f t="shared" ref="N1090:N1153" si="125">M1090/E1090</f>
        <v>4.6288708909004286E-2</v>
      </c>
      <c r="O1090" s="113">
        <v>48.57</v>
      </c>
      <c r="P1090" s="114">
        <v>118</v>
      </c>
      <c r="Q1090" s="115">
        <v>0.13500000000000001</v>
      </c>
      <c r="R1090" s="115">
        <v>0.13500000000000001</v>
      </c>
      <c r="S1090" s="110">
        <f t="shared" ref="S1090:S1153" si="126">L1090/O1090</f>
        <v>692.77331686226069</v>
      </c>
      <c r="T1090" s="110">
        <f t="shared" ref="T1090:T1153" si="127">L1090/Q1090</f>
        <v>249244.44444444444</v>
      </c>
      <c r="U1090" s="116">
        <f t="shared" ref="U1090:U1153" si="128">L1090/Q1090/43560</f>
        <v>5.7218651158045093</v>
      </c>
      <c r="V1090" s="115">
        <v>50</v>
      </c>
      <c r="W1090" s="115">
        <f t="shared" ref="W1090:W1153" si="129">0.2*E1090</f>
        <v>41980</v>
      </c>
      <c r="X1090" s="115">
        <f t="shared" si="123"/>
        <v>839.6</v>
      </c>
      <c r="Y1090" s="117" t="s">
        <v>801</v>
      </c>
      <c r="Z1090" s="108" t="s">
        <v>35</v>
      </c>
      <c r="AA1090" s="108" t="s">
        <v>35</v>
      </c>
      <c r="AB1090" s="108" t="s">
        <v>802</v>
      </c>
      <c r="AC1090" s="108">
        <v>0</v>
      </c>
      <c r="AD1090" s="108">
        <v>1</v>
      </c>
      <c r="AE1090" s="108" t="s">
        <v>42</v>
      </c>
      <c r="AF1090" s="108" t="s">
        <v>35</v>
      </c>
      <c r="AG1090" s="108" t="s">
        <v>38</v>
      </c>
      <c r="AH1090" s="108" t="s">
        <v>92</v>
      </c>
    </row>
    <row r="1091" spans="1:34" x14ac:dyDescent="0.3">
      <c r="A1091" s="118" t="s">
        <v>802</v>
      </c>
      <c r="B1091" s="119" t="s">
        <v>857</v>
      </c>
      <c r="C1091" s="119" t="s">
        <v>858</v>
      </c>
      <c r="D1091" s="120">
        <v>45406</v>
      </c>
      <c r="E1091" s="121">
        <v>220000</v>
      </c>
      <c r="F1091" s="119" t="s">
        <v>32</v>
      </c>
      <c r="G1091" s="119" t="s">
        <v>33</v>
      </c>
      <c r="H1091" s="121">
        <v>220000</v>
      </c>
      <c r="I1091" s="121">
        <v>84200</v>
      </c>
      <c r="J1091" s="122">
        <f t="shared" si="124"/>
        <v>38.272727272727273</v>
      </c>
      <c r="K1091" s="121">
        <v>183156</v>
      </c>
      <c r="L1091" s="121">
        <f>H1091-172795</f>
        <v>47205</v>
      </c>
      <c r="M1091" s="121">
        <v>10361</v>
      </c>
      <c r="N1091" s="123">
        <f t="shared" si="125"/>
        <v>4.7095454545454545E-2</v>
      </c>
      <c r="O1091" s="124">
        <v>51.8</v>
      </c>
      <c r="P1091" s="125">
        <v>134.18</v>
      </c>
      <c r="Q1091" s="126">
        <v>0.154</v>
      </c>
      <c r="R1091" s="126">
        <v>0.154</v>
      </c>
      <c r="S1091" s="121">
        <f t="shared" si="126"/>
        <v>911.29343629343634</v>
      </c>
      <c r="T1091" s="121">
        <f t="shared" si="127"/>
        <v>306525.97402597405</v>
      </c>
      <c r="U1091" s="127">
        <f t="shared" si="128"/>
        <v>7.0368680905870997</v>
      </c>
      <c r="V1091" s="126">
        <v>50</v>
      </c>
      <c r="W1091" s="126">
        <f t="shared" si="129"/>
        <v>44000</v>
      </c>
      <c r="X1091" s="126">
        <f t="shared" si="123"/>
        <v>880</v>
      </c>
      <c r="Y1091" s="128" t="s">
        <v>801</v>
      </c>
      <c r="Z1091" s="119" t="s">
        <v>35</v>
      </c>
      <c r="AA1091" s="119" t="s">
        <v>35</v>
      </c>
      <c r="AB1091" s="119" t="s">
        <v>802</v>
      </c>
      <c r="AC1091" s="119">
        <v>0</v>
      </c>
      <c r="AD1091" s="119">
        <v>1</v>
      </c>
      <c r="AE1091" s="119" t="s">
        <v>42</v>
      </c>
      <c r="AF1091" s="119" t="s">
        <v>43</v>
      </c>
      <c r="AG1091" s="119" t="s">
        <v>38</v>
      </c>
      <c r="AH1091" s="119" t="s">
        <v>92</v>
      </c>
    </row>
    <row r="1092" spans="1:34" x14ac:dyDescent="0.3">
      <c r="A1092" s="107" t="s">
        <v>802</v>
      </c>
      <c r="B1092" s="108" t="s">
        <v>829</v>
      </c>
      <c r="C1092" s="108" t="s">
        <v>830</v>
      </c>
      <c r="D1092" s="109">
        <v>45547</v>
      </c>
      <c r="E1092" s="110">
        <v>223000</v>
      </c>
      <c r="F1092" s="108" t="s">
        <v>32</v>
      </c>
      <c r="G1092" s="108" t="s">
        <v>33</v>
      </c>
      <c r="H1092" s="110">
        <v>223000</v>
      </c>
      <c r="I1092" s="110">
        <v>78800</v>
      </c>
      <c r="J1092" s="111">
        <f t="shared" si="124"/>
        <v>35.336322869955154</v>
      </c>
      <c r="K1092" s="110">
        <v>171185</v>
      </c>
      <c r="L1092" s="110">
        <f>H1092-160744</f>
        <v>62256</v>
      </c>
      <c r="M1092" s="110">
        <v>10441</v>
      </c>
      <c r="N1092" s="112">
        <f t="shared" si="125"/>
        <v>4.6820627802690584E-2</v>
      </c>
      <c r="O1092" s="113">
        <v>52.2</v>
      </c>
      <c r="P1092" s="114">
        <v>136.28</v>
      </c>
      <c r="Q1092" s="115">
        <v>0.156</v>
      </c>
      <c r="R1092" s="115">
        <v>0.156</v>
      </c>
      <c r="S1092" s="110">
        <f t="shared" si="126"/>
        <v>1192.6436781609195</v>
      </c>
      <c r="T1092" s="110">
        <f t="shared" si="127"/>
        <v>399076.92307692306</v>
      </c>
      <c r="U1092" s="116">
        <f t="shared" si="128"/>
        <v>9.1615455251818894</v>
      </c>
      <c r="V1092" s="115">
        <v>50</v>
      </c>
      <c r="W1092" s="115">
        <f t="shared" si="129"/>
        <v>44600</v>
      </c>
      <c r="X1092" s="115">
        <f t="shared" si="123"/>
        <v>892</v>
      </c>
      <c r="Y1092" s="117" t="s">
        <v>801</v>
      </c>
      <c r="Z1092" s="108" t="s">
        <v>35</v>
      </c>
      <c r="AA1092" s="108" t="s">
        <v>35</v>
      </c>
      <c r="AB1092" s="108" t="s">
        <v>802</v>
      </c>
      <c r="AC1092" s="108">
        <v>0</v>
      </c>
      <c r="AD1092" s="108">
        <v>1</v>
      </c>
      <c r="AE1092" s="108" t="s">
        <v>37</v>
      </c>
      <c r="AF1092" s="108" t="s">
        <v>43</v>
      </c>
      <c r="AG1092" s="108" t="s">
        <v>38</v>
      </c>
      <c r="AH1092" s="108" t="s">
        <v>92</v>
      </c>
    </row>
    <row r="1093" spans="1:34" x14ac:dyDescent="0.3">
      <c r="A1093" s="118" t="s">
        <v>802</v>
      </c>
      <c r="B1093" s="119" t="s">
        <v>827</v>
      </c>
      <c r="C1093" s="119" t="s">
        <v>828</v>
      </c>
      <c r="D1093" s="120">
        <v>45386</v>
      </c>
      <c r="E1093" s="121">
        <v>233000</v>
      </c>
      <c r="F1093" s="119" t="s">
        <v>32</v>
      </c>
      <c r="G1093" s="119" t="s">
        <v>33</v>
      </c>
      <c r="H1093" s="121">
        <v>233000</v>
      </c>
      <c r="I1093" s="121">
        <v>80200</v>
      </c>
      <c r="J1093" s="122">
        <f t="shared" si="124"/>
        <v>34.420600858369099</v>
      </c>
      <c r="K1093" s="121">
        <v>174196</v>
      </c>
      <c r="L1093" s="121">
        <f>H1093-163804</f>
        <v>69196</v>
      </c>
      <c r="M1093" s="121">
        <v>10392</v>
      </c>
      <c r="N1093" s="123">
        <f t="shared" si="125"/>
        <v>4.460085836909871E-2</v>
      </c>
      <c r="O1093" s="124">
        <v>51.96</v>
      </c>
      <c r="P1093" s="125">
        <v>135</v>
      </c>
      <c r="Q1093" s="126">
        <v>0.155</v>
      </c>
      <c r="R1093" s="126">
        <v>0.155</v>
      </c>
      <c r="S1093" s="121">
        <f t="shared" si="126"/>
        <v>1331.7167051578137</v>
      </c>
      <c r="T1093" s="121">
        <f t="shared" si="127"/>
        <v>446425.80645161291</v>
      </c>
      <c r="U1093" s="127">
        <f t="shared" si="128"/>
        <v>10.248526318907551</v>
      </c>
      <c r="V1093" s="126">
        <v>50</v>
      </c>
      <c r="W1093" s="126">
        <f t="shared" si="129"/>
        <v>46600</v>
      </c>
      <c r="X1093" s="126">
        <f t="shared" si="123"/>
        <v>932</v>
      </c>
      <c r="Y1093" s="128" t="s">
        <v>801</v>
      </c>
      <c r="Z1093" s="119" t="s">
        <v>35</v>
      </c>
      <c r="AA1093" s="119" t="s">
        <v>35</v>
      </c>
      <c r="AB1093" s="119" t="s">
        <v>802</v>
      </c>
      <c r="AC1093" s="119">
        <v>0</v>
      </c>
      <c r="AD1093" s="119">
        <v>1</v>
      </c>
      <c r="AE1093" s="119" t="s">
        <v>37</v>
      </c>
      <c r="AF1093" s="119" t="s">
        <v>43</v>
      </c>
      <c r="AG1093" s="119" t="s">
        <v>38</v>
      </c>
      <c r="AH1093" s="119" t="s">
        <v>92</v>
      </c>
    </row>
    <row r="1094" spans="1:34" x14ac:dyDescent="0.3">
      <c r="A1094" s="107" t="s">
        <v>802</v>
      </c>
      <c r="B1094" s="108" t="s">
        <v>805</v>
      </c>
      <c r="C1094" s="108" t="s">
        <v>806</v>
      </c>
      <c r="D1094" s="109">
        <v>45257</v>
      </c>
      <c r="E1094" s="110">
        <v>235000</v>
      </c>
      <c r="F1094" s="108" t="s">
        <v>32</v>
      </c>
      <c r="G1094" s="108" t="s">
        <v>33</v>
      </c>
      <c r="H1094" s="110">
        <v>235000</v>
      </c>
      <c r="I1094" s="110">
        <v>89700</v>
      </c>
      <c r="J1094" s="111">
        <f t="shared" si="124"/>
        <v>38.170212765957444</v>
      </c>
      <c r="K1094" s="110">
        <v>234176</v>
      </c>
      <c r="L1094" s="110">
        <f>H1094-223750</f>
        <v>11250</v>
      </c>
      <c r="M1094" s="110">
        <v>10426</v>
      </c>
      <c r="N1094" s="112">
        <f t="shared" si="125"/>
        <v>4.4365957446808511E-2</v>
      </c>
      <c r="O1094" s="113">
        <v>52.12</v>
      </c>
      <c r="P1094" s="114">
        <v>135.87</v>
      </c>
      <c r="Q1094" s="115">
        <v>0.156</v>
      </c>
      <c r="R1094" s="115">
        <v>0.156</v>
      </c>
      <c r="S1094" s="110">
        <f t="shared" si="126"/>
        <v>215.84804297774369</v>
      </c>
      <c r="T1094" s="110">
        <f t="shared" si="127"/>
        <v>72115.38461538461</v>
      </c>
      <c r="U1094" s="116">
        <f t="shared" si="128"/>
        <v>1.6555414282687009</v>
      </c>
      <c r="V1094" s="115">
        <v>50</v>
      </c>
      <c r="W1094" s="115">
        <f t="shared" si="129"/>
        <v>47000</v>
      </c>
      <c r="X1094" s="115">
        <f t="shared" si="123"/>
        <v>940</v>
      </c>
      <c r="Y1094" s="117" t="s">
        <v>801</v>
      </c>
      <c r="Z1094" s="108" t="s">
        <v>35</v>
      </c>
      <c r="AA1094" s="108" t="s">
        <v>35</v>
      </c>
      <c r="AB1094" s="108" t="s">
        <v>802</v>
      </c>
      <c r="AC1094" s="108">
        <v>0</v>
      </c>
      <c r="AD1094" s="108">
        <v>1</v>
      </c>
      <c r="AE1094" s="108" t="s">
        <v>42</v>
      </c>
      <c r="AF1094" s="108" t="s">
        <v>43</v>
      </c>
      <c r="AG1094" s="108" t="s">
        <v>38</v>
      </c>
      <c r="AH1094" s="108" t="s">
        <v>92</v>
      </c>
    </row>
    <row r="1095" spans="1:34" x14ac:dyDescent="0.3">
      <c r="A1095" s="118" t="s">
        <v>802</v>
      </c>
      <c r="B1095" s="119" t="s">
        <v>859</v>
      </c>
      <c r="C1095" s="119" t="s">
        <v>860</v>
      </c>
      <c r="D1095" s="120">
        <v>45317</v>
      </c>
      <c r="E1095" s="121">
        <v>185000</v>
      </c>
      <c r="F1095" s="119" t="s">
        <v>32</v>
      </c>
      <c r="G1095" s="119" t="s">
        <v>33</v>
      </c>
      <c r="H1095" s="121">
        <v>185000</v>
      </c>
      <c r="I1095" s="121">
        <v>64100</v>
      </c>
      <c r="J1095" s="122">
        <f t="shared" si="124"/>
        <v>34.648648648648653</v>
      </c>
      <c r="K1095" s="121">
        <v>165460</v>
      </c>
      <c r="L1095" s="121">
        <f>H1095-153012</f>
        <v>31988</v>
      </c>
      <c r="M1095" s="121">
        <v>12448</v>
      </c>
      <c r="N1095" s="123">
        <f t="shared" si="125"/>
        <v>6.7286486486486483E-2</v>
      </c>
      <c r="O1095" s="124">
        <v>62.23</v>
      </c>
      <c r="P1095" s="125">
        <v>119.46</v>
      </c>
      <c r="Q1095" s="126">
        <v>0.21</v>
      </c>
      <c r="R1095" s="126">
        <v>0.21</v>
      </c>
      <c r="S1095" s="121">
        <f t="shared" si="126"/>
        <v>514.02860356741121</v>
      </c>
      <c r="T1095" s="121">
        <f t="shared" si="127"/>
        <v>152323.80952380953</v>
      </c>
      <c r="U1095" s="127">
        <f t="shared" si="128"/>
        <v>3.4968734968734969</v>
      </c>
      <c r="V1095" s="126">
        <v>38</v>
      </c>
      <c r="W1095" s="126">
        <f t="shared" si="129"/>
        <v>37000</v>
      </c>
      <c r="X1095" s="126">
        <f t="shared" si="123"/>
        <v>973.68421052631584</v>
      </c>
      <c r="Y1095" s="128" t="s">
        <v>801</v>
      </c>
      <c r="Z1095" s="119" t="s">
        <v>35</v>
      </c>
      <c r="AA1095" s="119" t="s">
        <v>35</v>
      </c>
      <c r="AB1095" s="119" t="s">
        <v>802</v>
      </c>
      <c r="AC1095" s="119">
        <v>0</v>
      </c>
      <c r="AD1095" s="119">
        <v>1</v>
      </c>
      <c r="AE1095" s="119" t="s">
        <v>37</v>
      </c>
      <c r="AF1095" s="119" t="s">
        <v>43</v>
      </c>
      <c r="AG1095" s="119" t="s">
        <v>38</v>
      </c>
      <c r="AH1095" s="119" t="s">
        <v>92</v>
      </c>
    </row>
    <row r="1096" spans="1:34" x14ac:dyDescent="0.3">
      <c r="A1096" s="107" t="s">
        <v>942</v>
      </c>
      <c r="B1096" s="108" t="s">
        <v>943</v>
      </c>
      <c r="C1096" s="108" t="s">
        <v>944</v>
      </c>
      <c r="D1096" s="109">
        <v>45552</v>
      </c>
      <c r="E1096" s="110">
        <v>186000</v>
      </c>
      <c r="F1096" s="108" t="s">
        <v>32</v>
      </c>
      <c r="G1096" s="108" t="s">
        <v>33</v>
      </c>
      <c r="H1096" s="110">
        <v>186000</v>
      </c>
      <c r="I1096" s="110">
        <v>77400</v>
      </c>
      <c r="J1096" s="111">
        <f t="shared" si="124"/>
        <v>41.612903225806456</v>
      </c>
      <c r="K1096" s="110">
        <v>169275</v>
      </c>
      <c r="L1096" s="110">
        <f>H1096-160885</f>
        <v>25115</v>
      </c>
      <c r="M1096" s="110">
        <v>8390</v>
      </c>
      <c r="N1096" s="112">
        <f t="shared" si="125"/>
        <v>4.5107526881720428E-2</v>
      </c>
      <c r="O1096" s="113">
        <v>59.92</v>
      </c>
      <c r="P1096" s="114">
        <v>102</v>
      </c>
      <c r="Q1096" s="115">
        <v>0.152</v>
      </c>
      <c r="R1096" s="115">
        <v>0.152</v>
      </c>
      <c r="S1096" s="110">
        <f t="shared" si="126"/>
        <v>419.1421895861148</v>
      </c>
      <c r="T1096" s="110">
        <f t="shared" si="127"/>
        <v>165230.26315789475</v>
      </c>
      <c r="U1096" s="116">
        <f t="shared" si="128"/>
        <v>3.7931649026146634</v>
      </c>
      <c r="V1096" s="115">
        <v>65</v>
      </c>
      <c r="W1096" s="115">
        <f t="shared" si="129"/>
        <v>37200</v>
      </c>
      <c r="X1096" s="115">
        <f t="shared" si="123"/>
        <v>572.30769230769226</v>
      </c>
      <c r="Y1096" s="117" t="s">
        <v>941</v>
      </c>
      <c r="Z1096" s="108" t="s">
        <v>35</v>
      </c>
      <c r="AA1096" s="108" t="s">
        <v>35</v>
      </c>
      <c r="AB1096" s="108" t="s">
        <v>942</v>
      </c>
      <c r="AC1096" s="108">
        <v>0</v>
      </c>
      <c r="AD1096" s="108">
        <v>1</v>
      </c>
      <c r="AE1096" s="108" t="s">
        <v>42</v>
      </c>
      <c r="AF1096" s="108" t="s">
        <v>43</v>
      </c>
      <c r="AG1096" s="108" t="s">
        <v>38</v>
      </c>
      <c r="AH1096" s="108" t="s">
        <v>92</v>
      </c>
    </row>
    <row r="1097" spans="1:34" x14ac:dyDescent="0.3">
      <c r="A1097" s="118" t="s">
        <v>942</v>
      </c>
      <c r="B1097" s="119" t="s">
        <v>953</v>
      </c>
      <c r="C1097" s="119" t="s">
        <v>954</v>
      </c>
      <c r="D1097" s="120">
        <v>45084</v>
      </c>
      <c r="E1097" s="121">
        <v>172000</v>
      </c>
      <c r="F1097" s="119" t="s">
        <v>32</v>
      </c>
      <c r="G1097" s="119" t="s">
        <v>33</v>
      </c>
      <c r="H1097" s="121">
        <v>172000</v>
      </c>
      <c r="I1097" s="121">
        <v>66700</v>
      </c>
      <c r="J1097" s="122">
        <f t="shared" si="124"/>
        <v>38.779069767441861</v>
      </c>
      <c r="K1097" s="121">
        <v>159162</v>
      </c>
      <c r="L1097" s="121">
        <f>H1097-150761</f>
        <v>21239</v>
      </c>
      <c r="M1097" s="121">
        <v>8401</v>
      </c>
      <c r="N1097" s="123">
        <f t="shared" si="125"/>
        <v>4.8843023255813953E-2</v>
      </c>
      <c r="O1097" s="124">
        <v>60.01</v>
      </c>
      <c r="P1097" s="125">
        <v>120</v>
      </c>
      <c r="Q1097" s="126">
        <v>0.16500000000000001</v>
      </c>
      <c r="R1097" s="126">
        <v>0.16500000000000001</v>
      </c>
      <c r="S1097" s="121">
        <f t="shared" si="126"/>
        <v>353.92434594234294</v>
      </c>
      <c r="T1097" s="121">
        <f t="shared" si="127"/>
        <v>128721.21212121211</v>
      </c>
      <c r="U1097" s="127">
        <f t="shared" si="128"/>
        <v>2.9550324178423351</v>
      </c>
      <c r="V1097" s="126">
        <v>60</v>
      </c>
      <c r="W1097" s="126">
        <f t="shared" si="129"/>
        <v>34400</v>
      </c>
      <c r="X1097" s="126">
        <f t="shared" si="123"/>
        <v>573.33333333333337</v>
      </c>
      <c r="Y1097" s="128" t="s">
        <v>941</v>
      </c>
      <c r="Z1097" s="119" t="s">
        <v>35</v>
      </c>
      <c r="AA1097" s="119" t="s">
        <v>35</v>
      </c>
      <c r="AB1097" s="119" t="s">
        <v>942</v>
      </c>
      <c r="AC1097" s="119">
        <v>0</v>
      </c>
      <c r="AD1097" s="119">
        <v>1</v>
      </c>
      <c r="AE1097" s="119" t="s">
        <v>37</v>
      </c>
      <c r="AF1097" s="119" t="s">
        <v>43</v>
      </c>
      <c r="AG1097" s="119" t="s">
        <v>38</v>
      </c>
      <c r="AH1097" s="119" t="s">
        <v>92</v>
      </c>
    </row>
    <row r="1098" spans="1:34" x14ac:dyDescent="0.3">
      <c r="A1098" s="107" t="s">
        <v>942</v>
      </c>
      <c r="B1098" s="108" t="s">
        <v>939</v>
      </c>
      <c r="C1098" s="108" t="s">
        <v>940</v>
      </c>
      <c r="D1098" s="109">
        <v>45019</v>
      </c>
      <c r="E1098" s="110">
        <v>155000</v>
      </c>
      <c r="F1098" s="108" t="s">
        <v>32</v>
      </c>
      <c r="G1098" s="108" t="s">
        <v>33</v>
      </c>
      <c r="H1098" s="110">
        <v>155000</v>
      </c>
      <c r="I1098" s="110">
        <v>70000</v>
      </c>
      <c r="J1098" s="111">
        <f t="shared" si="124"/>
        <v>45.161290322580641</v>
      </c>
      <c r="K1098" s="110">
        <v>167662</v>
      </c>
      <c r="L1098" s="110">
        <f>H1098-161144</f>
        <v>-6144</v>
      </c>
      <c r="M1098" s="110">
        <v>6518</v>
      </c>
      <c r="N1098" s="112">
        <f t="shared" si="125"/>
        <v>4.2051612903225809E-2</v>
      </c>
      <c r="O1098" s="113">
        <v>46.55</v>
      </c>
      <c r="P1098" s="114">
        <v>104.04</v>
      </c>
      <c r="Q1098" s="115">
        <v>0.11899999999999999</v>
      </c>
      <c r="R1098" s="115">
        <v>0.11899999999999999</v>
      </c>
      <c r="S1098" s="110">
        <f t="shared" si="126"/>
        <v>-131.98711063372718</v>
      </c>
      <c r="T1098" s="110">
        <f t="shared" si="127"/>
        <v>-51630.252100840342</v>
      </c>
      <c r="U1098" s="116">
        <f t="shared" si="128"/>
        <v>-1.1852674954279234</v>
      </c>
      <c r="V1098" s="115">
        <v>50</v>
      </c>
      <c r="W1098" s="115">
        <f t="shared" si="129"/>
        <v>31000</v>
      </c>
      <c r="X1098" s="115">
        <f t="shared" si="123"/>
        <v>620</v>
      </c>
      <c r="Y1098" s="117" t="s">
        <v>941</v>
      </c>
      <c r="Z1098" s="108" t="s">
        <v>35</v>
      </c>
      <c r="AA1098" s="108" t="s">
        <v>35</v>
      </c>
      <c r="AB1098" s="108" t="s">
        <v>942</v>
      </c>
      <c r="AC1098" s="108">
        <v>0</v>
      </c>
      <c r="AD1098" s="108">
        <v>1</v>
      </c>
      <c r="AE1098" s="108" t="s">
        <v>42</v>
      </c>
      <c r="AF1098" s="108" t="s">
        <v>43</v>
      </c>
      <c r="AG1098" s="108" t="s">
        <v>38</v>
      </c>
      <c r="AH1098" s="108" t="s">
        <v>92</v>
      </c>
    </row>
    <row r="1099" spans="1:34" x14ac:dyDescent="0.3">
      <c r="A1099" s="107" t="s">
        <v>942</v>
      </c>
      <c r="B1099" s="108" t="s">
        <v>949</v>
      </c>
      <c r="C1099" s="108" t="s">
        <v>950</v>
      </c>
      <c r="D1099" s="109">
        <v>45177</v>
      </c>
      <c r="E1099" s="110">
        <v>176000</v>
      </c>
      <c r="F1099" s="108" t="s">
        <v>32</v>
      </c>
      <c r="G1099" s="108" t="s">
        <v>33</v>
      </c>
      <c r="H1099" s="110">
        <v>176000</v>
      </c>
      <c r="I1099" s="110">
        <v>59000</v>
      </c>
      <c r="J1099" s="111">
        <f t="shared" si="124"/>
        <v>33.522727272727273</v>
      </c>
      <c r="K1099" s="110">
        <v>143593</v>
      </c>
      <c r="L1099" s="110">
        <f>H1099-137010</f>
        <v>38990</v>
      </c>
      <c r="M1099" s="110">
        <v>6583</v>
      </c>
      <c r="N1099" s="112">
        <f t="shared" si="125"/>
        <v>3.7403409090909091E-2</v>
      </c>
      <c r="O1099" s="113">
        <v>47.01</v>
      </c>
      <c r="P1099" s="114">
        <v>102</v>
      </c>
      <c r="Q1099" s="115">
        <v>0.11899999999999999</v>
      </c>
      <c r="R1099" s="115">
        <v>0.11899999999999999</v>
      </c>
      <c r="S1099" s="110">
        <f t="shared" si="126"/>
        <v>829.39800042544141</v>
      </c>
      <c r="T1099" s="110">
        <f t="shared" si="127"/>
        <v>327647.0588235294</v>
      </c>
      <c r="U1099" s="116">
        <f t="shared" si="128"/>
        <v>7.5217414789607302</v>
      </c>
      <c r="V1099" s="115">
        <v>51</v>
      </c>
      <c r="W1099" s="115">
        <f t="shared" si="129"/>
        <v>35200</v>
      </c>
      <c r="X1099" s="115">
        <f t="shared" si="123"/>
        <v>690.1960784313726</v>
      </c>
      <c r="Y1099" s="117" t="s">
        <v>941</v>
      </c>
      <c r="Z1099" s="108" t="s">
        <v>35</v>
      </c>
      <c r="AA1099" s="108" t="s">
        <v>35</v>
      </c>
      <c r="AB1099" s="108" t="s">
        <v>942</v>
      </c>
      <c r="AC1099" s="108">
        <v>0</v>
      </c>
      <c r="AD1099" s="108">
        <v>1</v>
      </c>
      <c r="AE1099" s="108" t="s">
        <v>37</v>
      </c>
      <c r="AF1099" s="108" t="s">
        <v>43</v>
      </c>
      <c r="AG1099" s="108" t="s">
        <v>38</v>
      </c>
      <c r="AH1099" s="108" t="s">
        <v>92</v>
      </c>
    </row>
    <row r="1100" spans="1:34" x14ac:dyDescent="0.3">
      <c r="A1100" s="118" t="s">
        <v>942</v>
      </c>
      <c r="B1100" s="119" t="s">
        <v>945</v>
      </c>
      <c r="C1100" s="119" t="s">
        <v>946</v>
      </c>
      <c r="D1100" s="120">
        <v>45252</v>
      </c>
      <c r="E1100" s="121">
        <v>194900</v>
      </c>
      <c r="F1100" s="119" t="s">
        <v>32</v>
      </c>
      <c r="G1100" s="119" t="s">
        <v>33</v>
      </c>
      <c r="H1100" s="121">
        <v>194900</v>
      </c>
      <c r="I1100" s="121">
        <v>73600</v>
      </c>
      <c r="J1100" s="122">
        <f t="shared" si="124"/>
        <v>37.762955361723961</v>
      </c>
      <c r="K1100" s="121">
        <v>178691</v>
      </c>
      <c r="L1100" s="121">
        <f>H1100-172108</f>
        <v>22792</v>
      </c>
      <c r="M1100" s="121">
        <v>6583</v>
      </c>
      <c r="N1100" s="123">
        <f t="shared" si="125"/>
        <v>3.3776295536172396E-2</v>
      </c>
      <c r="O1100" s="124">
        <v>47.01</v>
      </c>
      <c r="P1100" s="125">
        <v>102</v>
      </c>
      <c r="Q1100" s="126">
        <v>0.11899999999999999</v>
      </c>
      <c r="R1100" s="126">
        <v>0.11899999999999999</v>
      </c>
      <c r="S1100" s="121">
        <f t="shared" si="126"/>
        <v>484.83301425228677</v>
      </c>
      <c r="T1100" s="121">
        <f t="shared" si="127"/>
        <v>191529.4117647059</v>
      </c>
      <c r="U1100" s="127">
        <f t="shared" si="128"/>
        <v>4.3969102792632206</v>
      </c>
      <c r="V1100" s="126">
        <v>51</v>
      </c>
      <c r="W1100" s="126">
        <f t="shared" si="129"/>
        <v>38980</v>
      </c>
      <c r="X1100" s="126">
        <f t="shared" si="123"/>
        <v>764.31372549019613</v>
      </c>
      <c r="Y1100" s="128" t="s">
        <v>941</v>
      </c>
      <c r="Z1100" s="119" t="s">
        <v>35</v>
      </c>
      <c r="AA1100" s="119" t="s">
        <v>35</v>
      </c>
      <c r="AB1100" s="119" t="s">
        <v>942</v>
      </c>
      <c r="AC1100" s="119">
        <v>0</v>
      </c>
      <c r="AD1100" s="119">
        <v>1</v>
      </c>
      <c r="AE1100" s="119" t="s">
        <v>37</v>
      </c>
      <c r="AF1100" s="119" t="s">
        <v>43</v>
      </c>
      <c r="AG1100" s="119" t="s">
        <v>38</v>
      </c>
      <c r="AH1100" s="119" t="s">
        <v>92</v>
      </c>
    </row>
    <row r="1101" spans="1:34" x14ac:dyDescent="0.3">
      <c r="A1101" s="107" t="s">
        <v>942</v>
      </c>
      <c r="B1101" s="108" t="s">
        <v>951</v>
      </c>
      <c r="C1101" s="108" t="s">
        <v>952</v>
      </c>
      <c r="D1101" s="109">
        <v>45197</v>
      </c>
      <c r="E1101" s="110">
        <v>235050</v>
      </c>
      <c r="F1101" s="108" t="s">
        <v>32</v>
      </c>
      <c r="G1101" s="108" t="s">
        <v>33</v>
      </c>
      <c r="H1101" s="110">
        <v>235050</v>
      </c>
      <c r="I1101" s="110">
        <v>75100</v>
      </c>
      <c r="J1101" s="111">
        <f t="shared" si="124"/>
        <v>31.950648798128057</v>
      </c>
      <c r="K1101" s="110">
        <v>183350</v>
      </c>
      <c r="L1101" s="110">
        <f>H1101-176587</f>
        <v>58463</v>
      </c>
      <c r="M1101" s="110">
        <v>6763</v>
      </c>
      <c r="N1101" s="112">
        <f t="shared" si="125"/>
        <v>2.8772601574133163E-2</v>
      </c>
      <c r="O1101" s="113">
        <v>48.3</v>
      </c>
      <c r="P1101" s="114">
        <v>112</v>
      </c>
      <c r="Q1101" s="115">
        <v>0.129</v>
      </c>
      <c r="R1101" s="115">
        <v>0.129</v>
      </c>
      <c r="S1101" s="110">
        <f t="shared" si="126"/>
        <v>1210.4140786749483</v>
      </c>
      <c r="T1101" s="110">
        <f t="shared" si="127"/>
        <v>453201.55038759689</v>
      </c>
      <c r="U1101" s="116">
        <f t="shared" si="128"/>
        <v>10.404075996042168</v>
      </c>
      <c r="V1101" s="115">
        <v>50</v>
      </c>
      <c r="W1101" s="115">
        <f t="shared" si="129"/>
        <v>47010</v>
      </c>
      <c r="X1101" s="115">
        <f t="shared" si="123"/>
        <v>940.2</v>
      </c>
      <c r="Y1101" s="117" t="s">
        <v>941</v>
      </c>
      <c r="Z1101" s="108" t="s">
        <v>35</v>
      </c>
      <c r="AA1101" s="108" t="s">
        <v>35</v>
      </c>
      <c r="AB1101" s="108" t="s">
        <v>942</v>
      </c>
      <c r="AC1101" s="108">
        <v>0</v>
      </c>
      <c r="AD1101" s="108">
        <v>1</v>
      </c>
      <c r="AE1101" s="108" t="s">
        <v>37</v>
      </c>
      <c r="AF1101" s="108" t="s">
        <v>43</v>
      </c>
      <c r="AG1101" s="108" t="s">
        <v>38</v>
      </c>
      <c r="AH1101" s="108" t="s">
        <v>92</v>
      </c>
    </row>
    <row r="1102" spans="1:34" x14ac:dyDescent="0.3">
      <c r="A1102" s="118" t="s">
        <v>942</v>
      </c>
      <c r="B1102" s="119" t="s">
        <v>951</v>
      </c>
      <c r="C1102" s="119" t="s">
        <v>952</v>
      </c>
      <c r="D1102" s="120">
        <v>45623</v>
      </c>
      <c r="E1102" s="121">
        <v>250000</v>
      </c>
      <c r="F1102" s="119" t="s">
        <v>32</v>
      </c>
      <c r="G1102" s="119" t="s">
        <v>33</v>
      </c>
      <c r="H1102" s="121">
        <v>250000</v>
      </c>
      <c r="I1102" s="121">
        <v>83500</v>
      </c>
      <c r="J1102" s="122">
        <f t="shared" si="124"/>
        <v>33.4</v>
      </c>
      <c r="K1102" s="121">
        <v>183350</v>
      </c>
      <c r="L1102" s="121">
        <f>H1102-176587</f>
        <v>73413</v>
      </c>
      <c r="M1102" s="121">
        <v>6763</v>
      </c>
      <c r="N1102" s="123">
        <f t="shared" si="125"/>
        <v>2.7052E-2</v>
      </c>
      <c r="O1102" s="124">
        <v>48.3</v>
      </c>
      <c r="P1102" s="125">
        <v>112</v>
      </c>
      <c r="Q1102" s="126">
        <v>0.129</v>
      </c>
      <c r="R1102" s="126">
        <v>0.129</v>
      </c>
      <c r="S1102" s="121">
        <f t="shared" si="126"/>
        <v>1519.9378881987579</v>
      </c>
      <c r="T1102" s="121">
        <f t="shared" si="127"/>
        <v>569093.02325581398</v>
      </c>
      <c r="U1102" s="127">
        <f t="shared" si="128"/>
        <v>13.064578128003076</v>
      </c>
      <c r="V1102" s="126">
        <v>50</v>
      </c>
      <c r="W1102" s="126">
        <f t="shared" si="129"/>
        <v>50000</v>
      </c>
      <c r="X1102" s="126">
        <f t="shared" si="123"/>
        <v>1000</v>
      </c>
      <c r="Y1102" s="128" t="s">
        <v>941</v>
      </c>
      <c r="Z1102" s="119" t="s">
        <v>35</v>
      </c>
      <c r="AA1102" s="119" t="s">
        <v>35</v>
      </c>
      <c r="AB1102" s="119" t="s">
        <v>942</v>
      </c>
      <c r="AC1102" s="119">
        <v>0</v>
      </c>
      <c r="AD1102" s="119">
        <v>1</v>
      </c>
      <c r="AE1102" s="119" t="s">
        <v>37</v>
      </c>
      <c r="AF1102" s="119" t="s">
        <v>35</v>
      </c>
      <c r="AG1102" s="119" t="s">
        <v>38</v>
      </c>
      <c r="AH1102" s="119" t="s">
        <v>92</v>
      </c>
    </row>
    <row r="1103" spans="1:34" x14ac:dyDescent="0.3">
      <c r="A1103" s="118" t="s">
        <v>942</v>
      </c>
      <c r="B1103" s="119" t="s">
        <v>947</v>
      </c>
      <c r="C1103" s="119" t="s">
        <v>948</v>
      </c>
      <c r="D1103" s="120">
        <v>45222</v>
      </c>
      <c r="E1103" s="121">
        <v>265550</v>
      </c>
      <c r="F1103" s="119" t="s">
        <v>32</v>
      </c>
      <c r="G1103" s="119" t="s">
        <v>33</v>
      </c>
      <c r="H1103" s="121">
        <v>265550</v>
      </c>
      <c r="I1103" s="121">
        <v>129300</v>
      </c>
      <c r="J1103" s="122">
        <f t="shared" si="124"/>
        <v>48.691395217473172</v>
      </c>
      <c r="K1103" s="121">
        <v>299838</v>
      </c>
      <c r="L1103" s="121">
        <f>H1103-293255</f>
        <v>-27705</v>
      </c>
      <c r="M1103" s="121">
        <v>6583</v>
      </c>
      <c r="N1103" s="123">
        <f t="shared" si="125"/>
        <v>2.4790058369421955E-2</v>
      </c>
      <c r="O1103" s="124">
        <v>47.01</v>
      </c>
      <c r="P1103" s="125">
        <v>102</v>
      </c>
      <c r="Q1103" s="126">
        <v>0.11899999999999999</v>
      </c>
      <c r="R1103" s="126">
        <v>0.11899999999999999</v>
      </c>
      <c r="S1103" s="121">
        <f t="shared" si="126"/>
        <v>-589.34269304403324</v>
      </c>
      <c r="T1103" s="121">
        <f t="shared" si="127"/>
        <v>-232815.12605042019</v>
      </c>
      <c r="U1103" s="127">
        <f t="shared" si="128"/>
        <v>-5.3446998634164418</v>
      </c>
      <c r="V1103" s="126">
        <v>51</v>
      </c>
      <c r="W1103" s="126">
        <f t="shared" si="129"/>
        <v>53110</v>
      </c>
      <c r="X1103" s="126">
        <f t="shared" si="123"/>
        <v>1041.3725490196077</v>
      </c>
      <c r="Y1103" s="128" t="s">
        <v>941</v>
      </c>
      <c r="Z1103" s="119" t="s">
        <v>35</v>
      </c>
      <c r="AA1103" s="119" t="s">
        <v>35</v>
      </c>
      <c r="AB1103" s="119" t="s">
        <v>942</v>
      </c>
      <c r="AC1103" s="119">
        <v>0</v>
      </c>
      <c r="AD1103" s="119">
        <v>1</v>
      </c>
      <c r="AE1103" s="119" t="s">
        <v>42</v>
      </c>
      <c r="AF1103" s="119" t="s">
        <v>43</v>
      </c>
      <c r="AG1103" s="119" t="s">
        <v>38</v>
      </c>
      <c r="AH1103" s="119" t="s">
        <v>92</v>
      </c>
    </row>
    <row r="1104" spans="1:34" x14ac:dyDescent="0.3">
      <c r="A1104" s="107" t="s">
        <v>978</v>
      </c>
      <c r="B1104" s="108" t="s">
        <v>975</v>
      </c>
      <c r="C1104" s="108" t="s">
        <v>976</v>
      </c>
      <c r="D1104" s="109">
        <v>45443</v>
      </c>
      <c r="E1104" s="110">
        <v>50000</v>
      </c>
      <c r="F1104" s="108" t="s">
        <v>32</v>
      </c>
      <c r="G1104" s="108" t="s">
        <v>33</v>
      </c>
      <c r="H1104" s="110">
        <v>50000</v>
      </c>
      <c r="I1104" s="110">
        <v>86400</v>
      </c>
      <c r="J1104" s="111">
        <f t="shared" si="124"/>
        <v>172.8</v>
      </c>
      <c r="K1104" s="110">
        <v>190304</v>
      </c>
      <c r="L1104" s="110">
        <f>H1104-182005</f>
        <v>-132005</v>
      </c>
      <c r="M1104" s="110">
        <v>8299</v>
      </c>
      <c r="N1104" s="112">
        <f t="shared" si="125"/>
        <v>0.16597999999999999</v>
      </c>
      <c r="O1104" s="113">
        <v>45.59</v>
      </c>
      <c r="P1104" s="114">
        <v>110.84</v>
      </c>
      <c r="Q1104" s="115">
        <v>0.115</v>
      </c>
      <c r="R1104" s="115">
        <v>0.115</v>
      </c>
      <c r="S1104" s="110">
        <f t="shared" si="126"/>
        <v>-2895.4814652336036</v>
      </c>
      <c r="T1104" s="110">
        <f t="shared" si="127"/>
        <v>-1147869.5652173914</v>
      </c>
      <c r="U1104" s="116">
        <f t="shared" si="128"/>
        <v>-26.351459256597597</v>
      </c>
      <c r="V1104" s="115">
        <v>45.95</v>
      </c>
      <c r="W1104" s="115">
        <f t="shared" si="129"/>
        <v>10000</v>
      </c>
      <c r="X1104" s="115">
        <f t="shared" si="123"/>
        <v>217.62785636561478</v>
      </c>
      <c r="Y1104" s="117" t="s">
        <v>977</v>
      </c>
      <c r="Z1104" s="108" t="s">
        <v>35</v>
      </c>
      <c r="AA1104" s="108" t="s">
        <v>35</v>
      </c>
      <c r="AB1104" s="108" t="s">
        <v>978</v>
      </c>
      <c r="AC1104" s="108">
        <v>0</v>
      </c>
      <c r="AD1104" s="108">
        <v>1</v>
      </c>
      <c r="AE1104" s="108" t="s">
        <v>37</v>
      </c>
      <c r="AF1104" s="108" t="s">
        <v>43</v>
      </c>
      <c r="AG1104" s="108" t="s">
        <v>38</v>
      </c>
      <c r="AH1104" s="108" t="s">
        <v>92</v>
      </c>
    </row>
    <row r="1105" spans="1:34" x14ac:dyDescent="0.3">
      <c r="A1105" s="107" t="s">
        <v>978</v>
      </c>
      <c r="B1105" s="108" t="s">
        <v>995</v>
      </c>
      <c r="C1105" s="108" t="s">
        <v>996</v>
      </c>
      <c r="D1105" s="109">
        <v>45667</v>
      </c>
      <c r="E1105" s="110">
        <v>138000</v>
      </c>
      <c r="F1105" s="108" t="s">
        <v>32</v>
      </c>
      <c r="G1105" s="108" t="s">
        <v>33</v>
      </c>
      <c r="H1105" s="110">
        <v>138000</v>
      </c>
      <c r="I1105" s="110">
        <v>88700</v>
      </c>
      <c r="J1105" s="111">
        <f t="shared" si="124"/>
        <v>64.275362318840578</v>
      </c>
      <c r="K1105" s="110">
        <v>196263</v>
      </c>
      <c r="L1105" s="110">
        <f>H1105-183211</f>
        <v>-45211</v>
      </c>
      <c r="M1105" s="110">
        <v>13052</v>
      </c>
      <c r="N1105" s="112">
        <f t="shared" si="125"/>
        <v>9.457971014492754E-2</v>
      </c>
      <c r="O1105" s="113">
        <v>71.709999999999994</v>
      </c>
      <c r="P1105" s="114">
        <v>105.02</v>
      </c>
      <c r="Q1105" s="115">
        <v>0.153</v>
      </c>
      <c r="R1105" s="115">
        <v>0.153</v>
      </c>
      <c r="S1105" s="110">
        <f t="shared" si="126"/>
        <v>-630.46994840329114</v>
      </c>
      <c r="T1105" s="110">
        <f t="shared" si="127"/>
        <v>-295496.73202614381</v>
      </c>
      <c r="U1105" s="116">
        <f t="shared" si="128"/>
        <v>-6.7836715341171674</v>
      </c>
      <c r="V1105" s="115">
        <v>93.55</v>
      </c>
      <c r="W1105" s="115">
        <f t="shared" si="129"/>
        <v>27600</v>
      </c>
      <c r="X1105" s="115">
        <f t="shared" si="123"/>
        <v>295.0293960448958</v>
      </c>
      <c r="Y1105" s="117" t="s">
        <v>977</v>
      </c>
      <c r="Z1105" s="108" t="s">
        <v>35</v>
      </c>
      <c r="AA1105" s="108" t="s">
        <v>35</v>
      </c>
      <c r="AB1105" s="108" t="s">
        <v>978</v>
      </c>
      <c r="AC1105" s="108">
        <v>0</v>
      </c>
      <c r="AD1105" s="108">
        <v>1</v>
      </c>
      <c r="AE1105" s="108" t="s">
        <v>37</v>
      </c>
      <c r="AF1105" s="108" t="s">
        <v>35</v>
      </c>
      <c r="AG1105" s="108" t="s">
        <v>38</v>
      </c>
      <c r="AH1105" s="108" t="s">
        <v>92</v>
      </c>
    </row>
    <row r="1106" spans="1:34" x14ac:dyDescent="0.3">
      <c r="A1106" s="118" t="s">
        <v>978</v>
      </c>
      <c r="B1106" s="119" t="s">
        <v>999</v>
      </c>
      <c r="C1106" s="119" t="s">
        <v>1000</v>
      </c>
      <c r="D1106" s="120">
        <v>45483</v>
      </c>
      <c r="E1106" s="121">
        <v>76000</v>
      </c>
      <c r="F1106" s="119" t="s">
        <v>32</v>
      </c>
      <c r="G1106" s="119" t="s">
        <v>33</v>
      </c>
      <c r="H1106" s="121">
        <v>76000</v>
      </c>
      <c r="I1106" s="121">
        <v>79500</v>
      </c>
      <c r="J1106" s="122">
        <f t="shared" si="124"/>
        <v>104.60526315789474</v>
      </c>
      <c r="K1106" s="121">
        <v>176642</v>
      </c>
      <c r="L1106" s="121">
        <f>H1106-167542</f>
        <v>-91542</v>
      </c>
      <c r="M1106" s="121">
        <v>9100</v>
      </c>
      <c r="N1106" s="123">
        <f t="shared" si="125"/>
        <v>0.11973684210526316</v>
      </c>
      <c r="O1106" s="124">
        <v>50</v>
      </c>
      <c r="P1106" s="125">
        <v>110</v>
      </c>
      <c r="Q1106" s="126">
        <v>0.126</v>
      </c>
      <c r="R1106" s="126">
        <v>0.126</v>
      </c>
      <c r="S1106" s="121">
        <f t="shared" si="126"/>
        <v>-1830.84</v>
      </c>
      <c r="T1106" s="121">
        <f t="shared" si="127"/>
        <v>-726523.80952380947</v>
      </c>
      <c r="U1106" s="127">
        <f t="shared" si="128"/>
        <v>-16.678691678691678</v>
      </c>
      <c r="V1106" s="126">
        <v>50</v>
      </c>
      <c r="W1106" s="126">
        <f t="shared" si="129"/>
        <v>15200</v>
      </c>
      <c r="X1106" s="126">
        <f t="shared" si="123"/>
        <v>304</v>
      </c>
      <c r="Y1106" s="128" t="s">
        <v>977</v>
      </c>
      <c r="Z1106" s="119" t="s">
        <v>35</v>
      </c>
      <c r="AA1106" s="119" t="s">
        <v>35</v>
      </c>
      <c r="AB1106" s="119" t="s">
        <v>978</v>
      </c>
      <c r="AC1106" s="119">
        <v>0</v>
      </c>
      <c r="AD1106" s="119">
        <v>1</v>
      </c>
      <c r="AE1106" s="119" t="s">
        <v>37</v>
      </c>
      <c r="AF1106" s="119" t="s">
        <v>43</v>
      </c>
      <c r="AG1106" s="119" t="s">
        <v>38</v>
      </c>
      <c r="AH1106" s="119" t="s">
        <v>92</v>
      </c>
    </row>
    <row r="1107" spans="1:34" x14ac:dyDescent="0.3">
      <c r="A1107" s="107" t="s">
        <v>978</v>
      </c>
      <c r="B1107" s="108" t="s">
        <v>1001</v>
      </c>
      <c r="C1107" s="108" t="s">
        <v>1002</v>
      </c>
      <c r="D1107" s="109">
        <v>45145</v>
      </c>
      <c r="E1107" s="110">
        <v>185000</v>
      </c>
      <c r="F1107" s="108" t="s">
        <v>32</v>
      </c>
      <c r="G1107" s="108" t="s">
        <v>33</v>
      </c>
      <c r="H1107" s="110">
        <v>185000</v>
      </c>
      <c r="I1107" s="110">
        <v>71100</v>
      </c>
      <c r="J1107" s="111">
        <f t="shared" si="124"/>
        <v>38.432432432432435</v>
      </c>
      <c r="K1107" s="110">
        <v>179460</v>
      </c>
      <c r="L1107" s="110">
        <f>H1107-167542</f>
        <v>17458</v>
      </c>
      <c r="M1107" s="110">
        <v>11918</v>
      </c>
      <c r="N1107" s="112">
        <f t="shared" si="125"/>
        <v>6.4421621621621628E-2</v>
      </c>
      <c r="O1107" s="113">
        <v>65.48</v>
      </c>
      <c r="P1107" s="114">
        <v>160.37</v>
      </c>
      <c r="Q1107" s="115">
        <v>0.16800000000000001</v>
      </c>
      <c r="R1107" s="115">
        <v>0.16800000000000001</v>
      </c>
      <c r="S1107" s="110">
        <f t="shared" si="126"/>
        <v>266.61576053756869</v>
      </c>
      <c r="T1107" s="110">
        <f t="shared" si="127"/>
        <v>103916.66666666666</v>
      </c>
      <c r="U1107" s="116">
        <f t="shared" si="128"/>
        <v>2.3855984083256807</v>
      </c>
      <c r="V1107" s="115">
        <v>71.569999999999993</v>
      </c>
      <c r="W1107" s="115">
        <f t="shared" si="129"/>
        <v>37000</v>
      </c>
      <c r="X1107" s="115">
        <f t="shared" si="123"/>
        <v>516.97638675422672</v>
      </c>
      <c r="Y1107" s="117" t="s">
        <v>977</v>
      </c>
      <c r="Z1107" s="108" t="s">
        <v>35</v>
      </c>
      <c r="AA1107" s="108" t="s">
        <v>35</v>
      </c>
      <c r="AB1107" s="108" t="s">
        <v>978</v>
      </c>
      <c r="AC1107" s="108">
        <v>0</v>
      </c>
      <c r="AD1107" s="108">
        <v>1</v>
      </c>
      <c r="AE1107" s="108" t="s">
        <v>37</v>
      </c>
      <c r="AF1107" s="108" t="s">
        <v>43</v>
      </c>
      <c r="AG1107" s="108" t="s">
        <v>38</v>
      </c>
      <c r="AH1107" s="108" t="s">
        <v>92</v>
      </c>
    </row>
    <row r="1108" spans="1:34" x14ac:dyDescent="0.3">
      <c r="A1108" s="107" t="s">
        <v>978</v>
      </c>
      <c r="B1108" s="108" t="s">
        <v>993</v>
      </c>
      <c r="C1108" s="108" t="s">
        <v>994</v>
      </c>
      <c r="D1108" s="109">
        <v>45588</v>
      </c>
      <c r="E1108" s="110">
        <v>195000</v>
      </c>
      <c r="F1108" s="108" t="s">
        <v>32</v>
      </c>
      <c r="G1108" s="108" t="s">
        <v>33</v>
      </c>
      <c r="H1108" s="110">
        <v>195000</v>
      </c>
      <c r="I1108" s="110">
        <v>98800</v>
      </c>
      <c r="J1108" s="111">
        <f t="shared" si="124"/>
        <v>50.666666666666671</v>
      </c>
      <c r="K1108" s="110">
        <v>219976</v>
      </c>
      <c r="L1108" s="110">
        <f>H1108-207977</f>
        <v>-12977</v>
      </c>
      <c r="M1108" s="110">
        <v>11999</v>
      </c>
      <c r="N1108" s="112">
        <f t="shared" si="125"/>
        <v>6.1533333333333336E-2</v>
      </c>
      <c r="O1108" s="113">
        <v>65.930000000000007</v>
      </c>
      <c r="P1108" s="114">
        <v>152.78</v>
      </c>
      <c r="Q1108" s="115">
        <v>0.16900000000000001</v>
      </c>
      <c r="R1108" s="115">
        <v>0.16900000000000001</v>
      </c>
      <c r="S1108" s="110">
        <f t="shared" si="126"/>
        <v>-196.82997118155617</v>
      </c>
      <c r="T1108" s="110">
        <f t="shared" si="127"/>
        <v>-76786.982248520711</v>
      </c>
      <c r="U1108" s="116">
        <f t="shared" si="128"/>
        <v>-1.7627865529963433</v>
      </c>
      <c r="V1108" s="115">
        <v>71.569999999999993</v>
      </c>
      <c r="W1108" s="115">
        <f t="shared" si="129"/>
        <v>39000</v>
      </c>
      <c r="X1108" s="115">
        <f t="shared" si="123"/>
        <v>544.92105630850915</v>
      </c>
      <c r="Y1108" s="117" t="s">
        <v>977</v>
      </c>
      <c r="Z1108" s="108" t="s">
        <v>35</v>
      </c>
      <c r="AA1108" s="108" t="s">
        <v>35</v>
      </c>
      <c r="AB1108" s="108" t="s">
        <v>978</v>
      </c>
      <c r="AC1108" s="108">
        <v>0</v>
      </c>
      <c r="AD1108" s="108">
        <v>1</v>
      </c>
      <c r="AE1108" s="108" t="s">
        <v>37</v>
      </c>
      <c r="AF1108" s="108" t="s">
        <v>35</v>
      </c>
      <c r="AG1108" s="108" t="s">
        <v>38</v>
      </c>
      <c r="AH1108" s="108" t="s">
        <v>92</v>
      </c>
    </row>
    <row r="1109" spans="1:34" x14ac:dyDescent="0.3">
      <c r="A1109" s="107" t="s">
        <v>978</v>
      </c>
      <c r="B1109" s="108" t="s">
        <v>1007</v>
      </c>
      <c r="C1109" s="108" t="s">
        <v>1008</v>
      </c>
      <c r="D1109" s="109">
        <v>45744</v>
      </c>
      <c r="E1109" s="110">
        <v>130000</v>
      </c>
      <c r="F1109" s="108" t="s">
        <v>32</v>
      </c>
      <c r="G1109" s="108" t="s">
        <v>33</v>
      </c>
      <c r="H1109" s="110">
        <v>130000</v>
      </c>
      <c r="I1109" s="110">
        <v>108900</v>
      </c>
      <c r="J1109" s="111">
        <f t="shared" si="124"/>
        <v>83.769230769230774</v>
      </c>
      <c r="K1109" s="110">
        <v>243215</v>
      </c>
      <c r="L1109" s="110">
        <f>H1109-232968</f>
        <v>-102968</v>
      </c>
      <c r="M1109" s="110">
        <v>10247</v>
      </c>
      <c r="N1109" s="112">
        <f t="shared" si="125"/>
        <v>7.8823076923076926E-2</v>
      </c>
      <c r="O1109" s="113">
        <v>56.3</v>
      </c>
      <c r="P1109" s="114">
        <v>124.02</v>
      </c>
      <c r="Q1109" s="115">
        <v>0.161</v>
      </c>
      <c r="R1109" s="115">
        <v>0.161</v>
      </c>
      <c r="S1109" s="110">
        <f t="shared" si="126"/>
        <v>-1828.9165186500888</v>
      </c>
      <c r="T1109" s="110">
        <f t="shared" si="127"/>
        <v>-639552.79503105592</v>
      </c>
      <c r="U1109" s="116">
        <f t="shared" si="128"/>
        <v>-14.682111915313497</v>
      </c>
      <c r="V1109" s="115">
        <v>45.96</v>
      </c>
      <c r="W1109" s="115">
        <f t="shared" si="129"/>
        <v>26000</v>
      </c>
      <c r="X1109" s="115">
        <f t="shared" si="123"/>
        <v>565.70931244560484</v>
      </c>
      <c r="Y1109" s="117" t="s">
        <v>977</v>
      </c>
      <c r="Z1109" s="108" t="s">
        <v>35</v>
      </c>
      <c r="AA1109" s="108" t="s">
        <v>35</v>
      </c>
      <c r="AB1109" s="108" t="s">
        <v>978</v>
      </c>
      <c r="AC1109" s="108">
        <v>0</v>
      </c>
      <c r="AD1109" s="108">
        <v>1</v>
      </c>
      <c r="AE1109" s="108" t="s">
        <v>42</v>
      </c>
      <c r="AF1109" s="108" t="s">
        <v>35</v>
      </c>
      <c r="AG1109" s="108" t="s">
        <v>38</v>
      </c>
      <c r="AH1109" s="108" t="s">
        <v>92</v>
      </c>
    </row>
    <row r="1110" spans="1:34" x14ac:dyDescent="0.3">
      <c r="A1110" s="107" t="s">
        <v>978</v>
      </c>
      <c r="B1110" s="108" t="s">
        <v>979</v>
      </c>
      <c r="C1110" s="108" t="s">
        <v>980</v>
      </c>
      <c r="D1110" s="109">
        <v>45202</v>
      </c>
      <c r="E1110" s="110">
        <v>195000</v>
      </c>
      <c r="F1110" s="108" t="s">
        <v>32</v>
      </c>
      <c r="G1110" s="108" t="s">
        <v>33</v>
      </c>
      <c r="H1110" s="110">
        <v>195000</v>
      </c>
      <c r="I1110" s="110">
        <v>83100</v>
      </c>
      <c r="J1110" s="111">
        <f t="shared" si="124"/>
        <v>42.615384615384613</v>
      </c>
      <c r="K1110" s="110">
        <v>211164</v>
      </c>
      <c r="L1110" s="110">
        <f>H1110-200383</f>
        <v>-5383</v>
      </c>
      <c r="M1110" s="110">
        <v>10781</v>
      </c>
      <c r="N1110" s="112">
        <f t="shared" si="125"/>
        <v>5.528717948717949E-2</v>
      </c>
      <c r="O1110" s="113">
        <v>59.23</v>
      </c>
      <c r="P1110" s="114">
        <v>111.61</v>
      </c>
      <c r="Q1110" s="115">
        <v>0.14199999999999999</v>
      </c>
      <c r="R1110" s="115">
        <v>0.14199999999999999</v>
      </c>
      <c r="S1110" s="110">
        <f t="shared" si="126"/>
        <v>-90.882998480499751</v>
      </c>
      <c r="T1110" s="110">
        <f t="shared" si="127"/>
        <v>-37908.450704225354</v>
      </c>
      <c r="U1110" s="116">
        <f t="shared" si="128"/>
        <v>-0.87025828062959953</v>
      </c>
      <c r="V1110" s="115">
        <v>65.349999999999994</v>
      </c>
      <c r="W1110" s="115">
        <f t="shared" si="129"/>
        <v>39000</v>
      </c>
      <c r="X1110" s="115">
        <f t="shared" si="123"/>
        <v>596.78653404743693</v>
      </c>
      <c r="Y1110" s="117" t="s">
        <v>977</v>
      </c>
      <c r="Z1110" s="108" t="s">
        <v>35</v>
      </c>
      <c r="AA1110" s="108" t="s">
        <v>35</v>
      </c>
      <c r="AB1110" s="108" t="s">
        <v>978</v>
      </c>
      <c r="AC1110" s="108">
        <v>0</v>
      </c>
      <c r="AD1110" s="108">
        <v>1</v>
      </c>
      <c r="AE1110" s="108" t="s">
        <v>37</v>
      </c>
      <c r="AF1110" s="108" t="s">
        <v>43</v>
      </c>
      <c r="AG1110" s="108" t="s">
        <v>38</v>
      </c>
      <c r="AH1110" s="108" t="s">
        <v>92</v>
      </c>
    </row>
    <row r="1111" spans="1:34" x14ac:dyDescent="0.3">
      <c r="A1111" s="118" t="s">
        <v>978</v>
      </c>
      <c r="B1111" s="119" t="s">
        <v>981</v>
      </c>
      <c r="C1111" s="119" t="s">
        <v>982</v>
      </c>
      <c r="D1111" s="120">
        <v>45736</v>
      </c>
      <c r="E1111" s="121">
        <v>160000</v>
      </c>
      <c r="F1111" s="119" t="s">
        <v>32</v>
      </c>
      <c r="G1111" s="119" t="s">
        <v>33</v>
      </c>
      <c r="H1111" s="121">
        <v>160000</v>
      </c>
      <c r="I1111" s="121">
        <v>77400</v>
      </c>
      <c r="J1111" s="122">
        <f t="shared" si="124"/>
        <v>48.375</v>
      </c>
      <c r="K1111" s="121">
        <v>171872</v>
      </c>
      <c r="L1111" s="121">
        <f>H1111-162629</f>
        <v>-2629</v>
      </c>
      <c r="M1111" s="121">
        <v>9243</v>
      </c>
      <c r="N1111" s="123">
        <f t="shared" si="125"/>
        <v>5.7768750000000001E-2</v>
      </c>
      <c r="O1111" s="124">
        <v>50.78</v>
      </c>
      <c r="P1111" s="125">
        <v>113.48</v>
      </c>
      <c r="Q1111" s="126">
        <v>0.13</v>
      </c>
      <c r="R1111" s="126">
        <v>0.13</v>
      </c>
      <c r="S1111" s="121">
        <f t="shared" si="126"/>
        <v>-51.772351319417091</v>
      </c>
      <c r="T1111" s="121">
        <f t="shared" si="127"/>
        <v>-20223.076923076922</v>
      </c>
      <c r="U1111" s="127">
        <f t="shared" si="128"/>
        <v>-0.46425796425796423</v>
      </c>
      <c r="V1111" s="126">
        <v>50</v>
      </c>
      <c r="W1111" s="126">
        <f t="shared" si="129"/>
        <v>32000</v>
      </c>
      <c r="X1111" s="126">
        <f t="shared" si="123"/>
        <v>640</v>
      </c>
      <c r="Y1111" s="128" t="s">
        <v>977</v>
      </c>
      <c r="Z1111" s="119" t="s">
        <v>35</v>
      </c>
      <c r="AA1111" s="119" t="s">
        <v>35</v>
      </c>
      <c r="AB1111" s="119" t="s">
        <v>978</v>
      </c>
      <c r="AC1111" s="119">
        <v>0</v>
      </c>
      <c r="AD1111" s="119">
        <v>1</v>
      </c>
      <c r="AE1111" s="119" t="s">
        <v>37</v>
      </c>
      <c r="AF1111" s="119" t="s">
        <v>35</v>
      </c>
      <c r="AG1111" s="119" t="s">
        <v>38</v>
      </c>
      <c r="AH1111" s="119" t="s">
        <v>92</v>
      </c>
    </row>
    <row r="1112" spans="1:34" x14ac:dyDescent="0.3">
      <c r="A1112" s="118" t="s">
        <v>978</v>
      </c>
      <c r="B1112" s="119" t="s">
        <v>1005</v>
      </c>
      <c r="C1112" s="119" t="s">
        <v>1006</v>
      </c>
      <c r="D1112" s="120">
        <v>45247</v>
      </c>
      <c r="E1112" s="121">
        <v>243500</v>
      </c>
      <c r="F1112" s="119" t="s">
        <v>32</v>
      </c>
      <c r="G1112" s="119" t="s">
        <v>33</v>
      </c>
      <c r="H1112" s="121">
        <v>243500</v>
      </c>
      <c r="I1112" s="121">
        <v>87500</v>
      </c>
      <c r="J1112" s="122">
        <f t="shared" si="124"/>
        <v>35.93429158110883</v>
      </c>
      <c r="K1112" s="121">
        <v>222326</v>
      </c>
      <c r="L1112" s="121">
        <f>H1112-209369</f>
        <v>34131</v>
      </c>
      <c r="M1112" s="121">
        <v>12957</v>
      </c>
      <c r="N1112" s="123">
        <f t="shared" si="125"/>
        <v>5.3211498973305953E-2</v>
      </c>
      <c r="O1112" s="124">
        <v>71.19</v>
      </c>
      <c r="P1112" s="125">
        <v>113.76</v>
      </c>
      <c r="Q1112" s="126">
        <v>0.183</v>
      </c>
      <c r="R1112" s="126">
        <v>0.183</v>
      </c>
      <c r="S1112" s="121">
        <f t="shared" si="126"/>
        <v>479.43531394858832</v>
      </c>
      <c r="T1112" s="121">
        <f t="shared" si="127"/>
        <v>186508.19672131148</v>
      </c>
      <c r="U1112" s="127">
        <f t="shared" si="128"/>
        <v>4.281639043188969</v>
      </c>
      <c r="V1112" s="126">
        <v>70</v>
      </c>
      <c r="W1112" s="126">
        <f t="shared" si="129"/>
        <v>48700</v>
      </c>
      <c r="X1112" s="126">
        <f t="shared" si="123"/>
        <v>695.71428571428567</v>
      </c>
      <c r="Y1112" s="128" t="s">
        <v>977</v>
      </c>
      <c r="Z1112" s="119" t="s">
        <v>35</v>
      </c>
      <c r="AA1112" s="119" t="s">
        <v>35</v>
      </c>
      <c r="AB1112" s="119" t="s">
        <v>978</v>
      </c>
      <c r="AC1112" s="119">
        <v>0</v>
      </c>
      <c r="AD1112" s="119">
        <v>1</v>
      </c>
      <c r="AE1112" s="119" t="s">
        <v>37</v>
      </c>
      <c r="AF1112" s="119" t="s">
        <v>43</v>
      </c>
      <c r="AG1112" s="119" t="s">
        <v>38</v>
      </c>
      <c r="AH1112" s="119" t="s">
        <v>92</v>
      </c>
    </row>
    <row r="1113" spans="1:34" x14ac:dyDescent="0.3">
      <c r="A1113" s="118" t="s">
        <v>978</v>
      </c>
      <c r="B1113" s="119" t="s">
        <v>997</v>
      </c>
      <c r="C1113" s="119" t="s">
        <v>998</v>
      </c>
      <c r="D1113" s="120">
        <v>45588</v>
      </c>
      <c r="E1113" s="121">
        <v>175000</v>
      </c>
      <c r="F1113" s="119" t="s">
        <v>32</v>
      </c>
      <c r="G1113" s="119" t="s">
        <v>33</v>
      </c>
      <c r="H1113" s="121">
        <v>175000</v>
      </c>
      <c r="I1113" s="121">
        <v>84700</v>
      </c>
      <c r="J1113" s="122">
        <f t="shared" si="124"/>
        <v>48.4</v>
      </c>
      <c r="K1113" s="121">
        <v>187497</v>
      </c>
      <c r="L1113" s="121">
        <f>H1113-178397</f>
        <v>-3397</v>
      </c>
      <c r="M1113" s="121">
        <v>9100</v>
      </c>
      <c r="N1113" s="123">
        <f t="shared" si="125"/>
        <v>5.1999999999999998E-2</v>
      </c>
      <c r="O1113" s="124">
        <v>50</v>
      </c>
      <c r="P1113" s="125">
        <v>110</v>
      </c>
      <c r="Q1113" s="126">
        <v>0.126</v>
      </c>
      <c r="R1113" s="126">
        <v>0.126</v>
      </c>
      <c r="S1113" s="121">
        <f t="shared" si="126"/>
        <v>-67.94</v>
      </c>
      <c r="T1113" s="121">
        <f t="shared" si="127"/>
        <v>-26960.317460317459</v>
      </c>
      <c r="U1113" s="127">
        <f t="shared" si="128"/>
        <v>-0.61892372498433101</v>
      </c>
      <c r="V1113" s="126">
        <v>50</v>
      </c>
      <c r="W1113" s="126">
        <f t="shared" si="129"/>
        <v>35000</v>
      </c>
      <c r="X1113" s="126">
        <f t="shared" si="123"/>
        <v>700</v>
      </c>
      <c r="Y1113" s="128" t="s">
        <v>977</v>
      </c>
      <c r="Z1113" s="119" t="s">
        <v>35</v>
      </c>
      <c r="AA1113" s="119" t="s">
        <v>35</v>
      </c>
      <c r="AB1113" s="119" t="s">
        <v>978</v>
      </c>
      <c r="AC1113" s="119">
        <v>0</v>
      </c>
      <c r="AD1113" s="119">
        <v>1</v>
      </c>
      <c r="AE1113" s="119" t="s">
        <v>37</v>
      </c>
      <c r="AF1113" s="119" t="s">
        <v>35</v>
      </c>
      <c r="AG1113" s="119" t="s">
        <v>38</v>
      </c>
      <c r="AH1113" s="119" t="s">
        <v>92</v>
      </c>
    </row>
    <row r="1114" spans="1:34" x14ac:dyDescent="0.3">
      <c r="A1114" s="118" t="s">
        <v>978</v>
      </c>
      <c r="B1114" s="119" t="s">
        <v>1003</v>
      </c>
      <c r="C1114" s="119" t="s">
        <v>1004</v>
      </c>
      <c r="D1114" s="120">
        <v>45090</v>
      </c>
      <c r="E1114" s="121">
        <v>184000</v>
      </c>
      <c r="F1114" s="119" t="s">
        <v>32</v>
      </c>
      <c r="G1114" s="119" t="s">
        <v>33</v>
      </c>
      <c r="H1114" s="121">
        <v>184000</v>
      </c>
      <c r="I1114" s="121">
        <v>76800</v>
      </c>
      <c r="J1114" s="122">
        <f t="shared" si="124"/>
        <v>41.739130434782609</v>
      </c>
      <c r="K1114" s="121">
        <v>194330</v>
      </c>
      <c r="L1114" s="121">
        <f>H1114-185353</f>
        <v>-1353</v>
      </c>
      <c r="M1114" s="121">
        <v>8977</v>
      </c>
      <c r="N1114" s="123">
        <f t="shared" si="125"/>
        <v>4.8788043478260872E-2</v>
      </c>
      <c r="O1114" s="124">
        <v>49.32</v>
      </c>
      <c r="P1114" s="125">
        <v>107.05</v>
      </c>
      <c r="Q1114" s="126">
        <v>0.123</v>
      </c>
      <c r="R1114" s="126">
        <v>0.123</v>
      </c>
      <c r="S1114" s="121">
        <f t="shared" si="126"/>
        <v>-27.433090024330902</v>
      </c>
      <c r="T1114" s="121">
        <f t="shared" si="127"/>
        <v>-11000</v>
      </c>
      <c r="U1114" s="127">
        <f t="shared" si="128"/>
        <v>-0.25252525252525254</v>
      </c>
      <c r="V1114" s="126">
        <v>50</v>
      </c>
      <c r="W1114" s="126">
        <f t="shared" si="129"/>
        <v>36800</v>
      </c>
      <c r="X1114" s="126">
        <f t="shared" si="123"/>
        <v>736</v>
      </c>
      <c r="Y1114" s="128" t="s">
        <v>977</v>
      </c>
      <c r="Z1114" s="119" t="s">
        <v>35</v>
      </c>
      <c r="AA1114" s="119" t="s">
        <v>35</v>
      </c>
      <c r="AB1114" s="119" t="s">
        <v>978</v>
      </c>
      <c r="AC1114" s="119">
        <v>0</v>
      </c>
      <c r="AD1114" s="119">
        <v>1</v>
      </c>
      <c r="AE1114" s="119" t="s">
        <v>37</v>
      </c>
      <c r="AF1114" s="119" t="s">
        <v>43</v>
      </c>
      <c r="AG1114" s="119" t="s">
        <v>38</v>
      </c>
      <c r="AH1114" s="119" t="s">
        <v>92</v>
      </c>
    </row>
    <row r="1115" spans="1:34" x14ac:dyDescent="0.3">
      <c r="A1115" s="107" t="s">
        <v>978</v>
      </c>
      <c r="B1115" s="108" t="s">
        <v>999</v>
      </c>
      <c r="C1115" s="108" t="s">
        <v>1000</v>
      </c>
      <c r="D1115" s="109">
        <v>45722</v>
      </c>
      <c r="E1115" s="110">
        <v>192000</v>
      </c>
      <c r="F1115" s="108" t="s">
        <v>32</v>
      </c>
      <c r="G1115" s="108" t="s">
        <v>33</v>
      </c>
      <c r="H1115" s="110">
        <v>192000</v>
      </c>
      <c r="I1115" s="110">
        <v>79500</v>
      </c>
      <c r="J1115" s="111">
        <f t="shared" si="124"/>
        <v>41.40625</v>
      </c>
      <c r="K1115" s="110">
        <v>176642</v>
      </c>
      <c r="L1115" s="110">
        <f>H1115-167542</f>
        <v>24458</v>
      </c>
      <c r="M1115" s="110">
        <v>9100</v>
      </c>
      <c r="N1115" s="112">
        <f t="shared" si="125"/>
        <v>4.7395833333333331E-2</v>
      </c>
      <c r="O1115" s="113">
        <v>50</v>
      </c>
      <c r="P1115" s="114">
        <v>110</v>
      </c>
      <c r="Q1115" s="115">
        <v>0.126</v>
      </c>
      <c r="R1115" s="115">
        <v>0.126</v>
      </c>
      <c r="S1115" s="110">
        <f t="shared" si="126"/>
        <v>489.16</v>
      </c>
      <c r="T1115" s="110">
        <f t="shared" si="127"/>
        <v>194111.11111111112</v>
      </c>
      <c r="U1115" s="116">
        <f t="shared" si="128"/>
        <v>4.4561779410264259</v>
      </c>
      <c r="V1115" s="115">
        <v>50</v>
      </c>
      <c r="W1115" s="115">
        <f t="shared" si="129"/>
        <v>38400</v>
      </c>
      <c r="X1115" s="115">
        <f t="shared" si="123"/>
        <v>768</v>
      </c>
      <c r="Y1115" s="117" t="s">
        <v>977</v>
      </c>
      <c r="Z1115" s="108" t="s">
        <v>35</v>
      </c>
      <c r="AA1115" s="108" t="s">
        <v>35</v>
      </c>
      <c r="AB1115" s="108" t="s">
        <v>978</v>
      </c>
      <c r="AC1115" s="108">
        <v>0</v>
      </c>
      <c r="AD1115" s="108">
        <v>1</v>
      </c>
      <c r="AE1115" s="108" t="s">
        <v>37</v>
      </c>
      <c r="AF1115" s="108" t="s">
        <v>35</v>
      </c>
      <c r="AG1115" s="108" t="s">
        <v>38</v>
      </c>
      <c r="AH1115" s="108" t="s">
        <v>92</v>
      </c>
    </row>
    <row r="1116" spans="1:34" x14ac:dyDescent="0.3">
      <c r="A1116" s="107" t="s">
        <v>978</v>
      </c>
      <c r="B1116" s="108" t="s">
        <v>987</v>
      </c>
      <c r="C1116" s="108" t="s">
        <v>988</v>
      </c>
      <c r="D1116" s="109">
        <v>45100</v>
      </c>
      <c r="E1116" s="110">
        <v>193000</v>
      </c>
      <c r="F1116" s="108" t="s">
        <v>32</v>
      </c>
      <c r="G1116" s="108" t="s">
        <v>33</v>
      </c>
      <c r="H1116" s="110">
        <v>193000</v>
      </c>
      <c r="I1116" s="110">
        <v>78300</v>
      </c>
      <c r="J1116" s="111">
        <f t="shared" si="124"/>
        <v>40.569948186528499</v>
      </c>
      <c r="K1116" s="110">
        <v>198184</v>
      </c>
      <c r="L1116" s="110">
        <f>H1116-189084</f>
        <v>3916</v>
      </c>
      <c r="M1116" s="110">
        <v>9100</v>
      </c>
      <c r="N1116" s="112">
        <f t="shared" si="125"/>
        <v>4.7150259067357515E-2</v>
      </c>
      <c r="O1116" s="113">
        <v>50</v>
      </c>
      <c r="P1116" s="114">
        <v>110</v>
      </c>
      <c r="Q1116" s="115">
        <v>0.126</v>
      </c>
      <c r="R1116" s="115">
        <v>0.126</v>
      </c>
      <c r="S1116" s="110">
        <f t="shared" si="126"/>
        <v>78.319999999999993</v>
      </c>
      <c r="T1116" s="110">
        <f t="shared" si="127"/>
        <v>31079.365079365078</v>
      </c>
      <c r="U1116" s="116">
        <f t="shared" si="128"/>
        <v>0.71348404681738009</v>
      </c>
      <c r="V1116" s="115">
        <v>50</v>
      </c>
      <c r="W1116" s="115">
        <f t="shared" si="129"/>
        <v>38600</v>
      </c>
      <c r="X1116" s="115">
        <f t="shared" si="123"/>
        <v>772</v>
      </c>
      <c r="Y1116" s="117" t="s">
        <v>977</v>
      </c>
      <c r="Z1116" s="108" t="s">
        <v>35</v>
      </c>
      <c r="AA1116" s="108" t="s">
        <v>35</v>
      </c>
      <c r="AB1116" s="108" t="s">
        <v>978</v>
      </c>
      <c r="AC1116" s="108">
        <v>0</v>
      </c>
      <c r="AD1116" s="108">
        <v>1</v>
      </c>
      <c r="AE1116" s="108" t="s">
        <v>42</v>
      </c>
      <c r="AF1116" s="108" t="s">
        <v>43</v>
      </c>
      <c r="AG1116" s="108" t="s">
        <v>38</v>
      </c>
      <c r="AH1116" s="108" t="s">
        <v>92</v>
      </c>
    </row>
    <row r="1117" spans="1:34" x14ac:dyDescent="0.3">
      <c r="A1117" s="118" t="s">
        <v>978</v>
      </c>
      <c r="B1117" s="119" t="s">
        <v>1011</v>
      </c>
      <c r="C1117" s="119" t="s">
        <v>1012</v>
      </c>
      <c r="D1117" s="120">
        <v>45246</v>
      </c>
      <c r="E1117" s="121">
        <v>190000</v>
      </c>
      <c r="F1117" s="119" t="s">
        <v>32</v>
      </c>
      <c r="G1117" s="119" t="s">
        <v>33</v>
      </c>
      <c r="H1117" s="121">
        <v>190000</v>
      </c>
      <c r="I1117" s="121">
        <v>80100</v>
      </c>
      <c r="J1117" s="122">
        <f t="shared" si="124"/>
        <v>42.157894736842103</v>
      </c>
      <c r="K1117" s="121">
        <v>203175</v>
      </c>
      <c r="L1117" s="121">
        <f>H1117-194250</f>
        <v>-4250</v>
      </c>
      <c r="M1117" s="121">
        <v>8925</v>
      </c>
      <c r="N1117" s="123">
        <f t="shared" si="125"/>
        <v>4.6973684210526313E-2</v>
      </c>
      <c r="O1117" s="124">
        <v>49.03</v>
      </c>
      <c r="P1117" s="125">
        <v>114.66</v>
      </c>
      <c r="Q1117" s="126">
        <v>0.128</v>
      </c>
      <c r="R1117" s="126">
        <v>0.128</v>
      </c>
      <c r="S1117" s="121">
        <f t="shared" si="126"/>
        <v>-86.681623495818883</v>
      </c>
      <c r="T1117" s="121">
        <f t="shared" si="127"/>
        <v>-33203.125</v>
      </c>
      <c r="U1117" s="127">
        <f t="shared" si="128"/>
        <v>-0.7622388659320477</v>
      </c>
      <c r="V1117" s="126">
        <v>47</v>
      </c>
      <c r="W1117" s="126">
        <f t="shared" si="129"/>
        <v>38000</v>
      </c>
      <c r="X1117" s="126">
        <f t="shared" si="123"/>
        <v>808.51063829787233</v>
      </c>
      <c r="Y1117" s="128" t="s">
        <v>977</v>
      </c>
      <c r="Z1117" s="119" t="s">
        <v>35</v>
      </c>
      <c r="AA1117" s="119" t="s">
        <v>35</v>
      </c>
      <c r="AB1117" s="119" t="s">
        <v>978</v>
      </c>
      <c r="AC1117" s="119">
        <v>0</v>
      </c>
      <c r="AD1117" s="119">
        <v>1</v>
      </c>
      <c r="AE1117" s="119" t="s">
        <v>37</v>
      </c>
      <c r="AF1117" s="119" t="s">
        <v>43</v>
      </c>
      <c r="AG1117" s="119" t="s">
        <v>38</v>
      </c>
      <c r="AH1117" s="119" t="s">
        <v>92</v>
      </c>
    </row>
    <row r="1118" spans="1:34" x14ac:dyDescent="0.3">
      <c r="A1118" s="118" t="s">
        <v>978</v>
      </c>
      <c r="B1118" s="119" t="s">
        <v>989</v>
      </c>
      <c r="C1118" s="119" t="s">
        <v>990</v>
      </c>
      <c r="D1118" s="120">
        <v>45638</v>
      </c>
      <c r="E1118" s="121">
        <v>205000</v>
      </c>
      <c r="F1118" s="119" t="s">
        <v>32</v>
      </c>
      <c r="G1118" s="119" t="s">
        <v>33</v>
      </c>
      <c r="H1118" s="121">
        <v>205000</v>
      </c>
      <c r="I1118" s="121">
        <v>85100</v>
      </c>
      <c r="J1118" s="122">
        <f t="shared" si="124"/>
        <v>41.512195121951216</v>
      </c>
      <c r="K1118" s="121">
        <v>188217</v>
      </c>
      <c r="L1118" s="121">
        <f>H1118-179117</f>
        <v>25883</v>
      </c>
      <c r="M1118" s="121">
        <v>9100</v>
      </c>
      <c r="N1118" s="123">
        <f t="shared" si="125"/>
        <v>4.4390243902439022E-2</v>
      </c>
      <c r="O1118" s="124">
        <v>50</v>
      </c>
      <c r="P1118" s="125">
        <v>110</v>
      </c>
      <c r="Q1118" s="126">
        <v>0.126</v>
      </c>
      <c r="R1118" s="126">
        <v>0.126</v>
      </c>
      <c r="S1118" s="121">
        <f t="shared" si="126"/>
        <v>517.66</v>
      </c>
      <c r="T1118" s="121">
        <f t="shared" si="127"/>
        <v>205420.63492063491</v>
      </c>
      <c r="U1118" s="127">
        <f t="shared" si="128"/>
        <v>4.7158088824755486</v>
      </c>
      <c r="V1118" s="126">
        <v>50</v>
      </c>
      <c r="W1118" s="126">
        <f t="shared" si="129"/>
        <v>41000</v>
      </c>
      <c r="X1118" s="126">
        <f t="shared" si="123"/>
        <v>820</v>
      </c>
      <c r="Y1118" s="128" t="s">
        <v>977</v>
      </c>
      <c r="Z1118" s="119" t="s">
        <v>35</v>
      </c>
      <c r="AA1118" s="119" t="s">
        <v>35</v>
      </c>
      <c r="AB1118" s="119" t="s">
        <v>978</v>
      </c>
      <c r="AC1118" s="119">
        <v>0</v>
      </c>
      <c r="AD1118" s="119">
        <v>1</v>
      </c>
      <c r="AE1118" s="119" t="s">
        <v>42</v>
      </c>
      <c r="AF1118" s="119" t="s">
        <v>35</v>
      </c>
      <c r="AG1118" s="119" t="s">
        <v>38</v>
      </c>
      <c r="AH1118" s="119" t="s">
        <v>92</v>
      </c>
    </row>
    <row r="1119" spans="1:34" x14ac:dyDescent="0.3">
      <c r="A1119" s="118" t="s">
        <v>978</v>
      </c>
      <c r="B1119" s="119" t="s">
        <v>983</v>
      </c>
      <c r="C1119" s="119" t="s">
        <v>984</v>
      </c>
      <c r="D1119" s="120">
        <v>45531</v>
      </c>
      <c r="E1119" s="121">
        <v>215000</v>
      </c>
      <c r="F1119" s="119" t="s">
        <v>32</v>
      </c>
      <c r="G1119" s="119" t="s">
        <v>33</v>
      </c>
      <c r="H1119" s="121">
        <v>215000</v>
      </c>
      <c r="I1119" s="121">
        <v>100400</v>
      </c>
      <c r="J1119" s="122">
        <f t="shared" si="124"/>
        <v>46.697674418604649</v>
      </c>
      <c r="K1119" s="121">
        <v>220268</v>
      </c>
      <c r="L1119" s="121">
        <f>H1119-211168</f>
        <v>3832</v>
      </c>
      <c r="M1119" s="121">
        <v>9100</v>
      </c>
      <c r="N1119" s="123">
        <f t="shared" si="125"/>
        <v>4.2325581395348838E-2</v>
      </c>
      <c r="O1119" s="124">
        <v>50</v>
      </c>
      <c r="P1119" s="125">
        <v>110</v>
      </c>
      <c r="Q1119" s="126">
        <v>0.126</v>
      </c>
      <c r="R1119" s="126">
        <v>0.126</v>
      </c>
      <c r="S1119" s="121">
        <f t="shared" si="126"/>
        <v>76.64</v>
      </c>
      <c r="T1119" s="121">
        <f t="shared" si="127"/>
        <v>30412.698412698413</v>
      </c>
      <c r="U1119" s="127">
        <f t="shared" si="128"/>
        <v>0.69817948605827396</v>
      </c>
      <c r="V1119" s="126">
        <v>50</v>
      </c>
      <c r="W1119" s="126">
        <f t="shared" si="129"/>
        <v>43000</v>
      </c>
      <c r="X1119" s="126">
        <f t="shared" si="123"/>
        <v>860</v>
      </c>
      <c r="Y1119" s="128" t="s">
        <v>977</v>
      </c>
      <c r="Z1119" s="119" t="s">
        <v>35</v>
      </c>
      <c r="AA1119" s="119" t="s">
        <v>35</v>
      </c>
      <c r="AB1119" s="119" t="s">
        <v>978</v>
      </c>
      <c r="AC1119" s="119">
        <v>0</v>
      </c>
      <c r="AD1119" s="119">
        <v>1</v>
      </c>
      <c r="AE1119" s="119" t="s">
        <v>42</v>
      </c>
      <c r="AF1119" s="119" t="s">
        <v>43</v>
      </c>
      <c r="AG1119" s="119" t="s">
        <v>38</v>
      </c>
      <c r="AH1119" s="119" t="s">
        <v>92</v>
      </c>
    </row>
    <row r="1120" spans="1:34" x14ac:dyDescent="0.3">
      <c r="A1120" s="107" t="s">
        <v>978</v>
      </c>
      <c r="B1120" s="108" t="s">
        <v>985</v>
      </c>
      <c r="C1120" s="108" t="s">
        <v>986</v>
      </c>
      <c r="D1120" s="109">
        <v>45504</v>
      </c>
      <c r="E1120" s="110">
        <v>222000</v>
      </c>
      <c r="F1120" s="108" t="s">
        <v>32</v>
      </c>
      <c r="G1120" s="108" t="s">
        <v>33</v>
      </c>
      <c r="H1120" s="110">
        <v>222000</v>
      </c>
      <c r="I1120" s="110">
        <v>77400</v>
      </c>
      <c r="J1120" s="111">
        <f t="shared" si="124"/>
        <v>34.864864864864863</v>
      </c>
      <c r="K1120" s="110">
        <v>171729</v>
      </c>
      <c r="L1120" s="110">
        <f>H1120-162629</f>
        <v>59371</v>
      </c>
      <c r="M1120" s="110">
        <v>9100</v>
      </c>
      <c r="N1120" s="112">
        <f t="shared" si="125"/>
        <v>4.0990990990990989E-2</v>
      </c>
      <c r="O1120" s="113">
        <v>50</v>
      </c>
      <c r="P1120" s="114">
        <v>110</v>
      </c>
      <c r="Q1120" s="115">
        <v>0.126</v>
      </c>
      <c r="R1120" s="115">
        <v>0.126</v>
      </c>
      <c r="S1120" s="110">
        <f t="shared" si="126"/>
        <v>1187.42</v>
      </c>
      <c r="T1120" s="110">
        <f t="shared" si="127"/>
        <v>471198.41269841272</v>
      </c>
      <c r="U1120" s="116">
        <f t="shared" si="128"/>
        <v>10.817227105105893</v>
      </c>
      <c r="V1120" s="115">
        <v>50</v>
      </c>
      <c r="W1120" s="115">
        <f t="shared" si="129"/>
        <v>44400</v>
      </c>
      <c r="X1120" s="115">
        <f t="shared" si="123"/>
        <v>888</v>
      </c>
      <c r="Y1120" s="117" t="s">
        <v>977</v>
      </c>
      <c r="Z1120" s="108" t="s">
        <v>35</v>
      </c>
      <c r="AA1120" s="108" t="s">
        <v>35</v>
      </c>
      <c r="AB1120" s="108" t="s">
        <v>978</v>
      </c>
      <c r="AC1120" s="108">
        <v>0</v>
      </c>
      <c r="AD1120" s="108">
        <v>1</v>
      </c>
      <c r="AE1120" s="108" t="s">
        <v>37</v>
      </c>
      <c r="AF1120" s="108" t="s">
        <v>43</v>
      </c>
      <c r="AG1120" s="108" t="s">
        <v>38</v>
      </c>
      <c r="AH1120" s="108" t="s">
        <v>92</v>
      </c>
    </row>
    <row r="1121" spans="1:34" x14ac:dyDescent="0.3">
      <c r="A1121" s="118" t="s">
        <v>978</v>
      </c>
      <c r="B1121" s="119" t="s">
        <v>991</v>
      </c>
      <c r="C1121" s="119" t="s">
        <v>992</v>
      </c>
      <c r="D1121" s="120">
        <v>45470</v>
      </c>
      <c r="E1121" s="121">
        <v>240000</v>
      </c>
      <c r="F1121" s="119" t="s">
        <v>32</v>
      </c>
      <c r="G1121" s="119" t="s">
        <v>33</v>
      </c>
      <c r="H1121" s="121">
        <v>240000</v>
      </c>
      <c r="I1121" s="121">
        <v>53200</v>
      </c>
      <c r="J1121" s="122">
        <f t="shared" si="124"/>
        <v>22.166666666666668</v>
      </c>
      <c r="K1121" s="121">
        <v>194327</v>
      </c>
      <c r="L1121" s="121">
        <f>H1121-185227</f>
        <v>54773</v>
      </c>
      <c r="M1121" s="121">
        <v>9100</v>
      </c>
      <c r="N1121" s="123">
        <f t="shared" si="125"/>
        <v>3.7916666666666668E-2</v>
      </c>
      <c r="O1121" s="124">
        <v>50</v>
      </c>
      <c r="P1121" s="125">
        <v>110</v>
      </c>
      <c r="Q1121" s="126">
        <v>0.126</v>
      </c>
      <c r="R1121" s="126">
        <v>0.126</v>
      </c>
      <c r="S1121" s="121">
        <f t="shared" si="126"/>
        <v>1095.46</v>
      </c>
      <c r="T1121" s="121">
        <f t="shared" si="127"/>
        <v>434706.34920634923</v>
      </c>
      <c r="U1121" s="127">
        <f t="shared" si="128"/>
        <v>9.9794846006967219</v>
      </c>
      <c r="V1121" s="126">
        <v>50</v>
      </c>
      <c r="W1121" s="126">
        <f t="shared" si="129"/>
        <v>48000</v>
      </c>
      <c r="X1121" s="126">
        <f t="shared" si="123"/>
        <v>960</v>
      </c>
      <c r="Y1121" s="128" t="s">
        <v>977</v>
      </c>
      <c r="Z1121" s="119" t="s">
        <v>35</v>
      </c>
      <c r="AA1121" s="119" t="s">
        <v>35</v>
      </c>
      <c r="AB1121" s="119" t="s">
        <v>978</v>
      </c>
      <c r="AC1121" s="119">
        <v>0</v>
      </c>
      <c r="AD1121" s="119">
        <v>1</v>
      </c>
      <c r="AE1121" s="119" t="s">
        <v>42</v>
      </c>
      <c r="AF1121" s="119" t="s">
        <v>43</v>
      </c>
      <c r="AG1121" s="119" t="s">
        <v>38</v>
      </c>
      <c r="AH1121" s="119" t="s">
        <v>92</v>
      </c>
    </row>
    <row r="1122" spans="1:34" x14ac:dyDescent="0.3">
      <c r="A1122" s="107" t="s">
        <v>978</v>
      </c>
      <c r="B1122" s="108" t="s">
        <v>1009</v>
      </c>
      <c r="C1122" s="108" t="s">
        <v>1010</v>
      </c>
      <c r="D1122" s="109">
        <v>45708</v>
      </c>
      <c r="E1122" s="110">
        <v>230000</v>
      </c>
      <c r="F1122" s="108" t="s">
        <v>32</v>
      </c>
      <c r="G1122" s="108" t="s">
        <v>33</v>
      </c>
      <c r="H1122" s="110">
        <v>230000</v>
      </c>
      <c r="I1122" s="110">
        <v>91200</v>
      </c>
      <c r="J1122" s="111">
        <f t="shared" si="124"/>
        <v>39.652173913043477</v>
      </c>
      <c r="K1122" s="110">
        <v>202244</v>
      </c>
      <c r="L1122" s="110">
        <f>H1122-191150</f>
        <v>38850</v>
      </c>
      <c r="M1122" s="110">
        <v>11094</v>
      </c>
      <c r="N1122" s="112">
        <f t="shared" si="125"/>
        <v>4.8234782608695653E-2</v>
      </c>
      <c r="O1122" s="113">
        <v>60.95</v>
      </c>
      <c r="P1122" s="114">
        <v>140.91</v>
      </c>
      <c r="Q1122" s="115">
        <v>0.20899999999999999</v>
      </c>
      <c r="R1122" s="115">
        <v>0.20899999999999999</v>
      </c>
      <c r="S1122" s="110">
        <f t="shared" si="126"/>
        <v>637.40771123872025</v>
      </c>
      <c r="T1122" s="110">
        <f t="shared" si="127"/>
        <v>185885.16746411484</v>
      </c>
      <c r="U1122" s="116">
        <f t="shared" si="128"/>
        <v>4.2673362595067683</v>
      </c>
      <c r="V1122" s="115">
        <v>32.520000000000003</v>
      </c>
      <c r="W1122" s="115">
        <f t="shared" si="129"/>
        <v>46000</v>
      </c>
      <c r="X1122" s="115">
        <f t="shared" si="123"/>
        <v>1414.5141451414513</v>
      </c>
      <c r="Y1122" s="117" t="s">
        <v>977</v>
      </c>
      <c r="Z1122" s="108" t="s">
        <v>35</v>
      </c>
      <c r="AA1122" s="108" t="s">
        <v>35</v>
      </c>
      <c r="AB1122" s="108" t="s">
        <v>978</v>
      </c>
      <c r="AC1122" s="108">
        <v>0</v>
      </c>
      <c r="AD1122" s="108">
        <v>1</v>
      </c>
      <c r="AE1122" s="108" t="s">
        <v>42</v>
      </c>
      <c r="AF1122" s="108" t="s">
        <v>35</v>
      </c>
      <c r="AG1122" s="108" t="s">
        <v>38</v>
      </c>
      <c r="AH1122" s="108" t="s">
        <v>92</v>
      </c>
    </row>
    <row r="1123" spans="1:34" x14ac:dyDescent="0.3">
      <c r="A1123" s="107" t="s">
        <v>1029</v>
      </c>
      <c r="B1123" s="108" t="s">
        <v>1089</v>
      </c>
      <c r="C1123" s="108" t="s">
        <v>1090</v>
      </c>
      <c r="D1123" s="109">
        <v>45035</v>
      </c>
      <c r="E1123" s="110">
        <v>168000</v>
      </c>
      <c r="F1123" s="108" t="s">
        <v>32</v>
      </c>
      <c r="G1123" s="108" t="s">
        <v>33</v>
      </c>
      <c r="H1123" s="110">
        <v>168000</v>
      </c>
      <c r="I1123" s="110">
        <v>85700</v>
      </c>
      <c r="J1123" s="111">
        <f t="shared" si="124"/>
        <v>51.011904761904759</v>
      </c>
      <c r="K1123" s="110">
        <v>194756</v>
      </c>
      <c r="L1123" s="110">
        <f>H1123-181255</f>
        <v>-13255</v>
      </c>
      <c r="M1123" s="110">
        <v>13501</v>
      </c>
      <c r="N1123" s="112">
        <f t="shared" si="125"/>
        <v>8.0363095238095233E-2</v>
      </c>
      <c r="O1123" s="113">
        <v>77.14</v>
      </c>
      <c r="P1123" s="114">
        <v>116.39</v>
      </c>
      <c r="Q1123" s="115">
        <v>0.2</v>
      </c>
      <c r="R1123" s="115">
        <v>0.2</v>
      </c>
      <c r="S1123" s="110">
        <f t="shared" si="126"/>
        <v>-171.83043816437646</v>
      </c>
      <c r="T1123" s="110">
        <f t="shared" si="127"/>
        <v>-66275</v>
      </c>
      <c r="U1123" s="116">
        <f t="shared" si="128"/>
        <v>-1.5214646464646464</v>
      </c>
      <c r="V1123" s="115">
        <v>75</v>
      </c>
      <c r="W1123" s="115">
        <f t="shared" si="129"/>
        <v>33600</v>
      </c>
      <c r="X1123" s="115">
        <f t="shared" si="123"/>
        <v>448</v>
      </c>
      <c r="Y1123" s="117" t="s">
        <v>1028</v>
      </c>
      <c r="Z1123" s="108" t="s">
        <v>35</v>
      </c>
      <c r="AA1123" s="108" t="s">
        <v>35</v>
      </c>
      <c r="AB1123" s="108" t="s">
        <v>1029</v>
      </c>
      <c r="AC1123" s="108">
        <v>0</v>
      </c>
      <c r="AD1123" s="108">
        <v>1</v>
      </c>
      <c r="AE1123" s="108" t="s">
        <v>42</v>
      </c>
      <c r="AF1123" s="108" t="s">
        <v>43</v>
      </c>
      <c r="AG1123" s="108" t="s">
        <v>38</v>
      </c>
      <c r="AH1123" s="108" t="s">
        <v>92</v>
      </c>
    </row>
    <row r="1124" spans="1:34" x14ac:dyDescent="0.3">
      <c r="A1124" s="118" t="s">
        <v>1029</v>
      </c>
      <c r="B1124" s="119" t="s">
        <v>1077</v>
      </c>
      <c r="C1124" s="119" t="s">
        <v>1078</v>
      </c>
      <c r="D1124" s="120">
        <v>45470</v>
      </c>
      <c r="E1124" s="121">
        <v>122250</v>
      </c>
      <c r="F1124" s="119" t="s">
        <v>32</v>
      </c>
      <c r="G1124" s="119" t="s">
        <v>33</v>
      </c>
      <c r="H1124" s="121">
        <v>122250</v>
      </c>
      <c r="I1124" s="121">
        <v>85100</v>
      </c>
      <c r="J1124" s="122">
        <f t="shared" si="124"/>
        <v>69.611451942740288</v>
      </c>
      <c r="K1124" s="121">
        <v>184033</v>
      </c>
      <c r="L1124" s="121">
        <f>H1124-175147</f>
        <v>-52897</v>
      </c>
      <c r="M1124" s="121">
        <v>8886</v>
      </c>
      <c r="N1124" s="123">
        <f t="shared" si="125"/>
        <v>7.2687116564417176E-2</v>
      </c>
      <c r="O1124" s="124">
        <v>50.77</v>
      </c>
      <c r="P1124" s="125">
        <v>111.2</v>
      </c>
      <c r="Q1124" s="126">
        <v>0.13</v>
      </c>
      <c r="R1124" s="126">
        <v>0.13</v>
      </c>
      <c r="S1124" s="121">
        <f t="shared" si="126"/>
        <v>-1041.8948197754578</v>
      </c>
      <c r="T1124" s="121">
        <f t="shared" si="127"/>
        <v>-406900</v>
      </c>
      <c r="U1124" s="127">
        <f t="shared" si="128"/>
        <v>-9.3411386593204782</v>
      </c>
      <c r="V1124" s="126">
        <v>50</v>
      </c>
      <c r="W1124" s="126">
        <f t="shared" si="129"/>
        <v>24450</v>
      </c>
      <c r="X1124" s="126">
        <f t="shared" si="123"/>
        <v>489</v>
      </c>
      <c r="Y1124" s="128" t="s">
        <v>1028</v>
      </c>
      <c r="Z1124" s="119" t="s">
        <v>35</v>
      </c>
      <c r="AA1124" s="119" t="s">
        <v>35</v>
      </c>
      <c r="AB1124" s="119" t="s">
        <v>1029</v>
      </c>
      <c r="AC1124" s="119">
        <v>0</v>
      </c>
      <c r="AD1124" s="119">
        <v>1</v>
      </c>
      <c r="AE1124" s="119" t="s">
        <v>37</v>
      </c>
      <c r="AF1124" s="119" t="s">
        <v>43</v>
      </c>
      <c r="AG1124" s="119" t="s">
        <v>38</v>
      </c>
      <c r="AH1124" s="119" t="s">
        <v>92</v>
      </c>
    </row>
    <row r="1125" spans="1:34" x14ac:dyDescent="0.3">
      <c r="A1125" s="118" t="s">
        <v>1029</v>
      </c>
      <c r="B1125" s="119" t="s">
        <v>1060</v>
      </c>
      <c r="C1125" s="119" t="s">
        <v>1061</v>
      </c>
      <c r="D1125" s="120">
        <v>45307</v>
      </c>
      <c r="E1125" s="121">
        <v>150000</v>
      </c>
      <c r="F1125" s="119" t="s">
        <v>32</v>
      </c>
      <c r="G1125" s="119" t="s">
        <v>33</v>
      </c>
      <c r="H1125" s="121">
        <v>150000</v>
      </c>
      <c r="I1125" s="121">
        <v>78200</v>
      </c>
      <c r="J1125" s="122">
        <f t="shared" si="124"/>
        <v>52.133333333333333</v>
      </c>
      <c r="K1125" s="121">
        <v>185108</v>
      </c>
      <c r="L1125" s="121">
        <f>H1125-174634</f>
        <v>-24634</v>
      </c>
      <c r="M1125" s="121">
        <v>10474</v>
      </c>
      <c r="N1125" s="123">
        <f t="shared" si="125"/>
        <v>6.9826666666666662E-2</v>
      </c>
      <c r="O1125" s="124">
        <v>59.85</v>
      </c>
      <c r="P1125" s="125">
        <v>110</v>
      </c>
      <c r="Q1125" s="126">
        <v>0.151</v>
      </c>
      <c r="R1125" s="126">
        <v>0.151</v>
      </c>
      <c r="S1125" s="121">
        <f t="shared" si="126"/>
        <v>-411.59565580618209</v>
      </c>
      <c r="T1125" s="121">
        <f t="shared" si="127"/>
        <v>-163139.07284768214</v>
      </c>
      <c r="U1125" s="127">
        <f t="shared" si="128"/>
        <v>-3.7451577788724091</v>
      </c>
      <c r="V1125" s="126">
        <v>59.85</v>
      </c>
      <c r="W1125" s="126">
        <f t="shared" si="129"/>
        <v>30000</v>
      </c>
      <c r="X1125" s="126">
        <f t="shared" si="123"/>
        <v>501.25313283208021</v>
      </c>
      <c r="Y1125" s="128" t="s">
        <v>1028</v>
      </c>
      <c r="Z1125" s="119" t="s">
        <v>35</v>
      </c>
      <c r="AA1125" s="119" t="s">
        <v>35</v>
      </c>
      <c r="AB1125" s="119" t="s">
        <v>1029</v>
      </c>
      <c r="AC1125" s="119">
        <v>0</v>
      </c>
      <c r="AD1125" s="119">
        <v>1</v>
      </c>
      <c r="AE1125" s="119" t="s">
        <v>37</v>
      </c>
      <c r="AF1125" s="119" t="s">
        <v>43</v>
      </c>
      <c r="AG1125" s="119" t="s">
        <v>38</v>
      </c>
      <c r="AH1125" s="119" t="s">
        <v>92</v>
      </c>
    </row>
    <row r="1126" spans="1:34" x14ac:dyDescent="0.3">
      <c r="A1126" s="107" t="s">
        <v>1029</v>
      </c>
      <c r="B1126" s="108" t="s">
        <v>1042</v>
      </c>
      <c r="C1126" s="108" t="s">
        <v>1043</v>
      </c>
      <c r="D1126" s="109">
        <v>45475</v>
      </c>
      <c r="E1126" s="110">
        <v>127000</v>
      </c>
      <c r="F1126" s="108" t="s">
        <v>32</v>
      </c>
      <c r="G1126" s="108" t="s">
        <v>33</v>
      </c>
      <c r="H1126" s="110">
        <v>127000</v>
      </c>
      <c r="I1126" s="110">
        <v>83600</v>
      </c>
      <c r="J1126" s="111">
        <f t="shared" si="124"/>
        <v>65.826771653543304</v>
      </c>
      <c r="K1126" s="110">
        <v>180717</v>
      </c>
      <c r="L1126" s="110">
        <f>H1126-171967</f>
        <v>-44967</v>
      </c>
      <c r="M1126" s="110">
        <v>8750</v>
      </c>
      <c r="N1126" s="112">
        <f t="shared" si="125"/>
        <v>6.8897637795275593E-2</v>
      </c>
      <c r="O1126" s="113">
        <v>50</v>
      </c>
      <c r="P1126" s="114">
        <v>110</v>
      </c>
      <c r="Q1126" s="115">
        <v>0.126</v>
      </c>
      <c r="R1126" s="115">
        <v>0.126</v>
      </c>
      <c r="S1126" s="110">
        <f t="shared" si="126"/>
        <v>-899.34</v>
      </c>
      <c r="T1126" s="110">
        <f t="shared" si="127"/>
        <v>-356880.95238095237</v>
      </c>
      <c r="U1126" s="116">
        <f t="shared" si="128"/>
        <v>-8.1928593292229657</v>
      </c>
      <c r="V1126" s="115">
        <v>50</v>
      </c>
      <c r="W1126" s="115">
        <f t="shared" si="129"/>
        <v>25400</v>
      </c>
      <c r="X1126" s="115">
        <f t="shared" si="123"/>
        <v>508</v>
      </c>
      <c r="Y1126" s="117" t="s">
        <v>1028</v>
      </c>
      <c r="Z1126" s="108" t="s">
        <v>35</v>
      </c>
      <c r="AA1126" s="108" t="s">
        <v>35</v>
      </c>
      <c r="AB1126" s="108" t="s">
        <v>1029</v>
      </c>
      <c r="AC1126" s="108">
        <v>0</v>
      </c>
      <c r="AD1126" s="108">
        <v>1</v>
      </c>
      <c r="AE1126" s="108" t="s">
        <v>42</v>
      </c>
      <c r="AF1126" s="108" t="s">
        <v>43</v>
      </c>
      <c r="AG1126" s="108" t="s">
        <v>38</v>
      </c>
      <c r="AH1126" s="108" t="s">
        <v>92</v>
      </c>
    </row>
    <row r="1127" spans="1:34" x14ac:dyDescent="0.3">
      <c r="A1127" s="107" t="s">
        <v>1029</v>
      </c>
      <c r="B1127" s="108" t="s">
        <v>1075</v>
      </c>
      <c r="C1127" s="108" t="s">
        <v>1076</v>
      </c>
      <c r="D1127" s="109">
        <v>45434</v>
      </c>
      <c r="E1127" s="110">
        <v>229000</v>
      </c>
      <c r="F1127" s="108" t="s">
        <v>32</v>
      </c>
      <c r="G1127" s="108" t="s">
        <v>33</v>
      </c>
      <c r="H1127" s="110">
        <v>229000</v>
      </c>
      <c r="I1127" s="110">
        <v>88000</v>
      </c>
      <c r="J1127" s="111">
        <f t="shared" si="124"/>
        <v>38.427947598253276</v>
      </c>
      <c r="K1127" s="110">
        <v>189990</v>
      </c>
      <c r="L1127" s="110">
        <f>H1127-175015</f>
        <v>53985</v>
      </c>
      <c r="M1127" s="110">
        <v>14975</v>
      </c>
      <c r="N1127" s="112">
        <f t="shared" si="125"/>
        <v>6.5393013100436687E-2</v>
      </c>
      <c r="O1127" s="113">
        <v>85.57</v>
      </c>
      <c r="P1127" s="114">
        <v>99.15</v>
      </c>
      <c r="Q1127" s="115">
        <v>0.20499999999999999</v>
      </c>
      <c r="R1127" s="115">
        <v>0.20499999999999999</v>
      </c>
      <c r="S1127" s="110">
        <f t="shared" si="126"/>
        <v>630.88699310506024</v>
      </c>
      <c r="T1127" s="110">
        <f t="shared" si="127"/>
        <v>263341.46341463417</v>
      </c>
      <c r="U1127" s="116">
        <f t="shared" si="128"/>
        <v>6.0454881408318224</v>
      </c>
      <c r="V1127" s="115">
        <v>90</v>
      </c>
      <c r="W1127" s="115">
        <f t="shared" si="129"/>
        <v>45800</v>
      </c>
      <c r="X1127" s="115">
        <f t="shared" si="123"/>
        <v>508.88888888888891</v>
      </c>
      <c r="Y1127" s="117" t="s">
        <v>1028</v>
      </c>
      <c r="Z1127" s="108" t="s">
        <v>35</v>
      </c>
      <c r="AA1127" s="108" t="s">
        <v>35</v>
      </c>
      <c r="AB1127" s="108" t="s">
        <v>1029</v>
      </c>
      <c r="AC1127" s="108">
        <v>0</v>
      </c>
      <c r="AD1127" s="108">
        <v>1</v>
      </c>
      <c r="AE1127" s="108" t="s">
        <v>42</v>
      </c>
      <c r="AF1127" s="108" t="s">
        <v>43</v>
      </c>
      <c r="AG1127" s="108" t="s">
        <v>38</v>
      </c>
      <c r="AH1127" s="108" t="s">
        <v>92</v>
      </c>
    </row>
    <row r="1128" spans="1:34" x14ac:dyDescent="0.3">
      <c r="A1128" s="118" t="s">
        <v>1029</v>
      </c>
      <c r="B1128" s="119" t="s">
        <v>1085</v>
      </c>
      <c r="C1128" s="119" t="s">
        <v>1086</v>
      </c>
      <c r="D1128" s="120">
        <v>45289</v>
      </c>
      <c r="E1128" s="121">
        <v>130000</v>
      </c>
      <c r="F1128" s="119" t="s">
        <v>32</v>
      </c>
      <c r="G1128" s="119" t="s">
        <v>33</v>
      </c>
      <c r="H1128" s="121">
        <v>130000</v>
      </c>
      <c r="I1128" s="121">
        <v>71900</v>
      </c>
      <c r="J1128" s="122">
        <f t="shared" si="124"/>
        <v>55.307692307692299</v>
      </c>
      <c r="K1128" s="121">
        <v>170659</v>
      </c>
      <c r="L1128" s="121">
        <f>H1128-162316</f>
        <v>-32316</v>
      </c>
      <c r="M1128" s="121">
        <v>8343</v>
      </c>
      <c r="N1128" s="123">
        <f t="shared" si="125"/>
        <v>6.4176923076923076E-2</v>
      </c>
      <c r="O1128" s="124">
        <v>47.67</v>
      </c>
      <c r="P1128" s="125">
        <v>100</v>
      </c>
      <c r="Q1128" s="126">
        <v>0.115</v>
      </c>
      <c r="R1128" s="126">
        <v>0.115</v>
      </c>
      <c r="S1128" s="121">
        <f t="shared" si="126"/>
        <v>-677.91063561988665</v>
      </c>
      <c r="T1128" s="121">
        <f t="shared" si="127"/>
        <v>-281008.69565217389</v>
      </c>
      <c r="U1128" s="127">
        <f t="shared" si="128"/>
        <v>-6.4510719846688218</v>
      </c>
      <c r="V1128" s="126">
        <v>50</v>
      </c>
      <c r="W1128" s="126">
        <f t="shared" si="129"/>
        <v>26000</v>
      </c>
      <c r="X1128" s="126">
        <f t="shared" si="123"/>
        <v>520</v>
      </c>
      <c r="Y1128" s="128" t="s">
        <v>1028</v>
      </c>
      <c r="Z1128" s="119" t="s">
        <v>35</v>
      </c>
      <c r="AA1128" s="119" t="s">
        <v>35</v>
      </c>
      <c r="AB1128" s="119" t="s">
        <v>1029</v>
      </c>
      <c r="AC1128" s="119">
        <v>0</v>
      </c>
      <c r="AD1128" s="119">
        <v>1</v>
      </c>
      <c r="AE1128" s="119" t="s">
        <v>37</v>
      </c>
      <c r="AF1128" s="119" t="s">
        <v>43</v>
      </c>
      <c r="AG1128" s="119" t="s">
        <v>38</v>
      </c>
      <c r="AH1128" s="119" t="s">
        <v>92</v>
      </c>
    </row>
    <row r="1129" spans="1:34" x14ac:dyDescent="0.3">
      <c r="A1129" s="107" t="s">
        <v>1029</v>
      </c>
      <c r="B1129" s="108" t="s">
        <v>1073</v>
      </c>
      <c r="C1129" s="108" t="s">
        <v>1074</v>
      </c>
      <c r="D1129" s="109">
        <v>45502</v>
      </c>
      <c r="E1129" s="110">
        <v>137900</v>
      </c>
      <c r="F1129" s="108" t="s">
        <v>81</v>
      </c>
      <c r="G1129" s="108" t="s">
        <v>33</v>
      </c>
      <c r="H1129" s="110">
        <v>137900</v>
      </c>
      <c r="I1129" s="110">
        <v>74900</v>
      </c>
      <c r="J1129" s="111">
        <f t="shared" si="124"/>
        <v>54.314720812182735</v>
      </c>
      <c r="K1129" s="110">
        <v>162240</v>
      </c>
      <c r="L1129" s="110">
        <f>H1129-153490</f>
        <v>-15590</v>
      </c>
      <c r="M1129" s="110">
        <v>8750</v>
      </c>
      <c r="N1129" s="112">
        <f t="shared" si="125"/>
        <v>6.3451776649746189E-2</v>
      </c>
      <c r="O1129" s="113">
        <v>50</v>
      </c>
      <c r="P1129" s="114">
        <v>110</v>
      </c>
      <c r="Q1129" s="115">
        <v>0.126</v>
      </c>
      <c r="R1129" s="115">
        <v>0.126</v>
      </c>
      <c r="S1129" s="110">
        <f t="shared" si="126"/>
        <v>-311.8</v>
      </c>
      <c r="T1129" s="110">
        <f t="shared" si="127"/>
        <v>-123730.15873015873</v>
      </c>
      <c r="U1129" s="116">
        <f t="shared" si="128"/>
        <v>-2.8404535980293555</v>
      </c>
      <c r="V1129" s="115">
        <v>50</v>
      </c>
      <c r="W1129" s="115">
        <f t="shared" si="129"/>
        <v>27580</v>
      </c>
      <c r="X1129" s="115">
        <f t="shared" ref="X1129:X1192" si="130">W1129/V1129</f>
        <v>551.6</v>
      </c>
      <c r="Y1129" s="117" t="s">
        <v>1028</v>
      </c>
      <c r="Z1129" s="108" t="s">
        <v>35</v>
      </c>
      <c r="AA1129" s="108" t="s">
        <v>35</v>
      </c>
      <c r="AB1129" s="108" t="s">
        <v>1029</v>
      </c>
      <c r="AC1129" s="108">
        <v>0</v>
      </c>
      <c r="AD1129" s="108">
        <v>1</v>
      </c>
      <c r="AE1129" s="108" t="s">
        <v>37</v>
      </c>
      <c r="AF1129" s="108" t="s">
        <v>43</v>
      </c>
      <c r="AG1129" s="108" t="s">
        <v>38</v>
      </c>
      <c r="AH1129" s="108" t="s">
        <v>92</v>
      </c>
    </row>
    <row r="1130" spans="1:34" x14ac:dyDescent="0.3">
      <c r="A1130" s="118" t="s">
        <v>1029</v>
      </c>
      <c r="B1130" s="119" t="s">
        <v>1032</v>
      </c>
      <c r="C1130" s="119" t="s">
        <v>1033</v>
      </c>
      <c r="D1130" s="120">
        <v>45744</v>
      </c>
      <c r="E1130" s="121">
        <v>138000</v>
      </c>
      <c r="F1130" s="119" t="s">
        <v>32</v>
      </c>
      <c r="G1130" s="119" t="s">
        <v>33</v>
      </c>
      <c r="H1130" s="121">
        <v>138000</v>
      </c>
      <c r="I1130" s="121">
        <v>87900</v>
      </c>
      <c r="J1130" s="122">
        <f t="shared" si="124"/>
        <v>63.695652173913039</v>
      </c>
      <c r="K1130" s="121">
        <v>189239</v>
      </c>
      <c r="L1130" s="121">
        <f>H1130-179698</f>
        <v>-41698</v>
      </c>
      <c r="M1130" s="121">
        <v>9541</v>
      </c>
      <c r="N1130" s="123">
        <f t="shared" si="125"/>
        <v>6.9137681159420289E-2</v>
      </c>
      <c r="O1130" s="124">
        <v>54.51</v>
      </c>
      <c r="P1130" s="125">
        <v>139</v>
      </c>
      <c r="Q1130" s="126">
        <v>0.155</v>
      </c>
      <c r="R1130" s="126">
        <v>0.155</v>
      </c>
      <c r="S1130" s="121">
        <f t="shared" si="126"/>
        <v>-764.96055769583563</v>
      </c>
      <c r="T1130" s="121">
        <f t="shared" si="127"/>
        <v>-269019.3548387097</v>
      </c>
      <c r="U1130" s="127">
        <f t="shared" si="128"/>
        <v>-6.17583459225688</v>
      </c>
      <c r="V1130" s="126">
        <v>48.5</v>
      </c>
      <c r="W1130" s="126">
        <f t="shared" si="129"/>
        <v>27600</v>
      </c>
      <c r="X1130" s="126">
        <f t="shared" si="130"/>
        <v>569.07216494845363</v>
      </c>
      <c r="Y1130" s="128" t="s">
        <v>1028</v>
      </c>
      <c r="Z1130" s="119" t="s">
        <v>35</v>
      </c>
      <c r="AA1130" s="119" t="s">
        <v>35</v>
      </c>
      <c r="AB1130" s="119" t="s">
        <v>1029</v>
      </c>
      <c r="AC1130" s="119">
        <v>0</v>
      </c>
      <c r="AD1130" s="119">
        <v>1</v>
      </c>
      <c r="AE1130" s="119" t="s">
        <v>42</v>
      </c>
      <c r="AF1130" s="119" t="s">
        <v>35</v>
      </c>
      <c r="AG1130" s="119" t="s">
        <v>38</v>
      </c>
      <c r="AH1130" s="119" t="s">
        <v>92</v>
      </c>
    </row>
    <row r="1131" spans="1:34" x14ac:dyDescent="0.3">
      <c r="A1131" s="107" t="s">
        <v>1029</v>
      </c>
      <c r="B1131" s="108" t="s">
        <v>1034</v>
      </c>
      <c r="C1131" s="108" t="s">
        <v>1035</v>
      </c>
      <c r="D1131" s="109">
        <v>45539</v>
      </c>
      <c r="E1131" s="110">
        <v>130000</v>
      </c>
      <c r="F1131" s="108" t="s">
        <v>32</v>
      </c>
      <c r="G1131" s="108" t="s">
        <v>33</v>
      </c>
      <c r="H1131" s="110">
        <v>130000</v>
      </c>
      <c r="I1131" s="110">
        <v>68500</v>
      </c>
      <c r="J1131" s="111">
        <f t="shared" si="124"/>
        <v>52.692307692307693</v>
      </c>
      <c r="K1131" s="110">
        <v>146406</v>
      </c>
      <c r="L1131" s="110">
        <f>H1131-139406</f>
        <v>-9406</v>
      </c>
      <c r="M1131" s="110">
        <v>7000</v>
      </c>
      <c r="N1131" s="112">
        <f t="shared" si="125"/>
        <v>5.3846153846153849E-2</v>
      </c>
      <c r="O1131" s="113">
        <v>40</v>
      </c>
      <c r="P1131" s="114">
        <v>110</v>
      </c>
      <c r="Q1131" s="115">
        <v>0.10100000000000001</v>
      </c>
      <c r="R1131" s="115">
        <v>0.10100000000000001</v>
      </c>
      <c r="S1131" s="110">
        <f t="shared" si="126"/>
        <v>-235.15</v>
      </c>
      <c r="T1131" s="110">
        <f t="shared" si="127"/>
        <v>-93128.71287128712</v>
      </c>
      <c r="U1131" s="116">
        <f t="shared" si="128"/>
        <v>-2.1379410668339558</v>
      </c>
      <c r="V1131" s="115">
        <v>40</v>
      </c>
      <c r="W1131" s="115">
        <f t="shared" si="129"/>
        <v>26000</v>
      </c>
      <c r="X1131" s="115">
        <f t="shared" si="130"/>
        <v>650</v>
      </c>
      <c r="Y1131" s="117" t="s">
        <v>1028</v>
      </c>
      <c r="Z1131" s="108" t="s">
        <v>35</v>
      </c>
      <c r="AA1131" s="108" t="s">
        <v>35</v>
      </c>
      <c r="AB1131" s="108" t="s">
        <v>1029</v>
      </c>
      <c r="AC1131" s="108">
        <v>0</v>
      </c>
      <c r="AD1131" s="108">
        <v>1</v>
      </c>
      <c r="AE1131" s="108" t="s">
        <v>42</v>
      </c>
      <c r="AF1131" s="108" t="s">
        <v>43</v>
      </c>
      <c r="AG1131" s="108" t="s">
        <v>38</v>
      </c>
      <c r="AH1131" s="108" t="s">
        <v>92</v>
      </c>
    </row>
    <row r="1132" spans="1:34" x14ac:dyDescent="0.3">
      <c r="A1132" s="118" t="s">
        <v>1029</v>
      </c>
      <c r="B1132" s="119" t="s">
        <v>1044</v>
      </c>
      <c r="C1132" s="119" t="s">
        <v>1045</v>
      </c>
      <c r="D1132" s="120">
        <v>45108</v>
      </c>
      <c r="E1132" s="121">
        <v>172000</v>
      </c>
      <c r="F1132" s="119" t="s">
        <v>32</v>
      </c>
      <c r="G1132" s="119" t="s">
        <v>33</v>
      </c>
      <c r="H1132" s="121">
        <v>172000</v>
      </c>
      <c r="I1132" s="121">
        <v>69000</v>
      </c>
      <c r="J1132" s="122">
        <f t="shared" si="124"/>
        <v>40.116279069767444</v>
      </c>
      <c r="K1132" s="121">
        <v>163966</v>
      </c>
      <c r="L1132" s="121">
        <f>H1132-154866</f>
        <v>17134</v>
      </c>
      <c r="M1132" s="121">
        <v>9100</v>
      </c>
      <c r="N1132" s="123">
        <f t="shared" si="125"/>
        <v>5.2906976744186048E-2</v>
      </c>
      <c r="O1132" s="124">
        <v>52</v>
      </c>
      <c r="P1132" s="125">
        <v>110</v>
      </c>
      <c r="Q1132" s="126">
        <v>0.13100000000000001</v>
      </c>
      <c r="R1132" s="126">
        <v>0.13100000000000001</v>
      </c>
      <c r="S1132" s="121">
        <f t="shared" si="126"/>
        <v>329.5</v>
      </c>
      <c r="T1132" s="121">
        <f t="shared" si="127"/>
        <v>130793.89312977099</v>
      </c>
      <c r="U1132" s="127">
        <f t="shared" si="128"/>
        <v>3.0026146264869373</v>
      </c>
      <c r="V1132" s="126">
        <v>52</v>
      </c>
      <c r="W1132" s="126">
        <f t="shared" si="129"/>
        <v>34400</v>
      </c>
      <c r="X1132" s="126">
        <f t="shared" si="130"/>
        <v>661.53846153846155</v>
      </c>
      <c r="Y1132" s="128" t="s">
        <v>1028</v>
      </c>
      <c r="Z1132" s="119" t="s">
        <v>35</v>
      </c>
      <c r="AA1132" s="119" t="s">
        <v>35</v>
      </c>
      <c r="AB1132" s="119" t="s">
        <v>1029</v>
      </c>
      <c r="AC1132" s="119">
        <v>0</v>
      </c>
      <c r="AD1132" s="119">
        <v>1</v>
      </c>
      <c r="AE1132" s="119" t="s">
        <v>37</v>
      </c>
      <c r="AF1132" s="119" t="s">
        <v>43</v>
      </c>
      <c r="AG1132" s="119" t="s">
        <v>38</v>
      </c>
      <c r="AH1132" s="119" t="s">
        <v>92</v>
      </c>
    </row>
    <row r="1133" spans="1:34" x14ac:dyDescent="0.3">
      <c r="A1133" s="107" t="s">
        <v>1029</v>
      </c>
      <c r="B1133" s="108" t="s">
        <v>1087</v>
      </c>
      <c r="C1133" s="108" t="s">
        <v>1088</v>
      </c>
      <c r="D1133" s="109">
        <v>45562</v>
      </c>
      <c r="E1133" s="110">
        <v>168000</v>
      </c>
      <c r="F1133" s="108" t="s">
        <v>32</v>
      </c>
      <c r="G1133" s="108" t="s">
        <v>33</v>
      </c>
      <c r="H1133" s="110">
        <v>168000</v>
      </c>
      <c r="I1133" s="110">
        <v>76900</v>
      </c>
      <c r="J1133" s="111">
        <f t="shared" si="124"/>
        <v>45.773809523809526</v>
      </c>
      <c r="K1133" s="110">
        <v>166425</v>
      </c>
      <c r="L1133" s="110">
        <f>H1133-158082</f>
        <v>9918</v>
      </c>
      <c r="M1133" s="110">
        <v>8343</v>
      </c>
      <c r="N1133" s="112">
        <f t="shared" si="125"/>
        <v>4.9660714285714287E-2</v>
      </c>
      <c r="O1133" s="113">
        <v>47.67</v>
      </c>
      <c r="P1133" s="114">
        <v>100</v>
      </c>
      <c r="Q1133" s="115">
        <v>0.115</v>
      </c>
      <c r="R1133" s="115">
        <v>0.115</v>
      </c>
      <c r="S1133" s="110">
        <f t="shared" si="126"/>
        <v>208.05538074260539</v>
      </c>
      <c r="T1133" s="110">
        <f t="shared" si="127"/>
        <v>86243.478260869568</v>
      </c>
      <c r="U1133" s="116">
        <f t="shared" si="128"/>
        <v>1.9798778296802013</v>
      </c>
      <c r="V1133" s="115">
        <v>50</v>
      </c>
      <c r="W1133" s="115">
        <f t="shared" si="129"/>
        <v>33600</v>
      </c>
      <c r="X1133" s="115">
        <f t="shared" si="130"/>
        <v>672</v>
      </c>
      <c r="Y1133" s="117" t="s">
        <v>1028</v>
      </c>
      <c r="Z1133" s="108" t="s">
        <v>35</v>
      </c>
      <c r="AA1133" s="108" t="s">
        <v>35</v>
      </c>
      <c r="AB1133" s="108" t="s">
        <v>1029</v>
      </c>
      <c r="AC1133" s="108">
        <v>0</v>
      </c>
      <c r="AD1133" s="108">
        <v>1</v>
      </c>
      <c r="AE1133" s="108" t="s">
        <v>42</v>
      </c>
      <c r="AF1133" s="108" t="s">
        <v>43</v>
      </c>
      <c r="AG1133" s="108" t="s">
        <v>38</v>
      </c>
      <c r="AH1133" s="108" t="s">
        <v>92</v>
      </c>
    </row>
    <row r="1134" spans="1:34" x14ac:dyDescent="0.3">
      <c r="A1134" s="107" t="s">
        <v>1029</v>
      </c>
      <c r="B1134" s="108" t="s">
        <v>1066</v>
      </c>
      <c r="C1134" s="108" t="s">
        <v>1067</v>
      </c>
      <c r="D1134" s="109">
        <v>45534</v>
      </c>
      <c r="E1134" s="110">
        <v>173000</v>
      </c>
      <c r="F1134" s="108" t="s">
        <v>81</v>
      </c>
      <c r="G1134" s="108" t="s">
        <v>33</v>
      </c>
      <c r="H1134" s="110">
        <v>173000</v>
      </c>
      <c r="I1134" s="110">
        <v>96300</v>
      </c>
      <c r="J1134" s="111">
        <f t="shared" si="124"/>
        <v>55.664739884393065</v>
      </c>
      <c r="K1134" s="110">
        <v>211451</v>
      </c>
      <c r="L1134" s="110">
        <f>H1134-202701</f>
        <v>-29701</v>
      </c>
      <c r="M1134" s="110">
        <v>8750</v>
      </c>
      <c r="N1134" s="112">
        <f t="shared" si="125"/>
        <v>5.0578034682080927E-2</v>
      </c>
      <c r="O1134" s="113">
        <v>50</v>
      </c>
      <c r="P1134" s="114">
        <v>110</v>
      </c>
      <c r="Q1134" s="115">
        <v>0.126</v>
      </c>
      <c r="R1134" s="115">
        <v>0.126</v>
      </c>
      <c r="S1134" s="110">
        <f t="shared" si="126"/>
        <v>-594.02</v>
      </c>
      <c r="T1134" s="110">
        <f t="shared" si="127"/>
        <v>-235722.22222222222</v>
      </c>
      <c r="U1134" s="116">
        <f t="shared" si="128"/>
        <v>-5.4114376084073053</v>
      </c>
      <c r="V1134" s="115">
        <v>50</v>
      </c>
      <c r="W1134" s="115">
        <f t="shared" si="129"/>
        <v>34600</v>
      </c>
      <c r="X1134" s="115">
        <f t="shared" si="130"/>
        <v>692</v>
      </c>
      <c r="Y1134" s="117" t="s">
        <v>1028</v>
      </c>
      <c r="Z1134" s="108" t="s">
        <v>35</v>
      </c>
      <c r="AA1134" s="108" t="s">
        <v>35</v>
      </c>
      <c r="AB1134" s="108" t="s">
        <v>1029</v>
      </c>
      <c r="AC1134" s="108">
        <v>0</v>
      </c>
      <c r="AD1134" s="108">
        <v>1</v>
      </c>
      <c r="AE1134" s="108" t="s">
        <v>42</v>
      </c>
      <c r="AF1134" s="108" t="s">
        <v>35</v>
      </c>
      <c r="AG1134" s="108" t="s">
        <v>38</v>
      </c>
      <c r="AH1134" s="108" t="s">
        <v>92</v>
      </c>
    </row>
    <row r="1135" spans="1:34" x14ac:dyDescent="0.3">
      <c r="A1135" s="118" t="s">
        <v>1029</v>
      </c>
      <c r="B1135" s="119" t="s">
        <v>1054</v>
      </c>
      <c r="C1135" s="119" t="s">
        <v>1055</v>
      </c>
      <c r="D1135" s="120">
        <v>45264</v>
      </c>
      <c r="E1135" s="121">
        <v>185000</v>
      </c>
      <c r="F1135" s="119" t="s">
        <v>32</v>
      </c>
      <c r="G1135" s="119" t="s">
        <v>33</v>
      </c>
      <c r="H1135" s="121">
        <v>185000</v>
      </c>
      <c r="I1135" s="121">
        <v>75700</v>
      </c>
      <c r="J1135" s="122">
        <f t="shared" si="124"/>
        <v>40.918918918918919</v>
      </c>
      <c r="K1135" s="121">
        <v>179040</v>
      </c>
      <c r="L1135" s="121">
        <f>H1135-168773</f>
        <v>16227</v>
      </c>
      <c r="M1135" s="121">
        <v>10267</v>
      </c>
      <c r="N1135" s="123">
        <f t="shared" si="125"/>
        <v>5.5497297297297299E-2</v>
      </c>
      <c r="O1135" s="124">
        <v>58.66</v>
      </c>
      <c r="P1135" s="125">
        <v>134.79</v>
      </c>
      <c r="Q1135" s="126">
        <v>0.16400000000000001</v>
      </c>
      <c r="R1135" s="126">
        <v>0.16400000000000001</v>
      </c>
      <c r="S1135" s="121">
        <f t="shared" si="126"/>
        <v>276.62802591203547</v>
      </c>
      <c r="T1135" s="121">
        <f t="shared" si="127"/>
        <v>98945.121951219509</v>
      </c>
      <c r="U1135" s="127">
        <f t="shared" si="128"/>
        <v>2.2714674460794195</v>
      </c>
      <c r="V1135" s="126">
        <v>53</v>
      </c>
      <c r="W1135" s="126">
        <f t="shared" si="129"/>
        <v>37000</v>
      </c>
      <c r="X1135" s="126">
        <f t="shared" si="130"/>
        <v>698.11320754716985</v>
      </c>
      <c r="Y1135" s="128" t="s">
        <v>1028</v>
      </c>
      <c r="Z1135" s="119" t="s">
        <v>35</v>
      </c>
      <c r="AA1135" s="119" t="s">
        <v>35</v>
      </c>
      <c r="AB1135" s="119" t="s">
        <v>1029</v>
      </c>
      <c r="AC1135" s="119">
        <v>0</v>
      </c>
      <c r="AD1135" s="119">
        <v>1</v>
      </c>
      <c r="AE1135" s="119" t="s">
        <v>37</v>
      </c>
      <c r="AF1135" s="119" t="s">
        <v>43</v>
      </c>
      <c r="AG1135" s="119" t="s">
        <v>38</v>
      </c>
      <c r="AH1135" s="119" t="s">
        <v>92</v>
      </c>
    </row>
    <row r="1136" spans="1:34" x14ac:dyDescent="0.3">
      <c r="A1136" s="107" t="s">
        <v>1029</v>
      </c>
      <c r="B1136" s="108" t="s">
        <v>1050</v>
      </c>
      <c r="C1136" s="108" t="s">
        <v>1051</v>
      </c>
      <c r="D1136" s="109">
        <v>45741</v>
      </c>
      <c r="E1136" s="110">
        <v>175000</v>
      </c>
      <c r="F1136" s="108" t="s">
        <v>32</v>
      </c>
      <c r="G1136" s="108" t="s">
        <v>33</v>
      </c>
      <c r="H1136" s="110">
        <v>175000</v>
      </c>
      <c r="I1136" s="110">
        <v>95700</v>
      </c>
      <c r="J1136" s="111">
        <f t="shared" si="124"/>
        <v>54.685714285714283</v>
      </c>
      <c r="K1136" s="110">
        <v>205661</v>
      </c>
      <c r="L1136" s="110">
        <f>H1136-195901</f>
        <v>-20901</v>
      </c>
      <c r="M1136" s="110">
        <v>9760</v>
      </c>
      <c r="N1136" s="112">
        <f t="shared" si="125"/>
        <v>5.5771428571428569E-2</v>
      </c>
      <c r="O1136" s="113">
        <v>55.76</v>
      </c>
      <c r="P1136" s="114">
        <v>136.85</v>
      </c>
      <c r="Q1136" s="115">
        <v>0.157</v>
      </c>
      <c r="R1136" s="115">
        <v>0.157</v>
      </c>
      <c r="S1136" s="110">
        <f t="shared" si="126"/>
        <v>-374.83859397417507</v>
      </c>
      <c r="T1136" s="110">
        <f t="shared" si="127"/>
        <v>-133127.38853503185</v>
      </c>
      <c r="U1136" s="116">
        <f t="shared" si="128"/>
        <v>-3.0561843098033021</v>
      </c>
      <c r="V1136" s="115">
        <v>50</v>
      </c>
      <c r="W1136" s="115">
        <f t="shared" si="129"/>
        <v>35000</v>
      </c>
      <c r="X1136" s="115">
        <f t="shared" si="130"/>
        <v>700</v>
      </c>
      <c r="Y1136" s="117" t="s">
        <v>1028</v>
      </c>
      <c r="Z1136" s="108" t="s">
        <v>35</v>
      </c>
      <c r="AA1136" s="108" t="s">
        <v>35</v>
      </c>
      <c r="AB1136" s="108" t="s">
        <v>1029</v>
      </c>
      <c r="AC1136" s="108">
        <v>0</v>
      </c>
      <c r="AD1136" s="108">
        <v>1</v>
      </c>
      <c r="AE1136" s="108" t="s">
        <v>37</v>
      </c>
      <c r="AF1136" s="108" t="s">
        <v>35</v>
      </c>
      <c r="AG1136" s="108" t="s">
        <v>38</v>
      </c>
      <c r="AH1136" s="108" t="s">
        <v>92</v>
      </c>
    </row>
    <row r="1137" spans="1:34" x14ac:dyDescent="0.3">
      <c r="A1137" s="118" t="s">
        <v>1029</v>
      </c>
      <c r="B1137" s="119" t="s">
        <v>1091</v>
      </c>
      <c r="C1137" s="119" t="s">
        <v>1092</v>
      </c>
      <c r="D1137" s="120">
        <v>45428</v>
      </c>
      <c r="E1137" s="121">
        <v>196000</v>
      </c>
      <c r="F1137" s="119" t="s">
        <v>32</v>
      </c>
      <c r="G1137" s="119" t="s">
        <v>33</v>
      </c>
      <c r="H1137" s="121">
        <v>196000</v>
      </c>
      <c r="I1137" s="121">
        <v>82000</v>
      </c>
      <c r="J1137" s="122">
        <f t="shared" si="124"/>
        <v>41.836734693877553</v>
      </c>
      <c r="K1137" s="121">
        <v>177254</v>
      </c>
      <c r="L1137" s="121">
        <f>H1137-167298</f>
        <v>28702</v>
      </c>
      <c r="M1137" s="121">
        <v>9956</v>
      </c>
      <c r="N1137" s="123">
        <f t="shared" si="125"/>
        <v>5.079591836734694E-2</v>
      </c>
      <c r="O1137" s="124">
        <v>56.88</v>
      </c>
      <c r="P1137" s="125">
        <v>116.62</v>
      </c>
      <c r="Q1137" s="126">
        <v>0.14799999999999999</v>
      </c>
      <c r="R1137" s="126">
        <v>0.14799999999999999</v>
      </c>
      <c r="S1137" s="121">
        <f t="shared" si="126"/>
        <v>504.60618846694791</v>
      </c>
      <c r="T1137" s="121">
        <f t="shared" si="127"/>
        <v>193932.43243243246</v>
      </c>
      <c r="U1137" s="127">
        <f t="shared" si="128"/>
        <v>4.4520760429851345</v>
      </c>
      <c r="V1137" s="126">
        <v>55</v>
      </c>
      <c r="W1137" s="126">
        <f t="shared" si="129"/>
        <v>39200</v>
      </c>
      <c r="X1137" s="126">
        <f t="shared" si="130"/>
        <v>712.72727272727275</v>
      </c>
      <c r="Y1137" s="128" t="s">
        <v>1028</v>
      </c>
      <c r="Z1137" s="119" t="s">
        <v>35</v>
      </c>
      <c r="AA1137" s="119" t="s">
        <v>35</v>
      </c>
      <c r="AB1137" s="119" t="s">
        <v>1029</v>
      </c>
      <c r="AC1137" s="119">
        <v>0</v>
      </c>
      <c r="AD1137" s="119">
        <v>1</v>
      </c>
      <c r="AE1137" s="119" t="s">
        <v>37</v>
      </c>
      <c r="AF1137" s="119" t="s">
        <v>43</v>
      </c>
      <c r="AG1137" s="119" t="s">
        <v>38</v>
      </c>
      <c r="AH1137" s="119" t="s">
        <v>92</v>
      </c>
    </row>
    <row r="1138" spans="1:34" x14ac:dyDescent="0.3">
      <c r="A1138" s="118" t="s">
        <v>1029</v>
      </c>
      <c r="B1138" s="119" t="s">
        <v>1083</v>
      </c>
      <c r="C1138" s="119" t="s">
        <v>1084</v>
      </c>
      <c r="D1138" s="120">
        <v>45531</v>
      </c>
      <c r="E1138" s="121">
        <v>186000</v>
      </c>
      <c r="F1138" s="119" t="s">
        <v>32</v>
      </c>
      <c r="G1138" s="119" t="s">
        <v>33</v>
      </c>
      <c r="H1138" s="121">
        <v>186000</v>
      </c>
      <c r="I1138" s="121">
        <v>77200</v>
      </c>
      <c r="J1138" s="122">
        <f t="shared" si="124"/>
        <v>41.505376344086017</v>
      </c>
      <c r="K1138" s="121">
        <v>167166</v>
      </c>
      <c r="L1138" s="121">
        <f>H1138-158823</f>
        <v>27177</v>
      </c>
      <c r="M1138" s="121">
        <v>8343</v>
      </c>
      <c r="N1138" s="123">
        <f t="shared" si="125"/>
        <v>4.4854838709677422E-2</v>
      </c>
      <c r="O1138" s="124">
        <v>47.67</v>
      </c>
      <c r="P1138" s="125">
        <v>100</v>
      </c>
      <c r="Q1138" s="126">
        <v>0.115</v>
      </c>
      <c r="R1138" s="126">
        <v>0.115</v>
      </c>
      <c r="S1138" s="121">
        <f t="shared" si="126"/>
        <v>570.10698552548774</v>
      </c>
      <c r="T1138" s="121">
        <f t="shared" si="127"/>
        <v>236321.73913043478</v>
      </c>
      <c r="U1138" s="127">
        <f t="shared" si="128"/>
        <v>5.425200622829081</v>
      </c>
      <c r="V1138" s="126">
        <v>50</v>
      </c>
      <c r="W1138" s="126">
        <f t="shared" si="129"/>
        <v>37200</v>
      </c>
      <c r="X1138" s="126">
        <f t="shared" si="130"/>
        <v>744</v>
      </c>
      <c r="Y1138" s="128" t="s">
        <v>1028</v>
      </c>
      <c r="Z1138" s="119" t="s">
        <v>35</v>
      </c>
      <c r="AA1138" s="119" t="s">
        <v>35</v>
      </c>
      <c r="AB1138" s="119" t="s">
        <v>1029</v>
      </c>
      <c r="AC1138" s="119">
        <v>0</v>
      </c>
      <c r="AD1138" s="119">
        <v>1</v>
      </c>
      <c r="AE1138" s="119" t="s">
        <v>37</v>
      </c>
      <c r="AF1138" s="119" t="s">
        <v>43</v>
      </c>
      <c r="AG1138" s="119" t="s">
        <v>38</v>
      </c>
      <c r="AH1138" s="119" t="s">
        <v>92</v>
      </c>
    </row>
    <row r="1139" spans="1:34" x14ac:dyDescent="0.3">
      <c r="A1139" s="107" t="s">
        <v>1029</v>
      </c>
      <c r="B1139" s="108" t="s">
        <v>1079</v>
      </c>
      <c r="C1139" s="108" t="s">
        <v>1080</v>
      </c>
      <c r="D1139" s="109">
        <v>45184</v>
      </c>
      <c r="E1139" s="110">
        <v>225000</v>
      </c>
      <c r="F1139" s="108" t="s">
        <v>32</v>
      </c>
      <c r="G1139" s="108" t="s">
        <v>33</v>
      </c>
      <c r="H1139" s="110">
        <v>225000</v>
      </c>
      <c r="I1139" s="110">
        <v>76100</v>
      </c>
      <c r="J1139" s="111">
        <f t="shared" si="124"/>
        <v>33.822222222222223</v>
      </c>
      <c r="K1139" s="110">
        <v>190634</v>
      </c>
      <c r="L1139" s="110">
        <f>H1139-180623</f>
        <v>44377</v>
      </c>
      <c r="M1139" s="110">
        <v>10011</v>
      </c>
      <c r="N1139" s="112">
        <f t="shared" si="125"/>
        <v>4.4493333333333336E-2</v>
      </c>
      <c r="O1139" s="113">
        <v>57.2</v>
      </c>
      <c r="P1139" s="114">
        <v>100</v>
      </c>
      <c r="Q1139" s="115">
        <v>0.13800000000000001</v>
      </c>
      <c r="R1139" s="115">
        <v>0.13800000000000001</v>
      </c>
      <c r="S1139" s="110">
        <f t="shared" si="126"/>
        <v>775.82167832167829</v>
      </c>
      <c r="T1139" s="110">
        <f t="shared" si="127"/>
        <v>321572.46376811591</v>
      </c>
      <c r="U1139" s="116">
        <f t="shared" si="128"/>
        <v>7.3822879652919173</v>
      </c>
      <c r="V1139" s="115">
        <v>60</v>
      </c>
      <c r="W1139" s="115">
        <f t="shared" si="129"/>
        <v>45000</v>
      </c>
      <c r="X1139" s="115">
        <f t="shared" si="130"/>
        <v>750</v>
      </c>
      <c r="Y1139" s="117" t="s">
        <v>1028</v>
      </c>
      <c r="Z1139" s="108" t="s">
        <v>35</v>
      </c>
      <c r="AA1139" s="108" t="s">
        <v>35</v>
      </c>
      <c r="AB1139" s="108" t="s">
        <v>1029</v>
      </c>
      <c r="AC1139" s="108">
        <v>0</v>
      </c>
      <c r="AD1139" s="108">
        <v>1</v>
      </c>
      <c r="AE1139" s="108" t="s">
        <v>42</v>
      </c>
      <c r="AF1139" s="108" t="s">
        <v>43</v>
      </c>
      <c r="AG1139" s="108" t="s">
        <v>38</v>
      </c>
      <c r="AH1139" s="108" t="s">
        <v>92</v>
      </c>
    </row>
    <row r="1140" spans="1:34" x14ac:dyDescent="0.3">
      <c r="A1140" s="118" t="s">
        <v>1029</v>
      </c>
      <c r="B1140" s="119" t="s">
        <v>1036</v>
      </c>
      <c r="C1140" s="119" t="s">
        <v>1037</v>
      </c>
      <c r="D1140" s="120">
        <v>45364</v>
      </c>
      <c r="E1140" s="121">
        <v>199900</v>
      </c>
      <c r="F1140" s="119" t="s">
        <v>32</v>
      </c>
      <c r="G1140" s="119" t="s">
        <v>33</v>
      </c>
      <c r="H1140" s="121">
        <v>199900</v>
      </c>
      <c r="I1140" s="121">
        <v>76000</v>
      </c>
      <c r="J1140" s="122">
        <f t="shared" si="124"/>
        <v>38.019009504752376</v>
      </c>
      <c r="K1140" s="121">
        <v>179932</v>
      </c>
      <c r="L1140" s="121">
        <f>H1140-169997</f>
        <v>29903</v>
      </c>
      <c r="M1140" s="121">
        <v>9935</v>
      </c>
      <c r="N1140" s="123">
        <f t="shared" si="125"/>
        <v>4.9699849924962479E-2</v>
      </c>
      <c r="O1140" s="124">
        <v>56.76</v>
      </c>
      <c r="P1140" s="125">
        <v>108.79</v>
      </c>
      <c r="Q1140" s="126">
        <v>0.14799999999999999</v>
      </c>
      <c r="R1140" s="126">
        <v>0.14799999999999999</v>
      </c>
      <c r="S1140" s="121">
        <f t="shared" si="126"/>
        <v>526.83227625088091</v>
      </c>
      <c r="T1140" s="121">
        <f t="shared" si="127"/>
        <v>202047.29729729731</v>
      </c>
      <c r="U1140" s="127">
        <f t="shared" si="128"/>
        <v>4.6383677065495252</v>
      </c>
      <c r="V1140" s="126">
        <v>52.56</v>
      </c>
      <c r="W1140" s="126">
        <f t="shared" si="129"/>
        <v>39980</v>
      </c>
      <c r="X1140" s="126">
        <f t="shared" si="130"/>
        <v>760.65449010654481</v>
      </c>
      <c r="Y1140" s="128" t="s">
        <v>1028</v>
      </c>
      <c r="Z1140" s="119" t="s">
        <v>35</v>
      </c>
      <c r="AA1140" s="119" t="s">
        <v>35</v>
      </c>
      <c r="AB1140" s="119" t="s">
        <v>1029</v>
      </c>
      <c r="AC1140" s="119">
        <v>0</v>
      </c>
      <c r="AD1140" s="119">
        <v>1</v>
      </c>
      <c r="AE1140" s="119" t="s">
        <v>37</v>
      </c>
      <c r="AF1140" s="119" t="s">
        <v>43</v>
      </c>
      <c r="AG1140" s="119" t="s">
        <v>38</v>
      </c>
      <c r="AH1140" s="119" t="s">
        <v>92</v>
      </c>
    </row>
    <row r="1141" spans="1:34" x14ac:dyDescent="0.3">
      <c r="A1141" s="107" t="s">
        <v>1029</v>
      </c>
      <c r="B1141" s="108" t="s">
        <v>1081</v>
      </c>
      <c r="C1141" s="108" t="s">
        <v>1082</v>
      </c>
      <c r="D1141" s="109">
        <v>45134</v>
      </c>
      <c r="E1141" s="110">
        <v>194500</v>
      </c>
      <c r="F1141" s="108" t="s">
        <v>32</v>
      </c>
      <c r="G1141" s="108" t="s">
        <v>33</v>
      </c>
      <c r="H1141" s="110">
        <v>194500</v>
      </c>
      <c r="I1141" s="110">
        <v>78600</v>
      </c>
      <c r="J1141" s="111">
        <f t="shared" si="124"/>
        <v>40.411311053984576</v>
      </c>
      <c r="K1141" s="110">
        <v>186713</v>
      </c>
      <c r="L1141" s="110">
        <f>H1141-178370</f>
        <v>16130</v>
      </c>
      <c r="M1141" s="110">
        <v>8343</v>
      </c>
      <c r="N1141" s="112">
        <f t="shared" si="125"/>
        <v>4.289460154241645E-2</v>
      </c>
      <c r="O1141" s="113">
        <v>47.67</v>
      </c>
      <c r="P1141" s="114">
        <v>100</v>
      </c>
      <c r="Q1141" s="115">
        <v>0.115</v>
      </c>
      <c r="R1141" s="115">
        <v>0.115</v>
      </c>
      <c r="S1141" s="110">
        <f t="shared" si="126"/>
        <v>338.36794629746169</v>
      </c>
      <c r="T1141" s="110">
        <f t="shared" si="127"/>
        <v>140260.86956521738</v>
      </c>
      <c r="U1141" s="116">
        <f t="shared" si="128"/>
        <v>3.2199465005789114</v>
      </c>
      <c r="V1141" s="115">
        <v>50</v>
      </c>
      <c r="W1141" s="115">
        <f t="shared" si="129"/>
        <v>38900</v>
      </c>
      <c r="X1141" s="115">
        <f t="shared" si="130"/>
        <v>778</v>
      </c>
      <c r="Y1141" s="117" t="s">
        <v>1028</v>
      </c>
      <c r="Z1141" s="108" t="s">
        <v>35</v>
      </c>
      <c r="AA1141" s="108" t="s">
        <v>35</v>
      </c>
      <c r="AB1141" s="108" t="s">
        <v>1029</v>
      </c>
      <c r="AC1141" s="108">
        <v>0</v>
      </c>
      <c r="AD1141" s="108">
        <v>1</v>
      </c>
      <c r="AE1141" s="108" t="s">
        <v>42</v>
      </c>
      <c r="AF1141" s="108" t="s">
        <v>43</v>
      </c>
      <c r="AG1141" s="108" t="s">
        <v>38</v>
      </c>
      <c r="AH1141" s="108" t="s">
        <v>92</v>
      </c>
    </row>
    <row r="1142" spans="1:34" x14ac:dyDescent="0.3">
      <c r="A1142" s="107" t="s">
        <v>1029</v>
      </c>
      <c r="B1142" s="108" t="s">
        <v>1048</v>
      </c>
      <c r="C1142" s="108" t="s">
        <v>1049</v>
      </c>
      <c r="D1142" s="109">
        <v>45485</v>
      </c>
      <c r="E1142" s="110">
        <v>195500</v>
      </c>
      <c r="F1142" s="108" t="s">
        <v>32</v>
      </c>
      <c r="G1142" s="108" t="s">
        <v>33</v>
      </c>
      <c r="H1142" s="110">
        <v>195500</v>
      </c>
      <c r="I1142" s="110">
        <v>82100</v>
      </c>
      <c r="J1142" s="111">
        <f t="shared" si="124"/>
        <v>41.994884910485936</v>
      </c>
      <c r="K1142" s="110">
        <v>177552</v>
      </c>
      <c r="L1142" s="110">
        <f>H1142-168802</f>
        <v>26698</v>
      </c>
      <c r="M1142" s="110">
        <v>8750</v>
      </c>
      <c r="N1142" s="112">
        <f t="shared" si="125"/>
        <v>4.4757033248081841E-2</v>
      </c>
      <c r="O1142" s="113">
        <v>50</v>
      </c>
      <c r="P1142" s="114">
        <v>110</v>
      </c>
      <c r="Q1142" s="115">
        <v>0.126</v>
      </c>
      <c r="R1142" s="115">
        <v>0.126</v>
      </c>
      <c r="S1142" s="110">
        <f t="shared" si="126"/>
        <v>533.96</v>
      </c>
      <c r="T1142" s="110">
        <f t="shared" si="127"/>
        <v>211888.88888888888</v>
      </c>
      <c r="U1142" s="116">
        <f t="shared" si="128"/>
        <v>4.8642995612692577</v>
      </c>
      <c r="V1142" s="115">
        <v>50</v>
      </c>
      <c r="W1142" s="115">
        <f t="shared" si="129"/>
        <v>39100</v>
      </c>
      <c r="X1142" s="115">
        <f t="shared" si="130"/>
        <v>782</v>
      </c>
      <c r="Y1142" s="117" t="s">
        <v>1028</v>
      </c>
      <c r="Z1142" s="108" t="s">
        <v>35</v>
      </c>
      <c r="AA1142" s="108" t="s">
        <v>35</v>
      </c>
      <c r="AB1142" s="108" t="s">
        <v>1029</v>
      </c>
      <c r="AC1142" s="108">
        <v>0</v>
      </c>
      <c r="AD1142" s="108">
        <v>1</v>
      </c>
      <c r="AE1142" s="108" t="s">
        <v>37</v>
      </c>
      <c r="AF1142" s="108" t="s">
        <v>43</v>
      </c>
      <c r="AG1142" s="108" t="s">
        <v>38</v>
      </c>
      <c r="AH1142" s="108" t="s">
        <v>92</v>
      </c>
    </row>
    <row r="1143" spans="1:34" x14ac:dyDescent="0.3">
      <c r="A1143" s="107" t="s">
        <v>1029</v>
      </c>
      <c r="B1143" s="108" t="s">
        <v>1056</v>
      </c>
      <c r="C1143" s="108" t="s">
        <v>1057</v>
      </c>
      <c r="D1143" s="109">
        <v>45274</v>
      </c>
      <c r="E1143" s="110">
        <v>205000</v>
      </c>
      <c r="F1143" s="108" t="s">
        <v>32</v>
      </c>
      <c r="G1143" s="108" t="s">
        <v>33</v>
      </c>
      <c r="H1143" s="110">
        <v>205000</v>
      </c>
      <c r="I1143" s="110">
        <v>92100</v>
      </c>
      <c r="J1143" s="111">
        <f t="shared" si="124"/>
        <v>44.926829268292686</v>
      </c>
      <c r="K1143" s="110">
        <v>221408</v>
      </c>
      <c r="L1143" s="110">
        <f>H1143-212308</f>
        <v>-7308</v>
      </c>
      <c r="M1143" s="110">
        <v>9100</v>
      </c>
      <c r="N1143" s="112">
        <f t="shared" si="125"/>
        <v>4.4390243902439022E-2</v>
      </c>
      <c r="O1143" s="113">
        <v>52</v>
      </c>
      <c r="P1143" s="114">
        <v>110</v>
      </c>
      <c r="Q1143" s="115">
        <v>0.13100000000000001</v>
      </c>
      <c r="R1143" s="115">
        <v>0.13100000000000001</v>
      </c>
      <c r="S1143" s="110">
        <f t="shared" si="126"/>
        <v>-140.53846153846155</v>
      </c>
      <c r="T1143" s="110">
        <f t="shared" si="127"/>
        <v>-55786.259541984728</v>
      </c>
      <c r="U1143" s="116">
        <f t="shared" si="128"/>
        <v>-1.280676298025361</v>
      </c>
      <c r="V1143" s="115">
        <v>52</v>
      </c>
      <c r="W1143" s="115">
        <f t="shared" si="129"/>
        <v>41000</v>
      </c>
      <c r="X1143" s="115">
        <f t="shared" si="130"/>
        <v>788.46153846153845</v>
      </c>
      <c r="Y1143" s="117" t="s">
        <v>1028</v>
      </c>
      <c r="Z1143" s="108" t="s">
        <v>35</v>
      </c>
      <c r="AA1143" s="108" t="s">
        <v>35</v>
      </c>
      <c r="AB1143" s="108" t="s">
        <v>1029</v>
      </c>
      <c r="AC1143" s="108">
        <v>0</v>
      </c>
      <c r="AD1143" s="108">
        <v>1</v>
      </c>
      <c r="AE1143" s="108" t="s">
        <v>37</v>
      </c>
      <c r="AF1143" s="108" t="s">
        <v>43</v>
      </c>
      <c r="AG1143" s="108" t="s">
        <v>38</v>
      </c>
      <c r="AH1143" s="108" t="s">
        <v>92</v>
      </c>
    </row>
    <row r="1144" spans="1:34" x14ac:dyDescent="0.3">
      <c r="A1144" s="118" t="s">
        <v>1029</v>
      </c>
      <c r="B1144" s="119" t="s">
        <v>1077</v>
      </c>
      <c r="C1144" s="119" t="s">
        <v>1078</v>
      </c>
      <c r="D1144" s="120">
        <v>45541</v>
      </c>
      <c r="E1144" s="121">
        <v>200000</v>
      </c>
      <c r="F1144" s="119" t="s">
        <v>32</v>
      </c>
      <c r="G1144" s="119" t="s">
        <v>33</v>
      </c>
      <c r="H1144" s="121">
        <v>200000</v>
      </c>
      <c r="I1144" s="121">
        <v>85100</v>
      </c>
      <c r="J1144" s="122">
        <f t="shared" si="124"/>
        <v>42.55</v>
      </c>
      <c r="K1144" s="121">
        <v>184033</v>
      </c>
      <c r="L1144" s="121">
        <f>H1144-175147</f>
        <v>24853</v>
      </c>
      <c r="M1144" s="121">
        <v>8886</v>
      </c>
      <c r="N1144" s="123">
        <f t="shared" si="125"/>
        <v>4.4429999999999997E-2</v>
      </c>
      <c r="O1144" s="124">
        <v>50.77</v>
      </c>
      <c r="P1144" s="125">
        <v>111.2</v>
      </c>
      <c r="Q1144" s="126">
        <v>0.13</v>
      </c>
      <c r="R1144" s="126">
        <v>0.13</v>
      </c>
      <c r="S1144" s="121">
        <f t="shared" si="126"/>
        <v>489.52137088831984</v>
      </c>
      <c r="T1144" s="121">
        <f t="shared" si="127"/>
        <v>191176.92307692306</v>
      </c>
      <c r="U1144" s="127">
        <f t="shared" si="128"/>
        <v>4.388818252454616</v>
      </c>
      <c r="V1144" s="126">
        <v>50</v>
      </c>
      <c r="W1144" s="126">
        <f t="shared" si="129"/>
        <v>40000</v>
      </c>
      <c r="X1144" s="126">
        <f t="shared" si="130"/>
        <v>800</v>
      </c>
      <c r="Y1144" s="128" t="s">
        <v>1028</v>
      </c>
      <c r="Z1144" s="119" t="s">
        <v>35</v>
      </c>
      <c r="AA1144" s="119" t="s">
        <v>35</v>
      </c>
      <c r="AB1144" s="119" t="s">
        <v>1029</v>
      </c>
      <c r="AC1144" s="119">
        <v>0</v>
      </c>
      <c r="AD1144" s="119">
        <v>1</v>
      </c>
      <c r="AE1144" s="119" t="s">
        <v>37</v>
      </c>
      <c r="AF1144" s="119" t="s">
        <v>43</v>
      </c>
      <c r="AG1144" s="119" t="s">
        <v>38</v>
      </c>
      <c r="AH1144" s="119" t="s">
        <v>92</v>
      </c>
    </row>
    <row r="1145" spans="1:34" x14ac:dyDescent="0.3">
      <c r="A1145" s="107" t="s">
        <v>1029</v>
      </c>
      <c r="B1145" s="108" t="s">
        <v>1040</v>
      </c>
      <c r="C1145" s="108" t="s">
        <v>1041</v>
      </c>
      <c r="D1145" s="109">
        <v>45273</v>
      </c>
      <c r="E1145" s="110">
        <v>205000</v>
      </c>
      <c r="F1145" s="108" t="s">
        <v>32</v>
      </c>
      <c r="G1145" s="108" t="s">
        <v>33</v>
      </c>
      <c r="H1145" s="110">
        <v>205000</v>
      </c>
      <c r="I1145" s="110">
        <v>76200</v>
      </c>
      <c r="J1145" s="111">
        <f t="shared" si="124"/>
        <v>37.170731707317074</v>
      </c>
      <c r="K1145" s="110">
        <v>180601</v>
      </c>
      <c r="L1145" s="110">
        <f>H1145-172258</f>
        <v>32742</v>
      </c>
      <c r="M1145" s="110">
        <v>8343</v>
      </c>
      <c r="N1145" s="112">
        <f t="shared" si="125"/>
        <v>4.0697560975609753E-2</v>
      </c>
      <c r="O1145" s="113">
        <v>47.67</v>
      </c>
      <c r="P1145" s="114">
        <v>100</v>
      </c>
      <c r="Q1145" s="115">
        <v>0.115</v>
      </c>
      <c r="R1145" s="115">
        <v>0.115</v>
      </c>
      <c r="S1145" s="110">
        <f t="shared" si="126"/>
        <v>686.84707363121458</v>
      </c>
      <c r="T1145" s="110">
        <f t="shared" si="127"/>
        <v>284713.04347826086</v>
      </c>
      <c r="U1145" s="116">
        <f t="shared" si="128"/>
        <v>6.5361121092346384</v>
      </c>
      <c r="V1145" s="115">
        <v>50</v>
      </c>
      <c r="W1145" s="115">
        <f t="shared" si="129"/>
        <v>41000</v>
      </c>
      <c r="X1145" s="115">
        <f t="shared" si="130"/>
        <v>820</v>
      </c>
      <c r="Y1145" s="117" t="s">
        <v>1028</v>
      </c>
      <c r="Z1145" s="108" t="s">
        <v>35</v>
      </c>
      <c r="AA1145" s="108" t="s">
        <v>35</v>
      </c>
      <c r="AB1145" s="108" t="s">
        <v>1029</v>
      </c>
      <c r="AC1145" s="108">
        <v>0</v>
      </c>
      <c r="AD1145" s="108">
        <v>1</v>
      </c>
      <c r="AE1145" s="108" t="s">
        <v>37</v>
      </c>
      <c r="AF1145" s="108" t="s">
        <v>43</v>
      </c>
      <c r="AG1145" s="108" t="s">
        <v>38</v>
      </c>
      <c r="AH1145" s="108" t="s">
        <v>92</v>
      </c>
    </row>
    <row r="1146" spans="1:34" x14ac:dyDescent="0.3">
      <c r="A1146" s="107" t="s">
        <v>1029</v>
      </c>
      <c r="B1146" s="108" t="s">
        <v>1064</v>
      </c>
      <c r="C1146" s="108" t="s">
        <v>1065</v>
      </c>
      <c r="D1146" s="109">
        <v>45219</v>
      </c>
      <c r="E1146" s="110">
        <v>210000</v>
      </c>
      <c r="F1146" s="108" t="s">
        <v>32</v>
      </c>
      <c r="G1146" s="108" t="s">
        <v>33</v>
      </c>
      <c r="H1146" s="110">
        <v>210000</v>
      </c>
      <c r="I1146" s="110">
        <v>75000</v>
      </c>
      <c r="J1146" s="111">
        <f t="shared" si="124"/>
        <v>35.714285714285715</v>
      </c>
      <c r="K1146" s="110">
        <v>177972</v>
      </c>
      <c r="L1146" s="110">
        <f>H1146-169047</f>
        <v>40953</v>
      </c>
      <c r="M1146" s="110">
        <v>8925</v>
      </c>
      <c r="N1146" s="112">
        <f t="shared" si="125"/>
        <v>4.2500000000000003E-2</v>
      </c>
      <c r="O1146" s="113">
        <v>51</v>
      </c>
      <c r="P1146" s="114">
        <v>110</v>
      </c>
      <c r="Q1146" s="115">
        <v>0.129</v>
      </c>
      <c r="R1146" s="115">
        <v>0.129</v>
      </c>
      <c r="S1146" s="110">
        <f t="shared" si="126"/>
        <v>803</v>
      </c>
      <c r="T1146" s="110">
        <f t="shared" si="127"/>
        <v>317465.11627906974</v>
      </c>
      <c r="U1146" s="116">
        <f t="shared" si="128"/>
        <v>7.2879962414846133</v>
      </c>
      <c r="V1146" s="115">
        <v>51</v>
      </c>
      <c r="W1146" s="115">
        <f t="shared" si="129"/>
        <v>42000</v>
      </c>
      <c r="X1146" s="115">
        <f t="shared" si="130"/>
        <v>823.52941176470586</v>
      </c>
      <c r="Y1146" s="117" t="s">
        <v>1028</v>
      </c>
      <c r="Z1146" s="108" t="s">
        <v>35</v>
      </c>
      <c r="AA1146" s="108" t="s">
        <v>35</v>
      </c>
      <c r="AB1146" s="108" t="s">
        <v>1029</v>
      </c>
      <c r="AC1146" s="108">
        <v>0</v>
      </c>
      <c r="AD1146" s="108">
        <v>1</v>
      </c>
      <c r="AE1146" s="108" t="s">
        <v>42</v>
      </c>
      <c r="AF1146" s="108" t="s">
        <v>43</v>
      </c>
      <c r="AG1146" s="108" t="s">
        <v>38</v>
      </c>
      <c r="AH1146" s="108" t="s">
        <v>92</v>
      </c>
    </row>
    <row r="1147" spans="1:34" x14ac:dyDescent="0.3">
      <c r="A1147" s="118" t="s">
        <v>1029</v>
      </c>
      <c r="B1147" s="119" t="s">
        <v>1062</v>
      </c>
      <c r="C1147" s="119" t="s">
        <v>1063</v>
      </c>
      <c r="D1147" s="120">
        <v>45450</v>
      </c>
      <c r="E1147" s="121">
        <v>210000</v>
      </c>
      <c r="F1147" s="119" t="s">
        <v>32</v>
      </c>
      <c r="G1147" s="119" t="s">
        <v>33</v>
      </c>
      <c r="H1147" s="121">
        <v>210000</v>
      </c>
      <c r="I1147" s="121">
        <v>81700</v>
      </c>
      <c r="J1147" s="122">
        <f t="shared" si="124"/>
        <v>38.904761904761905</v>
      </c>
      <c r="K1147" s="121">
        <v>176580</v>
      </c>
      <c r="L1147" s="121">
        <f>H1147-167830</f>
        <v>42170</v>
      </c>
      <c r="M1147" s="121">
        <v>8750</v>
      </c>
      <c r="N1147" s="123">
        <f t="shared" si="125"/>
        <v>4.1666666666666664E-2</v>
      </c>
      <c r="O1147" s="124">
        <v>50</v>
      </c>
      <c r="P1147" s="125">
        <v>110</v>
      </c>
      <c r="Q1147" s="126">
        <v>0.126</v>
      </c>
      <c r="R1147" s="126">
        <v>0.126</v>
      </c>
      <c r="S1147" s="121">
        <f t="shared" si="126"/>
        <v>843.4</v>
      </c>
      <c r="T1147" s="121">
        <f t="shared" si="127"/>
        <v>334682.5396825397</v>
      </c>
      <c r="U1147" s="127">
        <f t="shared" si="128"/>
        <v>7.6832538953751079</v>
      </c>
      <c r="V1147" s="126">
        <v>50</v>
      </c>
      <c r="W1147" s="126">
        <f t="shared" si="129"/>
        <v>42000</v>
      </c>
      <c r="X1147" s="126">
        <f t="shared" si="130"/>
        <v>840</v>
      </c>
      <c r="Y1147" s="128" t="s">
        <v>1028</v>
      </c>
      <c r="Z1147" s="119" t="s">
        <v>35</v>
      </c>
      <c r="AA1147" s="119" t="s">
        <v>35</v>
      </c>
      <c r="AB1147" s="119" t="s">
        <v>1029</v>
      </c>
      <c r="AC1147" s="119">
        <v>0</v>
      </c>
      <c r="AD1147" s="119">
        <v>1</v>
      </c>
      <c r="AE1147" s="119" t="s">
        <v>42</v>
      </c>
      <c r="AF1147" s="119" t="s">
        <v>43</v>
      </c>
      <c r="AG1147" s="119" t="s">
        <v>38</v>
      </c>
      <c r="AH1147" s="119" t="s">
        <v>92</v>
      </c>
    </row>
    <row r="1148" spans="1:34" x14ac:dyDescent="0.3">
      <c r="A1148" s="118" t="s">
        <v>1029</v>
      </c>
      <c r="B1148" s="119" t="s">
        <v>1046</v>
      </c>
      <c r="C1148" s="119" t="s">
        <v>1047</v>
      </c>
      <c r="D1148" s="120">
        <v>45593</v>
      </c>
      <c r="E1148" s="121">
        <v>211500</v>
      </c>
      <c r="F1148" s="119" t="s">
        <v>32</v>
      </c>
      <c r="G1148" s="119" t="s">
        <v>33</v>
      </c>
      <c r="H1148" s="121">
        <v>211500</v>
      </c>
      <c r="I1148" s="121">
        <v>83200</v>
      </c>
      <c r="J1148" s="122">
        <f t="shared" si="124"/>
        <v>39.33806146572104</v>
      </c>
      <c r="K1148" s="121">
        <v>179825</v>
      </c>
      <c r="L1148" s="121">
        <f>H1148-171075</f>
        <v>40425</v>
      </c>
      <c r="M1148" s="121">
        <v>8750</v>
      </c>
      <c r="N1148" s="123">
        <f t="shared" si="125"/>
        <v>4.1371158392434985E-2</v>
      </c>
      <c r="O1148" s="124">
        <v>50</v>
      </c>
      <c r="P1148" s="125">
        <v>110</v>
      </c>
      <c r="Q1148" s="126">
        <v>0.126</v>
      </c>
      <c r="R1148" s="126">
        <v>0.126</v>
      </c>
      <c r="S1148" s="121">
        <f t="shared" si="126"/>
        <v>808.5</v>
      </c>
      <c r="T1148" s="121">
        <f t="shared" si="127"/>
        <v>320833.33333333331</v>
      </c>
      <c r="U1148" s="127">
        <f t="shared" si="128"/>
        <v>7.365319865319865</v>
      </c>
      <c r="V1148" s="126">
        <v>50</v>
      </c>
      <c r="W1148" s="126">
        <f t="shared" si="129"/>
        <v>42300</v>
      </c>
      <c r="X1148" s="126">
        <f t="shared" si="130"/>
        <v>846</v>
      </c>
      <c r="Y1148" s="128" t="s">
        <v>1028</v>
      </c>
      <c r="Z1148" s="119" t="s">
        <v>35</v>
      </c>
      <c r="AA1148" s="119" t="s">
        <v>35</v>
      </c>
      <c r="AB1148" s="119" t="s">
        <v>1029</v>
      </c>
      <c r="AC1148" s="119">
        <v>0</v>
      </c>
      <c r="AD1148" s="119">
        <v>1</v>
      </c>
      <c r="AE1148" s="119" t="s">
        <v>37</v>
      </c>
      <c r="AF1148" s="119" t="s">
        <v>35</v>
      </c>
      <c r="AG1148" s="119" t="s">
        <v>38</v>
      </c>
      <c r="AH1148" s="119" t="s">
        <v>92</v>
      </c>
    </row>
    <row r="1149" spans="1:34" x14ac:dyDescent="0.3">
      <c r="A1149" s="107" t="s">
        <v>1029</v>
      </c>
      <c r="B1149" s="108" t="s">
        <v>1058</v>
      </c>
      <c r="C1149" s="108" t="s">
        <v>1059</v>
      </c>
      <c r="D1149" s="109">
        <v>45547</v>
      </c>
      <c r="E1149" s="110">
        <v>212000</v>
      </c>
      <c r="F1149" s="108" t="s">
        <v>32</v>
      </c>
      <c r="G1149" s="108" t="s">
        <v>33</v>
      </c>
      <c r="H1149" s="110">
        <v>212000</v>
      </c>
      <c r="I1149" s="110">
        <v>85800</v>
      </c>
      <c r="J1149" s="111">
        <f t="shared" si="124"/>
        <v>40.471698113207552</v>
      </c>
      <c r="K1149" s="110">
        <v>185861</v>
      </c>
      <c r="L1149" s="110">
        <f>H1149-177111</f>
        <v>34889</v>
      </c>
      <c r="M1149" s="110">
        <v>8750</v>
      </c>
      <c r="N1149" s="112">
        <f t="shared" si="125"/>
        <v>4.1273584905660375E-2</v>
      </c>
      <c r="O1149" s="113">
        <v>50</v>
      </c>
      <c r="P1149" s="114">
        <v>110</v>
      </c>
      <c r="Q1149" s="115">
        <v>0.126</v>
      </c>
      <c r="R1149" s="115">
        <v>0.126</v>
      </c>
      <c r="S1149" s="110">
        <f t="shared" si="126"/>
        <v>697.78</v>
      </c>
      <c r="T1149" s="110">
        <f t="shared" si="127"/>
        <v>276896.82539682538</v>
      </c>
      <c r="U1149" s="116">
        <f t="shared" si="128"/>
        <v>6.3566764324340079</v>
      </c>
      <c r="V1149" s="115">
        <v>50</v>
      </c>
      <c r="W1149" s="115">
        <f t="shared" si="129"/>
        <v>42400</v>
      </c>
      <c r="X1149" s="115">
        <f t="shared" si="130"/>
        <v>848</v>
      </c>
      <c r="Y1149" s="117" t="s">
        <v>1028</v>
      </c>
      <c r="Z1149" s="108" t="s">
        <v>35</v>
      </c>
      <c r="AA1149" s="108" t="s">
        <v>35</v>
      </c>
      <c r="AB1149" s="108" t="s">
        <v>1029</v>
      </c>
      <c r="AC1149" s="108">
        <v>0</v>
      </c>
      <c r="AD1149" s="108">
        <v>1</v>
      </c>
      <c r="AE1149" s="108" t="s">
        <v>42</v>
      </c>
      <c r="AF1149" s="108" t="s">
        <v>43</v>
      </c>
      <c r="AG1149" s="108" t="s">
        <v>38</v>
      </c>
      <c r="AH1149" s="108" t="s">
        <v>92</v>
      </c>
    </row>
    <row r="1150" spans="1:34" x14ac:dyDescent="0.3">
      <c r="A1150" s="118" t="s">
        <v>1029</v>
      </c>
      <c r="B1150" s="119" t="s">
        <v>1030</v>
      </c>
      <c r="C1150" s="119" t="s">
        <v>1031</v>
      </c>
      <c r="D1150" s="120">
        <v>45433</v>
      </c>
      <c r="E1150" s="121">
        <v>201000</v>
      </c>
      <c r="F1150" s="119" t="s">
        <v>32</v>
      </c>
      <c r="G1150" s="119" t="s">
        <v>33</v>
      </c>
      <c r="H1150" s="121">
        <v>201000</v>
      </c>
      <c r="I1150" s="121">
        <v>87300</v>
      </c>
      <c r="J1150" s="122">
        <f t="shared" si="124"/>
        <v>43.432835820895519</v>
      </c>
      <c r="K1150" s="121">
        <v>187862</v>
      </c>
      <c r="L1150" s="121">
        <f>H1150-178616</f>
        <v>22384</v>
      </c>
      <c r="M1150" s="121">
        <v>9246</v>
      </c>
      <c r="N1150" s="123">
        <f t="shared" si="125"/>
        <v>4.5999999999999999E-2</v>
      </c>
      <c r="O1150" s="124">
        <v>52.83</v>
      </c>
      <c r="P1150" s="125">
        <v>139</v>
      </c>
      <c r="Q1150" s="126">
        <v>0.15</v>
      </c>
      <c r="R1150" s="126">
        <v>0.15</v>
      </c>
      <c r="S1150" s="121">
        <f t="shared" si="126"/>
        <v>423.69865606662881</v>
      </c>
      <c r="T1150" s="121">
        <f t="shared" si="127"/>
        <v>149226.66666666669</v>
      </c>
      <c r="U1150" s="127">
        <f t="shared" si="128"/>
        <v>3.4257728803183354</v>
      </c>
      <c r="V1150" s="126">
        <v>47</v>
      </c>
      <c r="W1150" s="126">
        <f t="shared" si="129"/>
        <v>40200</v>
      </c>
      <c r="X1150" s="126">
        <f t="shared" si="130"/>
        <v>855.31914893617022</v>
      </c>
      <c r="Y1150" s="128" t="s">
        <v>1028</v>
      </c>
      <c r="Z1150" s="119" t="s">
        <v>35</v>
      </c>
      <c r="AA1150" s="119" t="s">
        <v>35</v>
      </c>
      <c r="AB1150" s="119" t="s">
        <v>1029</v>
      </c>
      <c r="AC1150" s="119">
        <v>0</v>
      </c>
      <c r="AD1150" s="119">
        <v>1</v>
      </c>
      <c r="AE1150" s="119" t="s">
        <v>42</v>
      </c>
      <c r="AF1150" s="119" t="s">
        <v>43</v>
      </c>
      <c r="AG1150" s="119" t="s">
        <v>38</v>
      </c>
      <c r="AH1150" s="119" t="s">
        <v>92</v>
      </c>
    </row>
    <row r="1151" spans="1:34" x14ac:dyDescent="0.3">
      <c r="A1151" s="118" t="s">
        <v>1029</v>
      </c>
      <c r="B1151" s="119" t="s">
        <v>1038</v>
      </c>
      <c r="C1151" s="119" t="s">
        <v>1039</v>
      </c>
      <c r="D1151" s="120">
        <v>45204</v>
      </c>
      <c r="E1151" s="121">
        <v>215000</v>
      </c>
      <c r="F1151" s="119" t="s">
        <v>32</v>
      </c>
      <c r="G1151" s="119" t="s">
        <v>33</v>
      </c>
      <c r="H1151" s="121">
        <v>215000</v>
      </c>
      <c r="I1151" s="121">
        <v>76000</v>
      </c>
      <c r="J1151" s="122">
        <f t="shared" si="124"/>
        <v>35.348837209302324</v>
      </c>
      <c r="K1151" s="121">
        <v>180311</v>
      </c>
      <c r="L1151" s="121">
        <f>H1151-171561</f>
        <v>43439</v>
      </c>
      <c r="M1151" s="121">
        <v>8750</v>
      </c>
      <c r="N1151" s="123">
        <f t="shared" si="125"/>
        <v>4.0697674418604654E-2</v>
      </c>
      <c r="O1151" s="124">
        <v>50</v>
      </c>
      <c r="P1151" s="125">
        <v>110</v>
      </c>
      <c r="Q1151" s="126">
        <v>0.126</v>
      </c>
      <c r="R1151" s="126">
        <v>0.126</v>
      </c>
      <c r="S1151" s="121">
        <f t="shared" si="126"/>
        <v>868.78</v>
      </c>
      <c r="T1151" s="121">
        <f t="shared" si="127"/>
        <v>344753.96825396823</v>
      </c>
      <c r="U1151" s="127">
        <f t="shared" si="128"/>
        <v>7.9144620811287467</v>
      </c>
      <c r="V1151" s="126">
        <v>50</v>
      </c>
      <c r="W1151" s="126">
        <f t="shared" si="129"/>
        <v>43000</v>
      </c>
      <c r="X1151" s="126">
        <f t="shared" si="130"/>
        <v>860</v>
      </c>
      <c r="Y1151" s="128" t="s">
        <v>1028</v>
      </c>
      <c r="Z1151" s="119" t="s">
        <v>35</v>
      </c>
      <c r="AA1151" s="119" t="s">
        <v>35</v>
      </c>
      <c r="AB1151" s="119" t="s">
        <v>1029</v>
      </c>
      <c r="AC1151" s="119">
        <v>0</v>
      </c>
      <c r="AD1151" s="119">
        <v>1</v>
      </c>
      <c r="AE1151" s="119" t="s">
        <v>37</v>
      </c>
      <c r="AF1151" s="119" t="s">
        <v>43</v>
      </c>
      <c r="AG1151" s="119" t="s">
        <v>38</v>
      </c>
      <c r="AH1151" s="119" t="s">
        <v>92</v>
      </c>
    </row>
    <row r="1152" spans="1:34" x14ac:dyDescent="0.3">
      <c r="A1152" s="118" t="s">
        <v>1029</v>
      </c>
      <c r="B1152" s="119" t="s">
        <v>1068</v>
      </c>
      <c r="C1152" s="119" t="s">
        <v>1069</v>
      </c>
      <c r="D1152" s="120">
        <v>45471</v>
      </c>
      <c r="E1152" s="121">
        <v>218000</v>
      </c>
      <c r="F1152" s="119" t="s">
        <v>32</v>
      </c>
      <c r="G1152" s="119" t="s">
        <v>33</v>
      </c>
      <c r="H1152" s="121">
        <v>218000</v>
      </c>
      <c r="I1152" s="121">
        <v>87700</v>
      </c>
      <c r="J1152" s="122">
        <f t="shared" si="124"/>
        <v>40.22935779816514</v>
      </c>
      <c r="K1152" s="121">
        <v>188652</v>
      </c>
      <c r="L1152" s="121">
        <f>H1152-179902</f>
        <v>38098</v>
      </c>
      <c r="M1152" s="121">
        <v>8750</v>
      </c>
      <c r="N1152" s="123">
        <f t="shared" si="125"/>
        <v>4.0137614678899085E-2</v>
      </c>
      <c r="O1152" s="124">
        <v>50</v>
      </c>
      <c r="P1152" s="125">
        <v>110</v>
      </c>
      <c r="Q1152" s="126">
        <v>0.126</v>
      </c>
      <c r="R1152" s="126">
        <v>0.126</v>
      </c>
      <c r="S1152" s="121">
        <f t="shared" si="126"/>
        <v>761.96</v>
      </c>
      <c r="T1152" s="121">
        <f t="shared" si="127"/>
        <v>302365.07936507935</v>
      </c>
      <c r="U1152" s="127">
        <f t="shared" si="128"/>
        <v>6.9413470928622436</v>
      </c>
      <c r="V1152" s="126">
        <v>50</v>
      </c>
      <c r="W1152" s="126">
        <f t="shared" si="129"/>
        <v>43600</v>
      </c>
      <c r="X1152" s="126">
        <f t="shared" si="130"/>
        <v>872</v>
      </c>
      <c r="Y1152" s="128" t="s">
        <v>1028</v>
      </c>
      <c r="Z1152" s="119" t="s">
        <v>35</v>
      </c>
      <c r="AA1152" s="119" t="s">
        <v>35</v>
      </c>
      <c r="AB1152" s="119" t="s">
        <v>1029</v>
      </c>
      <c r="AC1152" s="119">
        <v>0</v>
      </c>
      <c r="AD1152" s="119">
        <v>1</v>
      </c>
      <c r="AE1152" s="119" t="s">
        <v>1070</v>
      </c>
      <c r="AF1152" s="119" t="s">
        <v>43</v>
      </c>
      <c r="AG1152" s="119" t="s">
        <v>38</v>
      </c>
      <c r="AH1152" s="119" t="s">
        <v>92</v>
      </c>
    </row>
    <row r="1153" spans="1:34" x14ac:dyDescent="0.3">
      <c r="A1153" s="118" t="s">
        <v>1029</v>
      </c>
      <c r="B1153" s="119" t="s">
        <v>1071</v>
      </c>
      <c r="C1153" s="119" t="s">
        <v>1072</v>
      </c>
      <c r="D1153" s="120">
        <v>45709</v>
      </c>
      <c r="E1153" s="121">
        <v>230000</v>
      </c>
      <c r="F1153" s="119" t="s">
        <v>81</v>
      </c>
      <c r="G1153" s="119" t="s">
        <v>33</v>
      </c>
      <c r="H1153" s="121">
        <v>230000</v>
      </c>
      <c r="I1153" s="121">
        <v>83800</v>
      </c>
      <c r="J1153" s="122">
        <f t="shared" si="124"/>
        <v>36.434782608695656</v>
      </c>
      <c r="K1153" s="121">
        <v>181478</v>
      </c>
      <c r="L1153" s="121">
        <f>H1153-172728</f>
        <v>57272</v>
      </c>
      <c r="M1153" s="121">
        <v>8750</v>
      </c>
      <c r="N1153" s="123">
        <f t="shared" si="125"/>
        <v>3.8043478260869568E-2</v>
      </c>
      <c r="O1153" s="124">
        <v>50</v>
      </c>
      <c r="P1153" s="125">
        <v>110</v>
      </c>
      <c r="Q1153" s="126">
        <v>0.126</v>
      </c>
      <c r="R1153" s="126">
        <v>0.126</v>
      </c>
      <c r="S1153" s="121">
        <f t="shared" si="126"/>
        <v>1145.44</v>
      </c>
      <c r="T1153" s="121">
        <f t="shared" si="127"/>
        <v>454539.68253968254</v>
      </c>
      <c r="U1153" s="127">
        <f t="shared" si="128"/>
        <v>10.434795283280131</v>
      </c>
      <c r="V1153" s="126">
        <v>50</v>
      </c>
      <c r="W1153" s="126">
        <f t="shared" si="129"/>
        <v>46000</v>
      </c>
      <c r="X1153" s="126">
        <f t="shared" si="130"/>
        <v>920</v>
      </c>
      <c r="Y1153" s="128" t="s">
        <v>1028</v>
      </c>
      <c r="Z1153" s="119" t="s">
        <v>35</v>
      </c>
      <c r="AA1153" s="119" t="s">
        <v>35</v>
      </c>
      <c r="AB1153" s="119" t="s">
        <v>1029</v>
      </c>
      <c r="AC1153" s="119">
        <v>0</v>
      </c>
      <c r="AD1153" s="119">
        <v>1</v>
      </c>
      <c r="AE1153" s="119" t="s">
        <v>37</v>
      </c>
      <c r="AF1153" s="119" t="s">
        <v>35</v>
      </c>
      <c r="AG1153" s="119" t="s">
        <v>38</v>
      </c>
      <c r="AH1153" s="119" t="s">
        <v>92</v>
      </c>
    </row>
    <row r="1154" spans="1:34" x14ac:dyDescent="0.3">
      <c r="A1154" s="107" t="s">
        <v>1029</v>
      </c>
      <c r="B1154" s="108" t="s">
        <v>1034</v>
      </c>
      <c r="C1154" s="108" t="s">
        <v>1035</v>
      </c>
      <c r="D1154" s="109">
        <v>45646</v>
      </c>
      <c r="E1154" s="110">
        <v>192000</v>
      </c>
      <c r="F1154" s="108" t="s">
        <v>32</v>
      </c>
      <c r="G1154" s="108" t="s">
        <v>33</v>
      </c>
      <c r="H1154" s="110">
        <v>192000</v>
      </c>
      <c r="I1154" s="110">
        <v>68500</v>
      </c>
      <c r="J1154" s="111">
        <f t="shared" ref="J1154:J1217" si="131">I1154/H1154*100</f>
        <v>35.677083333333329</v>
      </c>
      <c r="K1154" s="110">
        <v>146406</v>
      </c>
      <c r="L1154" s="110">
        <f>H1154-139406</f>
        <v>52594</v>
      </c>
      <c r="M1154" s="110">
        <v>7000</v>
      </c>
      <c r="N1154" s="112">
        <f t="shared" ref="N1154:N1217" si="132">M1154/E1154</f>
        <v>3.6458333333333336E-2</v>
      </c>
      <c r="O1154" s="113">
        <v>40</v>
      </c>
      <c r="P1154" s="114">
        <v>110</v>
      </c>
      <c r="Q1154" s="115">
        <v>0.10100000000000001</v>
      </c>
      <c r="R1154" s="115">
        <v>0.10100000000000001</v>
      </c>
      <c r="S1154" s="110">
        <f t="shared" ref="S1154:S1217" si="133">L1154/O1154</f>
        <v>1314.85</v>
      </c>
      <c r="T1154" s="110">
        <f t="shared" ref="T1154:T1217" si="134">L1154/Q1154</f>
        <v>520732.67326732673</v>
      </c>
      <c r="U1154" s="116">
        <f t="shared" ref="U1154:U1217" si="135">L1154/Q1154/43560</f>
        <v>11.954377255907408</v>
      </c>
      <c r="V1154" s="115">
        <v>40</v>
      </c>
      <c r="W1154" s="115">
        <f t="shared" ref="W1154:W1217" si="136">0.2*E1154</f>
        <v>38400</v>
      </c>
      <c r="X1154" s="115">
        <f t="shared" si="130"/>
        <v>960</v>
      </c>
      <c r="Y1154" s="117" t="s">
        <v>1028</v>
      </c>
      <c r="Z1154" s="108" t="s">
        <v>35</v>
      </c>
      <c r="AA1154" s="108" t="s">
        <v>35</v>
      </c>
      <c r="AB1154" s="108" t="s">
        <v>1029</v>
      </c>
      <c r="AC1154" s="108">
        <v>0</v>
      </c>
      <c r="AD1154" s="108">
        <v>1</v>
      </c>
      <c r="AE1154" s="108" t="s">
        <v>42</v>
      </c>
      <c r="AF1154" s="108" t="s">
        <v>35</v>
      </c>
      <c r="AG1154" s="108" t="s">
        <v>38</v>
      </c>
      <c r="AH1154" s="108" t="s">
        <v>92</v>
      </c>
    </row>
    <row r="1155" spans="1:34" x14ac:dyDescent="0.3">
      <c r="A1155" s="107" t="s">
        <v>1029</v>
      </c>
      <c r="B1155" s="108" t="s">
        <v>1026</v>
      </c>
      <c r="C1155" s="108" t="s">
        <v>1027</v>
      </c>
      <c r="D1155" s="109">
        <v>45107</v>
      </c>
      <c r="E1155" s="110">
        <v>228000</v>
      </c>
      <c r="F1155" s="108" t="s">
        <v>32</v>
      </c>
      <c r="G1155" s="108" t="s">
        <v>33</v>
      </c>
      <c r="H1155" s="110">
        <v>228000</v>
      </c>
      <c r="I1155" s="110">
        <v>96000</v>
      </c>
      <c r="J1155" s="111">
        <f t="shared" si="131"/>
        <v>42.105263157894733</v>
      </c>
      <c r="K1155" s="110">
        <v>221435</v>
      </c>
      <c r="L1155" s="110">
        <f>H1155-213566</f>
        <v>14434</v>
      </c>
      <c r="M1155" s="110">
        <v>7869</v>
      </c>
      <c r="N1155" s="112">
        <f t="shared" si="132"/>
        <v>3.4513157894736843E-2</v>
      </c>
      <c r="O1155" s="113">
        <v>44.96</v>
      </c>
      <c r="P1155" s="114">
        <v>139</v>
      </c>
      <c r="Q1155" s="115">
        <v>0.128</v>
      </c>
      <c r="R1155" s="115">
        <v>0.128</v>
      </c>
      <c r="S1155" s="110">
        <f t="shared" si="133"/>
        <v>321.04092526690391</v>
      </c>
      <c r="T1155" s="110">
        <f t="shared" si="134"/>
        <v>112765.625</v>
      </c>
      <c r="U1155" s="116">
        <f t="shared" si="135"/>
        <v>2.5887425390266299</v>
      </c>
      <c r="V1155" s="115">
        <v>40</v>
      </c>
      <c r="W1155" s="115">
        <f t="shared" si="136"/>
        <v>45600</v>
      </c>
      <c r="X1155" s="115">
        <f t="shared" si="130"/>
        <v>1140</v>
      </c>
      <c r="Y1155" s="117" t="s">
        <v>1028</v>
      </c>
      <c r="Z1155" s="108" t="s">
        <v>35</v>
      </c>
      <c r="AA1155" s="108" t="s">
        <v>35</v>
      </c>
      <c r="AB1155" s="108" t="s">
        <v>1029</v>
      </c>
      <c r="AC1155" s="108">
        <v>0</v>
      </c>
      <c r="AD1155" s="108">
        <v>1</v>
      </c>
      <c r="AE1155" s="108" t="s">
        <v>42</v>
      </c>
      <c r="AF1155" s="108" t="s">
        <v>43</v>
      </c>
      <c r="AG1155" s="108" t="s">
        <v>38</v>
      </c>
      <c r="AH1155" s="108" t="s">
        <v>92</v>
      </c>
    </row>
    <row r="1156" spans="1:34" x14ac:dyDescent="0.3">
      <c r="A1156" s="118" t="s">
        <v>1029</v>
      </c>
      <c r="B1156" s="119" t="s">
        <v>1052</v>
      </c>
      <c r="C1156" s="119" t="s">
        <v>1053</v>
      </c>
      <c r="D1156" s="120">
        <v>45538</v>
      </c>
      <c r="E1156" s="121">
        <v>320000</v>
      </c>
      <c r="F1156" s="119" t="s">
        <v>32</v>
      </c>
      <c r="G1156" s="119" t="s">
        <v>33</v>
      </c>
      <c r="H1156" s="121">
        <v>320000</v>
      </c>
      <c r="I1156" s="121">
        <v>103200</v>
      </c>
      <c r="J1156" s="122">
        <f t="shared" si="131"/>
        <v>32.25</v>
      </c>
      <c r="K1156" s="121">
        <v>218302</v>
      </c>
      <c r="L1156" s="121">
        <f>H1156-208602</f>
        <v>111398</v>
      </c>
      <c r="M1156" s="121">
        <v>9700</v>
      </c>
      <c r="N1156" s="123">
        <f t="shared" si="132"/>
        <v>3.0312499999999999E-2</v>
      </c>
      <c r="O1156" s="124">
        <v>55.42</v>
      </c>
      <c r="P1156" s="125">
        <v>135.16999999999999</v>
      </c>
      <c r="Q1156" s="126">
        <v>0.155</v>
      </c>
      <c r="R1156" s="126">
        <v>0.155</v>
      </c>
      <c r="S1156" s="121">
        <f t="shared" si="133"/>
        <v>2010.0685673042221</v>
      </c>
      <c r="T1156" s="121">
        <f t="shared" si="134"/>
        <v>718696.77419354836</v>
      </c>
      <c r="U1156" s="127">
        <f t="shared" si="135"/>
        <v>16.499007672028199</v>
      </c>
      <c r="V1156" s="126">
        <v>50</v>
      </c>
      <c r="W1156" s="126">
        <f t="shared" si="136"/>
        <v>64000</v>
      </c>
      <c r="X1156" s="126">
        <f t="shared" si="130"/>
        <v>1280</v>
      </c>
      <c r="Y1156" s="128" t="s">
        <v>1028</v>
      </c>
      <c r="Z1156" s="119" t="s">
        <v>35</v>
      </c>
      <c r="AA1156" s="119" t="s">
        <v>35</v>
      </c>
      <c r="AB1156" s="119" t="s">
        <v>1029</v>
      </c>
      <c r="AC1156" s="119">
        <v>0</v>
      </c>
      <c r="AD1156" s="119">
        <v>1</v>
      </c>
      <c r="AE1156" s="119" t="s">
        <v>42</v>
      </c>
      <c r="AF1156" s="119" t="s">
        <v>43</v>
      </c>
      <c r="AG1156" s="119" t="s">
        <v>38</v>
      </c>
      <c r="AH1156" s="119" t="s">
        <v>92</v>
      </c>
    </row>
    <row r="1157" spans="1:34" x14ac:dyDescent="0.3">
      <c r="A1157" s="118" t="s">
        <v>1324</v>
      </c>
      <c r="B1157" s="119" t="s">
        <v>1333</v>
      </c>
      <c r="C1157" s="119" t="s">
        <v>1334</v>
      </c>
      <c r="D1157" s="120">
        <v>45412</v>
      </c>
      <c r="E1157" s="121">
        <v>115000</v>
      </c>
      <c r="F1157" s="119" t="s">
        <v>32</v>
      </c>
      <c r="G1157" s="119" t="s">
        <v>33</v>
      </c>
      <c r="H1157" s="121">
        <v>115000</v>
      </c>
      <c r="I1157" s="121">
        <v>89100</v>
      </c>
      <c r="J1157" s="122">
        <f t="shared" si="131"/>
        <v>77.478260869565219</v>
      </c>
      <c r="K1157" s="121">
        <v>178305</v>
      </c>
      <c r="L1157" s="121">
        <f>H1157-164444</f>
        <v>-49444</v>
      </c>
      <c r="M1157" s="121">
        <v>13861</v>
      </c>
      <c r="N1157" s="123">
        <f t="shared" si="132"/>
        <v>0.12053043478260869</v>
      </c>
      <c r="O1157" s="124">
        <v>72.19</v>
      </c>
      <c r="P1157" s="125">
        <v>80.430000000000007</v>
      </c>
      <c r="Q1157" s="126">
        <v>0.16600000000000001</v>
      </c>
      <c r="R1157" s="126">
        <v>0.16600000000000001</v>
      </c>
      <c r="S1157" s="121">
        <f t="shared" si="133"/>
        <v>-684.91480814517251</v>
      </c>
      <c r="T1157" s="121">
        <f t="shared" si="134"/>
        <v>-297855.42168674699</v>
      </c>
      <c r="U1157" s="127">
        <f t="shared" si="135"/>
        <v>-6.8378195979510332</v>
      </c>
      <c r="V1157" s="126">
        <v>90</v>
      </c>
      <c r="W1157" s="126">
        <f t="shared" si="136"/>
        <v>23000</v>
      </c>
      <c r="X1157" s="126">
        <f t="shared" si="130"/>
        <v>255.55555555555554</v>
      </c>
      <c r="Y1157" s="128" t="s">
        <v>1323</v>
      </c>
      <c r="Z1157" s="119" t="s">
        <v>35</v>
      </c>
      <c r="AA1157" s="119" t="s">
        <v>35</v>
      </c>
      <c r="AB1157" s="119" t="s">
        <v>1324</v>
      </c>
      <c r="AC1157" s="119">
        <v>0</v>
      </c>
      <c r="AD1157" s="119">
        <v>1</v>
      </c>
      <c r="AE1157" s="119" t="s">
        <v>42</v>
      </c>
      <c r="AF1157" s="119" t="s">
        <v>43</v>
      </c>
      <c r="AG1157" s="119" t="s">
        <v>38</v>
      </c>
      <c r="AH1157" s="119" t="s">
        <v>92</v>
      </c>
    </row>
    <row r="1158" spans="1:34" x14ac:dyDescent="0.3">
      <c r="A1158" s="118" t="s">
        <v>1324</v>
      </c>
      <c r="B1158" s="119" t="s">
        <v>1325</v>
      </c>
      <c r="C1158" s="119" t="s">
        <v>1326</v>
      </c>
      <c r="D1158" s="120">
        <v>45603</v>
      </c>
      <c r="E1158" s="121">
        <v>155000</v>
      </c>
      <c r="F1158" s="119" t="s">
        <v>32</v>
      </c>
      <c r="G1158" s="119" t="s">
        <v>33</v>
      </c>
      <c r="H1158" s="121">
        <v>155000</v>
      </c>
      <c r="I1158" s="121">
        <v>87500</v>
      </c>
      <c r="J1158" s="122">
        <f t="shared" si="131"/>
        <v>56.451612903225815</v>
      </c>
      <c r="K1158" s="121">
        <v>175227</v>
      </c>
      <c r="L1158" s="121">
        <f>H1158-162573</f>
        <v>-7573</v>
      </c>
      <c r="M1158" s="121">
        <v>12654</v>
      </c>
      <c r="N1158" s="123">
        <f t="shared" si="132"/>
        <v>8.163870967741936E-2</v>
      </c>
      <c r="O1158" s="124">
        <v>65.900000000000006</v>
      </c>
      <c r="P1158" s="125">
        <v>134</v>
      </c>
      <c r="Q1158" s="126">
        <v>0.186</v>
      </c>
      <c r="R1158" s="126">
        <v>0.186</v>
      </c>
      <c r="S1158" s="121">
        <f t="shared" si="133"/>
        <v>-114.91654021244308</v>
      </c>
      <c r="T1158" s="121">
        <f t="shared" si="134"/>
        <v>-40715.053763440861</v>
      </c>
      <c r="U1158" s="127">
        <f t="shared" si="135"/>
        <v>-0.9346890211992851</v>
      </c>
      <c r="V1158" s="126">
        <v>70.34</v>
      </c>
      <c r="W1158" s="126">
        <f t="shared" si="136"/>
        <v>31000</v>
      </c>
      <c r="X1158" s="126">
        <f t="shared" si="130"/>
        <v>440.71651976116004</v>
      </c>
      <c r="Y1158" s="128" t="s">
        <v>1323</v>
      </c>
      <c r="Z1158" s="119" t="s">
        <v>35</v>
      </c>
      <c r="AA1158" s="119" t="s">
        <v>35</v>
      </c>
      <c r="AB1158" s="119" t="s">
        <v>1324</v>
      </c>
      <c r="AC1158" s="119">
        <v>0</v>
      </c>
      <c r="AD1158" s="119">
        <v>1</v>
      </c>
      <c r="AE1158" s="119" t="s">
        <v>412</v>
      </c>
      <c r="AF1158" s="119" t="s">
        <v>35</v>
      </c>
      <c r="AG1158" s="119" t="s">
        <v>38</v>
      </c>
      <c r="AH1158" s="119" t="s">
        <v>92</v>
      </c>
    </row>
    <row r="1159" spans="1:34" x14ac:dyDescent="0.3">
      <c r="A1159" s="107" t="s">
        <v>1324</v>
      </c>
      <c r="B1159" s="108" t="s">
        <v>1343</v>
      </c>
      <c r="C1159" s="108" t="s">
        <v>1344</v>
      </c>
      <c r="D1159" s="109">
        <v>45644</v>
      </c>
      <c r="E1159" s="110">
        <v>125000</v>
      </c>
      <c r="F1159" s="108" t="s">
        <v>32</v>
      </c>
      <c r="G1159" s="108" t="s">
        <v>33</v>
      </c>
      <c r="H1159" s="110">
        <v>125000</v>
      </c>
      <c r="I1159" s="110">
        <v>83900</v>
      </c>
      <c r="J1159" s="111">
        <f t="shared" si="131"/>
        <v>67.12</v>
      </c>
      <c r="K1159" s="110">
        <v>169084</v>
      </c>
      <c r="L1159" s="110">
        <f>H1159-158498</f>
        <v>-33498</v>
      </c>
      <c r="M1159" s="110">
        <v>10586</v>
      </c>
      <c r="N1159" s="112">
        <f t="shared" si="132"/>
        <v>8.4687999999999999E-2</v>
      </c>
      <c r="O1159" s="113">
        <v>55.13</v>
      </c>
      <c r="P1159" s="114">
        <v>152</v>
      </c>
      <c r="Q1159" s="115">
        <v>0.17399999999999999</v>
      </c>
      <c r="R1159" s="115">
        <v>0.17399999999999999</v>
      </c>
      <c r="S1159" s="110">
        <f t="shared" si="133"/>
        <v>-607.61835661164514</v>
      </c>
      <c r="T1159" s="110">
        <f t="shared" si="134"/>
        <v>-192517.24137931035</v>
      </c>
      <c r="U1159" s="116">
        <f t="shared" si="135"/>
        <v>-4.4195877267977579</v>
      </c>
      <c r="V1159" s="115">
        <v>50</v>
      </c>
      <c r="W1159" s="115">
        <f t="shared" si="136"/>
        <v>25000</v>
      </c>
      <c r="X1159" s="115">
        <f t="shared" si="130"/>
        <v>500</v>
      </c>
      <c r="Y1159" s="117" t="s">
        <v>1323</v>
      </c>
      <c r="Z1159" s="108" t="s">
        <v>35</v>
      </c>
      <c r="AA1159" s="108" t="s">
        <v>35</v>
      </c>
      <c r="AB1159" s="108" t="s">
        <v>1324</v>
      </c>
      <c r="AC1159" s="108">
        <v>0</v>
      </c>
      <c r="AD1159" s="108">
        <v>1</v>
      </c>
      <c r="AE1159" s="108" t="s">
        <v>412</v>
      </c>
      <c r="AF1159" s="108" t="s">
        <v>35</v>
      </c>
      <c r="AG1159" s="108" t="s">
        <v>38</v>
      </c>
      <c r="AH1159" s="108" t="s">
        <v>92</v>
      </c>
    </row>
    <row r="1160" spans="1:34" x14ac:dyDescent="0.3">
      <c r="A1160" s="107" t="s">
        <v>1324</v>
      </c>
      <c r="B1160" s="108" t="s">
        <v>1335</v>
      </c>
      <c r="C1160" s="108" t="s">
        <v>1336</v>
      </c>
      <c r="D1160" s="109">
        <v>45357</v>
      </c>
      <c r="E1160" s="110">
        <v>140000</v>
      </c>
      <c r="F1160" s="108" t="s">
        <v>32</v>
      </c>
      <c r="G1160" s="108" t="s">
        <v>33</v>
      </c>
      <c r="H1160" s="110">
        <v>140000</v>
      </c>
      <c r="I1160" s="110">
        <v>78000</v>
      </c>
      <c r="J1160" s="111">
        <f t="shared" si="131"/>
        <v>55.714285714285715</v>
      </c>
      <c r="K1160" s="110">
        <v>173870</v>
      </c>
      <c r="L1160" s="110">
        <f>H1160-161556</f>
        <v>-21556</v>
      </c>
      <c r="M1160" s="110">
        <v>12314</v>
      </c>
      <c r="N1160" s="112">
        <f t="shared" si="132"/>
        <v>8.7957142857142859E-2</v>
      </c>
      <c r="O1160" s="113">
        <v>64.13</v>
      </c>
      <c r="P1160" s="114">
        <v>152.59</v>
      </c>
      <c r="Q1160" s="115">
        <v>0.221</v>
      </c>
      <c r="R1160" s="115">
        <v>0.221</v>
      </c>
      <c r="S1160" s="110">
        <f t="shared" si="133"/>
        <v>-336.12973647278966</v>
      </c>
      <c r="T1160" s="110">
        <f t="shared" si="134"/>
        <v>-97538.461538461532</v>
      </c>
      <c r="U1160" s="116">
        <f t="shared" si="135"/>
        <v>-2.2391749664476936</v>
      </c>
      <c r="V1160" s="115">
        <v>48</v>
      </c>
      <c r="W1160" s="115">
        <f t="shared" si="136"/>
        <v>28000</v>
      </c>
      <c r="X1160" s="115">
        <f t="shared" si="130"/>
        <v>583.33333333333337</v>
      </c>
      <c r="Y1160" s="117" t="s">
        <v>1323</v>
      </c>
      <c r="Z1160" s="108" t="s">
        <v>35</v>
      </c>
      <c r="AA1160" s="108" t="s">
        <v>35</v>
      </c>
      <c r="AB1160" s="108" t="s">
        <v>1324</v>
      </c>
      <c r="AC1160" s="108">
        <v>0</v>
      </c>
      <c r="AD1160" s="108">
        <v>1</v>
      </c>
      <c r="AE1160" s="108" t="s">
        <v>42</v>
      </c>
      <c r="AF1160" s="108" t="s">
        <v>43</v>
      </c>
      <c r="AG1160" s="108" t="s">
        <v>38</v>
      </c>
      <c r="AH1160" s="108" t="s">
        <v>92</v>
      </c>
    </row>
    <row r="1161" spans="1:34" x14ac:dyDescent="0.3">
      <c r="A1161" s="118" t="s">
        <v>1324</v>
      </c>
      <c r="B1161" s="119" t="s">
        <v>1337</v>
      </c>
      <c r="C1161" s="119" t="s">
        <v>1338</v>
      </c>
      <c r="D1161" s="120">
        <v>45022</v>
      </c>
      <c r="E1161" s="121">
        <v>142000</v>
      </c>
      <c r="F1161" s="119" t="s">
        <v>32</v>
      </c>
      <c r="G1161" s="119" t="s">
        <v>33</v>
      </c>
      <c r="H1161" s="121">
        <v>142000</v>
      </c>
      <c r="I1161" s="121">
        <v>80000</v>
      </c>
      <c r="J1161" s="122">
        <f t="shared" si="131"/>
        <v>56.338028169014088</v>
      </c>
      <c r="K1161" s="121">
        <v>177630</v>
      </c>
      <c r="L1161" s="121">
        <f>H1161-166337</f>
        <v>-24337</v>
      </c>
      <c r="M1161" s="121">
        <v>11293</v>
      </c>
      <c r="N1161" s="123">
        <f t="shared" si="132"/>
        <v>7.9528169014084507E-2</v>
      </c>
      <c r="O1161" s="124">
        <v>58.81</v>
      </c>
      <c r="P1161" s="125">
        <v>134.38</v>
      </c>
      <c r="Q1161" s="126">
        <v>0.188</v>
      </c>
      <c r="R1161" s="126">
        <v>0.188</v>
      </c>
      <c r="S1161" s="121">
        <f t="shared" si="133"/>
        <v>-413.8241795612991</v>
      </c>
      <c r="T1161" s="121">
        <f t="shared" si="134"/>
        <v>-129452.12765957447</v>
      </c>
      <c r="U1161" s="127">
        <f t="shared" si="135"/>
        <v>-2.9718119297422971</v>
      </c>
      <c r="V1161" s="126">
        <v>48</v>
      </c>
      <c r="W1161" s="126">
        <f t="shared" si="136"/>
        <v>28400</v>
      </c>
      <c r="X1161" s="126">
        <f t="shared" si="130"/>
        <v>591.66666666666663</v>
      </c>
      <c r="Y1161" s="128" t="s">
        <v>1323</v>
      </c>
      <c r="Z1161" s="119" t="s">
        <v>35</v>
      </c>
      <c r="AA1161" s="119" t="s">
        <v>35</v>
      </c>
      <c r="AB1161" s="119" t="s">
        <v>1324</v>
      </c>
      <c r="AC1161" s="119">
        <v>0</v>
      </c>
      <c r="AD1161" s="119">
        <v>1</v>
      </c>
      <c r="AE1161" s="119" t="s">
        <v>37</v>
      </c>
      <c r="AF1161" s="119" t="s">
        <v>43</v>
      </c>
      <c r="AG1161" s="119" t="s">
        <v>38</v>
      </c>
      <c r="AH1161" s="119" t="s">
        <v>92</v>
      </c>
    </row>
    <row r="1162" spans="1:34" x14ac:dyDescent="0.3">
      <c r="A1162" s="107" t="s">
        <v>1324</v>
      </c>
      <c r="B1162" s="108" t="s">
        <v>1329</v>
      </c>
      <c r="C1162" s="108" t="s">
        <v>1330</v>
      </c>
      <c r="D1162" s="109">
        <v>45230</v>
      </c>
      <c r="E1162" s="110">
        <v>150000</v>
      </c>
      <c r="F1162" s="108" t="s">
        <v>32</v>
      </c>
      <c r="G1162" s="108" t="s">
        <v>33</v>
      </c>
      <c r="H1162" s="110">
        <v>150000</v>
      </c>
      <c r="I1162" s="110">
        <v>69000</v>
      </c>
      <c r="J1162" s="111">
        <f t="shared" si="131"/>
        <v>46</v>
      </c>
      <c r="K1162" s="110">
        <v>153808</v>
      </c>
      <c r="L1162" s="110">
        <f>H1162-143358</f>
        <v>6642</v>
      </c>
      <c r="M1162" s="110">
        <v>10450</v>
      </c>
      <c r="N1162" s="112">
        <f t="shared" si="132"/>
        <v>6.9666666666666668E-2</v>
      </c>
      <c r="O1162" s="113">
        <v>54.42</v>
      </c>
      <c r="P1162" s="114">
        <v>129.78</v>
      </c>
      <c r="Q1162" s="115">
        <v>0.16700000000000001</v>
      </c>
      <c r="R1162" s="115">
        <v>0.16700000000000001</v>
      </c>
      <c r="S1162" s="110">
        <f t="shared" si="133"/>
        <v>122.05071664829107</v>
      </c>
      <c r="T1162" s="110">
        <f t="shared" si="134"/>
        <v>39772.45508982036</v>
      </c>
      <c r="U1162" s="116">
        <f t="shared" si="135"/>
        <v>0.91304993319146832</v>
      </c>
      <c r="V1162" s="115">
        <v>48</v>
      </c>
      <c r="W1162" s="115">
        <f t="shared" si="136"/>
        <v>30000</v>
      </c>
      <c r="X1162" s="115">
        <f t="shared" si="130"/>
        <v>625</v>
      </c>
      <c r="Y1162" s="117" t="s">
        <v>1323</v>
      </c>
      <c r="Z1162" s="108" t="s">
        <v>35</v>
      </c>
      <c r="AA1162" s="108" t="s">
        <v>35</v>
      </c>
      <c r="AB1162" s="108" t="s">
        <v>1324</v>
      </c>
      <c r="AC1162" s="108">
        <v>0</v>
      </c>
      <c r="AD1162" s="108">
        <v>1</v>
      </c>
      <c r="AE1162" s="108" t="s">
        <v>37</v>
      </c>
      <c r="AF1162" s="108" t="s">
        <v>43</v>
      </c>
      <c r="AG1162" s="108" t="s">
        <v>38</v>
      </c>
      <c r="AH1162" s="108" t="s">
        <v>92</v>
      </c>
    </row>
    <row r="1163" spans="1:34" x14ac:dyDescent="0.3">
      <c r="A1163" s="118" t="s">
        <v>1324</v>
      </c>
      <c r="B1163" s="119" t="s">
        <v>1321</v>
      </c>
      <c r="C1163" s="119" t="s">
        <v>1322</v>
      </c>
      <c r="D1163" s="120">
        <v>45630</v>
      </c>
      <c r="E1163" s="121">
        <v>170000</v>
      </c>
      <c r="F1163" s="119" t="s">
        <v>32</v>
      </c>
      <c r="G1163" s="119" t="s">
        <v>33</v>
      </c>
      <c r="H1163" s="121">
        <v>170000</v>
      </c>
      <c r="I1163" s="121">
        <v>83700</v>
      </c>
      <c r="J1163" s="122">
        <f t="shared" si="131"/>
        <v>49.235294117647058</v>
      </c>
      <c r="K1163" s="121">
        <v>168513</v>
      </c>
      <c r="L1163" s="121">
        <f>H1163-158748</f>
        <v>11252</v>
      </c>
      <c r="M1163" s="121">
        <v>9765</v>
      </c>
      <c r="N1163" s="123">
        <f t="shared" si="132"/>
        <v>5.7441176470588239E-2</v>
      </c>
      <c r="O1163" s="124">
        <v>50.86</v>
      </c>
      <c r="P1163" s="125">
        <v>128.5</v>
      </c>
      <c r="Q1163" s="126">
        <v>0.14799999999999999</v>
      </c>
      <c r="R1163" s="126">
        <v>0.14799999999999999</v>
      </c>
      <c r="S1163" s="121">
        <f t="shared" si="133"/>
        <v>221.23476209201729</v>
      </c>
      <c r="T1163" s="121">
        <f t="shared" si="134"/>
        <v>76027.027027027027</v>
      </c>
      <c r="U1163" s="127">
        <f t="shared" si="135"/>
        <v>1.7453403817040181</v>
      </c>
      <c r="V1163" s="126">
        <v>50</v>
      </c>
      <c r="W1163" s="126">
        <f t="shared" si="136"/>
        <v>34000</v>
      </c>
      <c r="X1163" s="126">
        <f t="shared" si="130"/>
        <v>680</v>
      </c>
      <c r="Y1163" s="128" t="s">
        <v>1323</v>
      </c>
      <c r="Z1163" s="119" t="s">
        <v>35</v>
      </c>
      <c r="AA1163" s="119" t="s">
        <v>35</v>
      </c>
      <c r="AB1163" s="119" t="s">
        <v>1324</v>
      </c>
      <c r="AC1163" s="119">
        <v>0</v>
      </c>
      <c r="AD1163" s="119">
        <v>1</v>
      </c>
      <c r="AE1163" s="119" t="s">
        <v>42</v>
      </c>
      <c r="AF1163" s="119" t="s">
        <v>35</v>
      </c>
      <c r="AG1163" s="119" t="s">
        <v>38</v>
      </c>
      <c r="AH1163" s="119" t="s">
        <v>92</v>
      </c>
    </row>
    <row r="1164" spans="1:34" x14ac:dyDescent="0.3">
      <c r="A1164" s="107" t="s">
        <v>1324</v>
      </c>
      <c r="B1164" s="108" t="s">
        <v>1341</v>
      </c>
      <c r="C1164" s="108" t="s">
        <v>1342</v>
      </c>
      <c r="D1164" s="109">
        <v>45443</v>
      </c>
      <c r="E1164" s="110">
        <v>185000</v>
      </c>
      <c r="F1164" s="108" t="s">
        <v>32</v>
      </c>
      <c r="G1164" s="108" t="s">
        <v>33</v>
      </c>
      <c r="H1164" s="110">
        <v>185000</v>
      </c>
      <c r="I1164" s="110">
        <v>87500</v>
      </c>
      <c r="J1164" s="111">
        <f t="shared" si="131"/>
        <v>47.297297297297298</v>
      </c>
      <c r="K1164" s="110">
        <v>175131</v>
      </c>
      <c r="L1164" s="110">
        <f>H1164-164863</f>
        <v>20137</v>
      </c>
      <c r="M1164" s="110">
        <v>10268</v>
      </c>
      <c r="N1164" s="112">
        <f t="shared" si="132"/>
        <v>5.5502702702702703E-2</v>
      </c>
      <c r="O1164" s="113">
        <v>53.48</v>
      </c>
      <c r="P1164" s="114">
        <v>123</v>
      </c>
      <c r="Q1164" s="115">
        <v>0.152</v>
      </c>
      <c r="R1164" s="115">
        <v>0.152</v>
      </c>
      <c r="S1164" s="110">
        <f t="shared" si="133"/>
        <v>376.53328347045624</v>
      </c>
      <c r="T1164" s="110">
        <f t="shared" si="134"/>
        <v>132480.26315789475</v>
      </c>
      <c r="U1164" s="116">
        <f t="shared" si="135"/>
        <v>3.041328355323571</v>
      </c>
      <c r="V1164" s="115">
        <v>53.85</v>
      </c>
      <c r="W1164" s="115">
        <f t="shared" si="136"/>
        <v>37000</v>
      </c>
      <c r="X1164" s="115">
        <f t="shared" si="130"/>
        <v>687.09377901578455</v>
      </c>
      <c r="Y1164" s="117" t="s">
        <v>1323</v>
      </c>
      <c r="Z1164" s="108" t="s">
        <v>35</v>
      </c>
      <c r="AA1164" s="108" t="s">
        <v>35</v>
      </c>
      <c r="AB1164" s="108" t="s">
        <v>1324</v>
      </c>
      <c r="AC1164" s="108">
        <v>0</v>
      </c>
      <c r="AD1164" s="108">
        <v>1</v>
      </c>
      <c r="AE1164" s="108" t="s">
        <v>42</v>
      </c>
      <c r="AF1164" s="108" t="s">
        <v>43</v>
      </c>
      <c r="AG1164" s="108" t="s">
        <v>38</v>
      </c>
      <c r="AH1164" s="108" t="s">
        <v>92</v>
      </c>
    </row>
    <row r="1165" spans="1:34" x14ac:dyDescent="0.3">
      <c r="A1165" s="107" t="s">
        <v>1324</v>
      </c>
      <c r="B1165" s="108" t="s">
        <v>1327</v>
      </c>
      <c r="C1165" s="108" t="s">
        <v>1328</v>
      </c>
      <c r="D1165" s="109">
        <v>45594</v>
      </c>
      <c r="E1165" s="110">
        <v>196000</v>
      </c>
      <c r="F1165" s="108" t="s">
        <v>32</v>
      </c>
      <c r="G1165" s="108" t="s">
        <v>33</v>
      </c>
      <c r="H1165" s="110">
        <v>196000</v>
      </c>
      <c r="I1165" s="110">
        <v>84500</v>
      </c>
      <c r="J1165" s="111">
        <f t="shared" si="131"/>
        <v>43.112244897959187</v>
      </c>
      <c r="K1165" s="110">
        <v>169124</v>
      </c>
      <c r="L1165" s="110">
        <f>H1165-159718</f>
        <v>36282</v>
      </c>
      <c r="M1165" s="110">
        <v>9406</v>
      </c>
      <c r="N1165" s="112">
        <f t="shared" si="132"/>
        <v>4.7989795918367349E-2</v>
      </c>
      <c r="O1165" s="113">
        <v>48.98</v>
      </c>
      <c r="P1165" s="114">
        <v>120</v>
      </c>
      <c r="Q1165" s="115">
        <v>0.13800000000000001</v>
      </c>
      <c r="R1165" s="115">
        <v>0.13800000000000001</v>
      </c>
      <c r="S1165" s="110">
        <f t="shared" si="133"/>
        <v>740.75132707227442</v>
      </c>
      <c r="T1165" s="110">
        <f t="shared" si="134"/>
        <v>262913.04347826086</v>
      </c>
      <c r="U1165" s="116">
        <f t="shared" si="135"/>
        <v>6.0356529724118655</v>
      </c>
      <c r="V1165" s="115">
        <v>50</v>
      </c>
      <c r="W1165" s="115">
        <f t="shared" si="136"/>
        <v>39200</v>
      </c>
      <c r="X1165" s="115">
        <f t="shared" si="130"/>
        <v>784</v>
      </c>
      <c r="Y1165" s="117" t="s">
        <v>1323</v>
      </c>
      <c r="Z1165" s="108" t="s">
        <v>35</v>
      </c>
      <c r="AA1165" s="108" t="s">
        <v>35</v>
      </c>
      <c r="AB1165" s="108" t="s">
        <v>1324</v>
      </c>
      <c r="AC1165" s="108">
        <v>0</v>
      </c>
      <c r="AD1165" s="108">
        <v>1</v>
      </c>
      <c r="AE1165" s="108" t="s">
        <v>37</v>
      </c>
      <c r="AF1165" s="108" t="s">
        <v>35</v>
      </c>
      <c r="AG1165" s="108" t="s">
        <v>38</v>
      </c>
      <c r="AH1165" s="108" t="s">
        <v>92</v>
      </c>
    </row>
    <row r="1166" spans="1:34" x14ac:dyDescent="0.3">
      <c r="A1166" s="118" t="s">
        <v>1324</v>
      </c>
      <c r="B1166" s="119" t="s">
        <v>1339</v>
      </c>
      <c r="C1166" s="119" t="s">
        <v>1340</v>
      </c>
      <c r="D1166" s="120">
        <v>45511</v>
      </c>
      <c r="E1166" s="121">
        <v>200000</v>
      </c>
      <c r="F1166" s="119" t="s">
        <v>32</v>
      </c>
      <c r="G1166" s="119" t="s">
        <v>33</v>
      </c>
      <c r="H1166" s="121">
        <v>200000</v>
      </c>
      <c r="I1166" s="121">
        <v>86200</v>
      </c>
      <c r="J1166" s="122">
        <f t="shared" si="131"/>
        <v>43.1</v>
      </c>
      <c r="K1166" s="121">
        <v>172476</v>
      </c>
      <c r="L1166" s="121">
        <f>H1166-162499</f>
        <v>37501</v>
      </c>
      <c r="M1166" s="121">
        <v>9977</v>
      </c>
      <c r="N1166" s="123">
        <f t="shared" si="132"/>
        <v>4.9884999999999999E-2</v>
      </c>
      <c r="O1166" s="124">
        <v>51.96</v>
      </c>
      <c r="P1166" s="125">
        <v>135</v>
      </c>
      <c r="Q1166" s="126">
        <v>0.155</v>
      </c>
      <c r="R1166" s="126">
        <v>0.155</v>
      </c>
      <c r="S1166" s="121">
        <f t="shared" si="133"/>
        <v>721.72825250192454</v>
      </c>
      <c r="T1166" s="121">
        <f t="shared" si="134"/>
        <v>241941.93548387097</v>
      </c>
      <c r="U1166" s="127">
        <f t="shared" si="135"/>
        <v>5.5542225776829879</v>
      </c>
      <c r="V1166" s="126">
        <v>50</v>
      </c>
      <c r="W1166" s="126">
        <f t="shared" si="136"/>
        <v>40000</v>
      </c>
      <c r="X1166" s="126">
        <f t="shared" si="130"/>
        <v>800</v>
      </c>
      <c r="Y1166" s="128" t="s">
        <v>1323</v>
      </c>
      <c r="Z1166" s="119" t="s">
        <v>35</v>
      </c>
      <c r="AA1166" s="119" t="s">
        <v>35</v>
      </c>
      <c r="AB1166" s="119" t="s">
        <v>1324</v>
      </c>
      <c r="AC1166" s="119">
        <v>0</v>
      </c>
      <c r="AD1166" s="119">
        <v>1</v>
      </c>
      <c r="AE1166" s="119" t="s">
        <v>42</v>
      </c>
      <c r="AF1166" s="119" t="s">
        <v>43</v>
      </c>
      <c r="AG1166" s="119" t="s">
        <v>38</v>
      </c>
      <c r="AH1166" s="119" t="s">
        <v>92</v>
      </c>
    </row>
    <row r="1167" spans="1:34" x14ac:dyDescent="0.3">
      <c r="A1167" s="118" t="s">
        <v>1324</v>
      </c>
      <c r="B1167" s="119" t="s">
        <v>1331</v>
      </c>
      <c r="C1167" s="119" t="s">
        <v>1332</v>
      </c>
      <c r="D1167" s="120">
        <v>45212</v>
      </c>
      <c r="E1167" s="121">
        <v>203100</v>
      </c>
      <c r="F1167" s="119" t="s">
        <v>32</v>
      </c>
      <c r="G1167" s="119" t="s">
        <v>33</v>
      </c>
      <c r="H1167" s="121">
        <v>203100</v>
      </c>
      <c r="I1167" s="121">
        <v>77200</v>
      </c>
      <c r="J1167" s="122">
        <f t="shared" si="131"/>
        <v>38.010832102412607</v>
      </c>
      <c r="K1167" s="121">
        <v>171587</v>
      </c>
      <c r="L1167" s="121">
        <f>H1167-160728</f>
        <v>42372</v>
      </c>
      <c r="M1167" s="121">
        <v>10859</v>
      </c>
      <c r="N1167" s="123">
        <f t="shared" si="132"/>
        <v>5.3466272772033481E-2</v>
      </c>
      <c r="O1167" s="124">
        <v>56.55</v>
      </c>
      <c r="P1167" s="125">
        <v>140.69</v>
      </c>
      <c r="Q1167" s="126">
        <v>0.18099999999999999</v>
      </c>
      <c r="R1167" s="126">
        <v>0.18099999999999999</v>
      </c>
      <c r="S1167" s="121">
        <f t="shared" si="133"/>
        <v>749.28381962864728</v>
      </c>
      <c r="T1167" s="121">
        <f t="shared" si="134"/>
        <v>234099.44751381216</v>
      </c>
      <c r="U1167" s="127">
        <f t="shared" si="135"/>
        <v>5.3741838272225015</v>
      </c>
      <c r="V1167" s="126">
        <v>48</v>
      </c>
      <c r="W1167" s="126">
        <f t="shared" si="136"/>
        <v>40620</v>
      </c>
      <c r="X1167" s="126">
        <f t="shared" si="130"/>
        <v>846.25</v>
      </c>
      <c r="Y1167" s="128" t="s">
        <v>1323</v>
      </c>
      <c r="Z1167" s="119" t="s">
        <v>35</v>
      </c>
      <c r="AA1167" s="119" t="s">
        <v>35</v>
      </c>
      <c r="AB1167" s="119" t="s">
        <v>1324</v>
      </c>
      <c r="AC1167" s="119">
        <v>0</v>
      </c>
      <c r="AD1167" s="119">
        <v>1</v>
      </c>
      <c r="AE1167" s="119" t="s">
        <v>37</v>
      </c>
      <c r="AF1167" s="119" t="s">
        <v>43</v>
      </c>
      <c r="AG1167" s="119" t="s">
        <v>38</v>
      </c>
      <c r="AH1167" s="119" t="s">
        <v>92</v>
      </c>
    </row>
    <row r="1168" spans="1:34" x14ac:dyDescent="0.3">
      <c r="A1168" s="107" t="s">
        <v>1324</v>
      </c>
      <c r="B1168" s="108" t="s">
        <v>1335</v>
      </c>
      <c r="C1168" s="108" t="s">
        <v>1336</v>
      </c>
      <c r="D1168" s="109">
        <v>45457</v>
      </c>
      <c r="E1168" s="110">
        <v>225000</v>
      </c>
      <c r="F1168" s="108" t="s">
        <v>32</v>
      </c>
      <c r="G1168" s="108" t="s">
        <v>33</v>
      </c>
      <c r="H1168" s="110">
        <v>225000</v>
      </c>
      <c r="I1168" s="110">
        <v>86600</v>
      </c>
      <c r="J1168" s="111">
        <f t="shared" si="131"/>
        <v>38.488888888888887</v>
      </c>
      <c r="K1168" s="110">
        <v>173870</v>
      </c>
      <c r="L1168" s="110">
        <f>H1168-161556</f>
        <v>63444</v>
      </c>
      <c r="M1168" s="110">
        <v>12314</v>
      </c>
      <c r="N1168" s="112">
        <f t="shared" si="132"/>
        <v>5.4728888888888889E-2</v>
      </c>
      <c r="O1168" s="113">
        <v>64.13</v>
      </c>
      <c r="P1168" s="114">
        <v>152.59</v>
      </c>
      <c r="Q1168" s="115">
        <v>0.221</v>
      </c>
      <c r="R1168" s="115">
        <v>0.221</v>
      </c>
      <c r="S1168" s="110">
        <f t="shared" si="133"/>
        <v>989.30297832527685</v>
      </c>
      <c r="T1168" s="110">
        <f t="shared" si="134"/>
        <v>287076.92307692306</v>
      </c>
      <c r="U1168" s="116">
        <f t="shared" si="135"/>
        <v>6.5903793176520447</v>
      </c>
      <c r="V1168" s="115">
        <v>48</v>
      </c>
      <c r="W1168" s="115">
        <f t="shared" si="136"/>
        <v>45000</v>
      </c>
      <c r="X1168" s="115">
        <f t="shared" si="130"/>
        <v>937.5</v>
      </c>
      <c r="Y1168" s="117" t="s">
        <v>1323</v>
      </c>
      <c r="Z1168" s="108" t="s">
        <v>35</v>
      </c>
      <c r="AA1168" s="108" t="s">
        <v>35</v>
      </c>
      <c r="AB1168" s="108" t="s">
        <v>1324</v>
      </c>
      <c r="AC1168" s="108">
        <v>0</v>
      </c>
      <c r="AD1168" s="108">
        <v>1</v>
      </c>
      <c r="AE1168" s="108" t="s">
        <v>42</v>
      </c>
      <c r="AF1168" s="108" t="s">
        <v>43</v>
      </c>
      <c r="AG1168" s="108" t="s">
        <v>38</v>
      </c>
      <c r="AH1168" s="108" t="s">
        <v>92</v>
      </c>
    </row>
    <row r="1169" spans="1:34" x14ac:dyDescent="0.3">
      <c r="A1169" s="107" t="s">
        <v>1632</v>
      </c>
      <c r="B1169" s="108" t="s">
        <v>1633</v>
      </c>
      <c r="C1169" s="108" t="s">
        <v>1634</v>
      </c>
      <c r="D1169" s="109">
        <v>45492</v>
      </c>
      <c r="E1169" s="110">
        <v>341000</v>
      </c>
      <c r="F1169" s="108" t="s">
        <v>32</v>
      </c>
      <c r="G1169" s="108" t="s">
        <v>33</v>
      </c>
      <c r="H1169" s="110">
        <v>341000</v>
      </c>
      <c r="I1169" s="110">
        <v>161900</v>
      </c>
      <c r="J1169" s="111">
        <f t="shared" si="131"/>
        <v>47.478005865102638</v>
      </c>
      <c r="K1169" s="110">
        <v>329055</v>
      </c>
      <c r="L1169" s="110">
        <f>H1169-309081</f>
        <v>31919</v>
      </c>
      <c r="M1169" s="110">
        <v>19974</v>
      </c>
      <c r="N1169" s="112">
        <f t="shared" si="132"/>
        <v>5.8574780058651028E-2</v>
      </c>
      <c r="O1169" s="113">
        <v>62.41</v>
      </c>
      <c r="P1169" s="114">
        <v>116.12</v>
      </c>
      <c r="Q1169" s="115">
        <v>0.17499999999999999</v>
      </c>
      <c r="R1169" s="115">
        <v>0.17499999999999999</v>
      </c>
      <c r="S1169" s="110">
        <f t="shared" si="133"/>
        <v>511.4404742829675</v>
      </c>
      <c r="T1169" s="110">
        <f t="shared" si="134"/>
        <v>182394.28571428574</v>
      </c>
      <c r="U1169" s="116">
        <f t="shared" si="135"/>
        <v>4.1871966417420969</v>
      </c>
      <c r="V1169" s="115">
        <v>66.53</v>
      </c>
      <c r="W1169" s="115">
        <f t="shared" si="136"/>
        <v>68200</v>
      </c>
      <c r="X1169" s="115">
        <f t="shared" si="130"/>
        <v>1025.1014579888772</v>
      </c>
      <c r="Y1169" s="117" t="s">
        <v>1631</v>
      </c>
      <c r="Z1169" s="108" t="s">
        <v>35</v>
      </c>
      <c r="AA1169" s="108" t="s">
        <v>35</v>
      </c>
      <c r="AB1169" s="108" t="s">
        <v>1632</v>
      </c>
      <c r="AC1169" s="108">
        <v>0</v>
      </c>
      <c r="AD1169" s="108">
        <v>1</v>
      </c>
      <c r="AE1169" s="108" t="s">
        <v>1635</v>
      </c>
      <c r="AF1169" s="108" t="s">
        <v>43</v>
      </c>
      <c r="AG1169" s="108" t="s">
        <v>38</v>
      </c>
      <c r="AH1169" s="108" t="s">
        <v>92</v>
      </c>
    </row>
    <row r="1170" spans="1:34" x14ac:dyDescent="0.3">
      <c r="A1170" s="118" t="s">
        <v>1632</v>
      </c>
      <c r="B1170" s="119" t="s">
        <v>1629</v>
      </c>
      <c r="C1170" s="119" t="s">
        <v>1630</v>
      </c>
      <c r="D1170" s="120">
        <v>45730</v>
      </c>
      <c r="E1170" s="121">
        <v>355000</v>
      </c>
      <c r="F1170" s="119" t="s">
        <v>32</v>
      </c>
      <c r="G1170" s="119" t="s">
        <v>33</v>
      </c>
      <c r="H1170" s="121">
        <v>355000</v>
      </c>
      <c r="I1170" s="121">
        <v>171100</v>
      </c>
      <c r="J1170" s="122">
        <f t="shared" si="131"/>
        <v>48.197183098591552</v>
      </c>
      <c r="K1170" s="121">
        <v>348774</v>
      </c>
      <c r="L1170" s="121">
        <f>H1170-321203</f>
        <v>33797</v>
      </c>
      <c r="M1170" s="121">
        <v>27571</v>
      </c>
      <c r="N1170" s="123">
        <f t="shared" si="132"/>
        <v>7.7664788732394366E-2</v>
      </c>
      <c r="O1170" s="124">
        <v>86.15</v>
      </c>
      <c r="P1170" s="125">
        <v>180.35</v>
      </c>
      <c r="Q1170" s="126">
        <v>0.35199999999999998</v>
      </c>
      <c r="R1170" s="126">
        <v>0.35199999999999998</v>
      </c>
      <c r="S1170" s="121">
        <f t="shared" si="133"/>
        <v>392.30412071967498</v>
      </c>
      <c r="T1170" s="121">
        <f t="shared" si="134"/>
        <v>96014.204545454544</v>
      </c>
      <c r="U1170" s="127">
        <f t="shared" si="135"/>
        <v>2.2041828408047417</v>
      </c>
      <c r="V1170" s="126">
        <v>49.2</v>
      </c>
      <c r="W1170" s="126">
        <f t="shared" si="136"/>
        <v>71000</v>
      </c>
      <c r="X1170" s="126">
        <f t="shared" si="130"/>
        <v>1443.0894308943089</v>
      </c>
      <c r="Y1170" s="128" t="s">
        <v>1631</v>
      </c>
      <c r="Z1170" s="119" t="s">
        <v>35</v>
      </c>
      <c r="AA1170" s="119" t="s">
        <v>35</v>
      </c>
      <c r="AB1170" s="119" t="s">
        <v>1632</v>
      </c>
      <c r="AC1170" s="119">
        <v>0</v>
      </c>
      <c r="AD1170" s="119">
        <v>1</v>
      </c>
      <c r="AE1170" s="119" t="s">
        <v>42</v>
      </c>
      <c r="AF1170" s="119" t="s">
        <v>35</v>
      </c>
      <c r="AG1170" s="119" t="s">
        <v>38</v>
      </c>
      <c r="AH1170" s="119" t="s">
        <v>92</v>
      </c>
    </row>
    <row r="1171" spans="1:34" x14ac:dyDescent="0.3">
      <c r="A1171" s="107" t="s">
        <v>1537</v>
      </c>
      <c r="B1171" s="108" t="s">
        <v>1540</v>
      </c>
      <c r="C1171" s="108" t="s">
        <v>1541</v>
      </c>
      <c r="D1171" s="109">
        <v>45023</v>
      </c>
      <c r="E1171" s="110">
        <v>73000</v>
      </c>
      <c r="F1171" s="108" t="s">
        <v>32</v>
      </c>
      <c r="G1171" s="108" t="s">
        <v>33</v>
      </c>
      <c r="H1171" s="110">
        <v>73000</v>
      </c>
      <c r="I1171" s="110">
        <v>28600</v>
      </c>
      <c r="J1171" s="111">
        <f t="shared" si="131"/>
        <v>39.178082191780824</v>
      </c>
      <c r="K1171" s="110">
        <v>66245</v>
      </c>
      <c r="L1171" s="110">
        <f>H1171-45388</f>
        <v>27612</v>
      </c>
      <c r="M1171" s="110">
        <v>20857</v>
      </c>
      <c r="N1171" s="112">
        <f t="shared" si="132"/>
        <v>0.28571232876712327</v>
      </c>
      <c r="O1171" s="113">
        <v>99.32</v>
      </c>
      <c r="P1171" s="114">
        <v>85.78</v>
      </c>
      <c r="Q1171" s="115">
        <v>0.20499999999999999</v>
      </c>
      <c r="R1171" s="115">
        <v>0.20499999999999999</v>
      </c>
      <c r="S1171" s="110">
        <f t="shared" si="133"/>
        <v>278.01047120418849</v>
      </c>
      <c r="T1171" s="110">
        <f t="shared" si="134"/>
        <v>134692.68292682926</v>
      </c>
      <c r="U1171" s="116">
        <f t="shared" si="135"/>
        <v>3.0921185244910299</v>
      </c>
      <c r="V1171" s="115">
        <v>137</v>
      </c>
      <c r="W1171" s="115">
        <f t="shared" si="136"/>
        <v>14600</v>
      </c>
      <c r="X1171" s="115">
        <f t="shared" si="130"/>
        <v>106.56934306569343</v>
      </c>
      <c r="Y1171" s="117" t="s">
        <v>1536</v>
      </c>
      <c r="Z1171" s="108" t="s">
        <v>35</v>
      </c>
      <c r="AA1171" s="108" t="s">
        <v>35</v>
      </c>
      <c r="AB1171" s="108" t="s">
        <v>1537</v>
      </c>
      <c r="AC1171" s="108">
        <v>0</v>
      </c>
      <c r="AD1171" s="108">
        <v>1</v>
      </c>
      <c r="AE1171" s="108" t="s">
        <v>42</v>
      </c>
      <c r="AF1171" s="108" t="s">
        <v>43</v>
      </c>
      <c r="AG1171" s="108" t="s">
        <v>38</v>
      </c>
      <c r="AH1171" s="108" t="s">
        <v>92</v>
      </c>
    </row>
    <row r="1172" spans="1:34" x14ac:dyDescent="0.3">
      <c r="A1172" s="118" t="s">
        <v>1537</v>
      </c>
      <c r="B1172" s="119" t="s">
        <v>1538</v>
      </c>
      <c r="C1172" s="119" t="s">
        <v>1539</v>
      </c>
      <c r="D1172" s="120">
        <v>45687</v>
      </c>
      <c r="E1172" s="121">
        <v>285000</v>
      </c>
      <c r="F1172" s="119" t="s">
        <v>32</v>
      </c>
      <c r="G1172" s="119" t="s">
        <v>33</v>
      </c>
      <c r="H1172" s="121">
        <v>285000</v>
      </c>
      <c r="I1172" s="121">
        <v>179900</v>
      </c>
      <c r="J1172" s="122">
        <f t="shared" si="131"/>
        <v>63.122807017543856</v>
      </c>
      <c r="K1172" s="121">
        <v>368800</v>
      </c>
      <c r="L1172" s="121">
        <f>H1172-341295</f>
        <v>-56295</v>
      </c>
      <c r="M1172" s="121">
        <v>27505</v>
      </c>
      <c r="N1172" s="123">
        <f t="shared" si="132"/>
        <v>9.6508771929824558E-2</v>
      </c>
      <c r="O1172" s="124">
        <v>130.97</v>
      </c>
      <c r="P1172" s="125">
        <v>137</v>
      </c>
      <c r="Q1172" s="126">
        <v>0.377</v>
      </c>
      <c r="R1172" s="126">
        <v>0.377</v>
      </c>
      <c r="S1172" s="121">
        <f t="shared" si="133"/>
        <v>-429.83125906696188</v>
      </c>
      <c r="T1172" s="121">
        <f t="shared" si="134"/>
        <v>-149323.60742705571</v>
      </c>
      <c r="U1172" s="127">
        <f t="shared" si="135"/>
        <v>-3.4279983339544469</v>
      </c>
      <c r="V1172" s="126">
        <v>120</v>
      </c>
      <c r="W1172" s="126">
        <f t="shared" si="136"/>
        <v>57000</v>
      </c>
      <c r="X1172" s="126">
        <f t="shared" si="130"/>
        <v>475</v>
      </c>
      <c r="Y1172" s="128" t="s">
        <v>1536</v>
      </c>
      <c r="Z1172" s="119" t="s">
        <v>35</v>
      </c>
      <c r="AA1172" s="119" t="s">
        <v>35</v>
      </c>
      <c r="AB1172" s="119" t="s">
        <v>1537</v>
      </c>
      <c r="AC1172" s="119">
        <v>0</v>
      </c>
      <c r="AD1172" s="119">
        <v>1</v>
      </c>
      <c r="AE1172" s="119" t="s">
        <v>42</v>
      </c>
      <c r="AF1172" s="119" t="s">
        <v>35</v>
      </c>
      <c r="AG1172" s="119" t="s">
        <v>38</v>
      </c>
      <c r="AH1172" s="119" t="s">
        <v>92</v>
      </c>
    </row>
    <row r="1173" spans="1:34" x14ac:dyDescent="0.3">
      <c r="A1173" s="118" t="s">
        <v>1537</v>
      </c>
      <c r="B1173" s="119" t="s">
        <v>1612</v>
      </c>
      <c r="C1173" s="119" t="s">
        <v>1613</v>
      </c>
      <c r="D1173" s="120">
        <v>45707</v>
      </c>
      <c r="E1173" s="121">
        <v>160000</v>
      </c>
      <c r="F1173" s="119" t="s">
        <v>32</v>
      </c>
      <c r="G1173" s="119" t="s">
        <v>33</v>
      </c>
      <c r="H1173" s="121">
        <v>160000</v>
      </c>
      <c r="I1173" s="121">
        <v>89900</v>
      </c>
      <c r="J1173" s="122">
        <f t="shared" si="131"/>
        <v>56.1875</v>
      </c>
      <c r="K1173" s="121">
        <v>193105</v>
      </c>
      <c r="L1173" s="121">
        <f>H1173-181058</f>
        <v>-21058</v>
      </c>
      <c r="M1173" s="121">
        <v>12047</v>
      </c>
      <c r="N1173" s="123">
        <f t="shared" si="132"/>
        <v>7.5293750000000007E-2</v>
      </c>
      <c r="O1173" s="124">
        <v>57.36</v>
      </c>
      <c r="P1173" s="125">
        <v>138.79</v>
      </c>
      <c r="Q1173" s="126">
        <v>0.14799999999999999</v>
      </c>
      <c r="R1173" s="126">
        <v>0.14799999999999999</v>
      </c>
      <c r="S1173" s="121">
        <f t="shared" si="133"/>
        <v>-367.11994421199444</v>
      </c>
      <c r="T1173" s="121">
        <f t="shared" si="134"/>
        <v>-142283.78378378379</v>
      </c>
      <c r="U1173" s="127">
        <f t="shared" si="135"/>
        <v>-3.2663862209316754</v>
      </c>
      <c r="V1173" s="126">
        <v>64</v>
      </c>
      <c r="W1173" s="126">
        <f t="shared" si="136"/>
        <v>32000</v>
      </c>
      <c r="X1173" s="126">
        <f t="shared" si="130"/>
        <v>500</v>
      </c>
      <c r="Y1173" s="128" t="s">
        <v>1536</v>
      </c>
      <c r="Z1173" s="119" t="s">
        <v>35</v>
      </c>
      <c r="AA1173" s="119" t="s">
        <v>35</v>
      </c>
      <c r="AB1173" s="119" t="s">
        <v>1537</v>
      </c>
      <c r="AC1173" s="119">
        <v>0</v>
      </c>
      <c r="AD1173" s="119">
        <v>1</v>
      </c>
      <c r="AE1173" s="119" t="s">
        <v>42</v>
      </c>
      <c r="AF1173" s="119" t="s">
        <v>35</v>
      </c>
      <c r="AG1173" s="119" t="s">
        <v>38</v>
      </c>
      <c r="AH1173" s="119" t="s">
        <v>92</v>
      </c>
    </row>
    <row r="1174" spans="1:34" x14ac:dyDescent="0.3">
      <c r="A1174" s="107" t="s">
        <v>1537</v>
      </c>
      <c r="B1174" s="108" t="s">
        <v>1670</v>
      </c>
      <c r="C1174" s="108" t="s">
        <v>1671</v>
      </c>
      <c r="D1174" s="109">
        <v>45519</v>
      </c>
      <c r="E1174" s="110">
        <v>132000</v>
      </c>
      <c r="F1174" s="108" t="s">
        <v>81</v>
      </c>
      <c r="G1174" s="108" t="s">
        <v>33</v>
      </c>
      <c r="H1174" s="110">
        <v>132000</v>
      </c>
      <c r="I1174" s="110">
        <v>84100</v>
      </c>
      <c r="J1174" s="111">
        <f t="shared" si="131"/>
        <v>63.712121212121211</v>
      </c>
      <c r="K1174" s="110">
        <v>180060</v>
      </c>
      <c r="L1174" s="110">
        <f>H1174-170027</f>
        <v>-38027</v>
      </c>
      <c r="M1174" s="110">
        <v>10033</v>
      </c>
      <c r="N1174" s="112">
        <f t="shared" si="132"/>
        <v>7.600757575757576E-2</v>
      </c>
      <c r="O1174" s="113">
        <v>47.77</v>
      </c>
      <c r="P1174" s="114">
        <v>105</v>
      </c>
      <c r="Q1174" s="115">
        <v>0.121</v>
      </c>
      <c r="R1174" s="115">
        <v>0.121</v>
      </c>
      <c r="S1174" s="110">
        <f t="shared" si="133"/>
        <v>-796.04354197194891</v>
      </c>
      <c r="T1174" s="110">
        <f t="shared" si="134"/>
        <v>-314272.72727272729</v>
      </c>
      <c r="U1174" s="116">
        <f t="shared" si="135"/>
        <v>-7.2147090742132072</v>
      </c>
      <c r="V1174" s="115">
        <v>50</v>
      </c>
      <c r="W1174" s="115">
        <f t="shared" si="136"/>
        <v>26400</v>
      </c>
      <c r="X1174" s="115">
        <f t="shared" si="130"/>
        <v>528</v>
      </c>
      <c r="Y1174" s="117" t="s">
        <v>1536</v>
      </c>
      <c r="Z1174" s="108" t="s">
        <v>35</v>
      </c>
      <c r="AA1174" s="108" t="s">
        <v>35</v>
      </c>
      <c r="AB1174" s="108" t="s">
        <v>1537</v>
      </c>
      <c r="AC1174" s="108">
        <v>0</v>
      </c>
      <c r="AD1174" s="108">
        <v>1</v>
      </c>
      <c r="AE1174" s="108" t="s">
        <v>42</v>
      </c>
      <c r="AF1174" s="108" t="s">
        <v>35</v>
      </c>
      <c r="AG1174" s="108" t="s">
        <v>38</v>
      </c>
      <c r="AH1174" s="108" t="s">
        <v>92</v>
      </c>
    </row>
    <row r="1175" spans="1:34" x14ac:dyDescent="0.3">
      <c r="A1175" s="118" t="s">
        <v>1537</v>
      </c>
      <c r="B1175" s="119" t="s">
        <v>1544</v>
      </c>
      <c r="C1175" s="119" t="s">
        <v>1545</v>
      </c>
      <c r="D1175" s="120">
        <v>45187</v>
      </c>
      <c r="E1175" s="121">
        <v>143000</v>
      </c>
      <c r="F1175" s="119" t="s">
        <v>32</v>
      </c>
      <c r="G1175" s="119" t="s">
        <v>33</v>
      </c>
      <c r="H1175" s="121">
        <v>143000</v>
      </c>
      <c r="I1175" s="121">
        <v>66700</v>
      </c>
      <c r="J1175" s="122">
        <f t="shared" si="131"/>
        <v>46.64335664335664</v>
      </c>
      <c r="K1175" s="121">
        <v>165537</v>
      </c>
      <c r="L1175" s="121">
        <f>H1175-153613</f>
        <v>-10613</v>
      </c>
      <c r="M1175" s="121">
        <v>11924</v>
      </c>
      <c r="N1175" s="123">
        <f t="shared" si="132"/>
        <v>8.338461538461539E-2</v>
      </c>
      <c r="O1175" s="124">
        <v>56.78</v>
      </c>
      <c r="P1175" s="125">
        <v>132</v>
      </c>
      <c r="Q1175" s="126">
        <v>0.161</v>
      </c>
      <c r="R1175" s="126">
        <v>0.161</v>
      </c>
      <c r="S1175" s="121">
        <f t="shared" si="133"/>
        <v>-186.91440648115534</v>
      </c>
      <c r="T1175" s="121">
        <f t="shared" si="134"/>
        <v>-65919.254658385093</v>
      </c>
      <c r="U1175" s="127">
        <f t="shared" si="135"/>
        <v>-1.5132978571713749</v>
      </c>
      <c r="V1175" s="126">
        <v>53</v>
      </c>
      <c r="W1175" s="126">
        <f t="shared" si="136"/>
        <v>28600</v>
      </c>
      <c r="X1175" s="126">
        <f t="shared" si="130"/>
        <v>539.62264150943395</v>
      </c>
      <c r="Y1175" s="128" t="s">
        <v>1536</v>
      </c>
      <c r="Z1175" s="119" t="s">
        <v>35</v>
      </c>
      <c r="AA1175" s="119" t="s">
        <v>35</v>
      </c>
      <c r="AB1175" s="119" t="s">
        <v>1537</v>
      </c>
      <c r="AC1175" s="119">
        <v>0</v>
      </c>
      <c r="AD1175" s="119">
        <v>1</v>
      </c>
      <c r="AE1175" s="119" t="s">
        <v>42</v>
      </c>
      <c r="AF1175" s="119" t="s">
        <v>43</v>
      </c>
      <c r="AG1175" s="119" t="s">
        <v>38</v>
      </c>
      <c r="AH1175" s="119" t="s">
        <v>92</v>
      </c>
    </row>
    <row r="1176" spans="1:34" x14ac:dyDescent="0.3">
      <c r="A1176" s="118" t="s">
        <v>1537</v>
      </c>
      <c r="B1176" s="119" t="s">
        <v>1550</v>
      </c>
      <c r="C1176" s="119" t="s">
        <v>1551</v>
      </c>
      <c r="D1176" s="120">
        <v>45700</v>
      </c>
      <c r="E1176" s="121">
        <v>180000</v>
      </c>
      <c r="F1176" s="119" t="s">
        <v>32</v>
      </c>
      <c r="G1176" s="119" t="s">
        <v>33</v>
      </c>
      <c r="H1176" s="121">
        <v>180000</v>
      </c>
      <c r="I1176" s="121">
        <v>101600</v>
      </c>
      <c r="J1176" s="122">
        <f t="shared" si="131"/>
        <v>56.444444444444443</v>
      </c>
      <c r="K1176" s="121">
        <v>216080</v>
      </c>
      <c r="L1176" s="121">
        <f>H1176-202555</f>
        <v>-22555</v>
      </c>
      <c r="M1176" s="121">
        <v>13525</v>
      </c>
      <c r="N1176" s="123">
        <f t="shared" si="132"/>
        <v>7.5138888888888894E-2</v>
      </c>
      <c r="O1176" s="124">
        <v>64.400000000000006</v>
      </c>
      <c r="P1176" s="125">
        <v>112.91</v>
      </c>
      <c r="Q1176" s="126">
        <v>0.16800000000000001</v>
      </c>
      <c r="R1176" s="126">
        <v>0.16800000000000001</v>
      </c>
      <c r="S1176" s="121">
        <f t="shared" si="133"/>
        <v>-350.23291925465833</v>
      </c>
      <c r="T1176" s="121">
        <f t="shared" si="134"/>
        <v>-134255.95238095237</v>
      </c>
      <c r="U1176" s="127">
        <f t="shared" si="135"/>
        <v>-3.0820925707289342</v>
      </c>
      <c r="V1176" s="126">
        <v>65</v>
      </c>
      <c r="W1176" s="126">
        <f t="shared" si="136"/>
        <v>36000</v>
      </c>
      <c r="X1176" s="126">
        <f t="shared" si="130"/>
        <v>553.84615384615381</v>
      </c>
      <c r="Y1176" s="128" t="s">
        <v>1536</v>
      </c>
      <c r="Z1176" s="119" t="s">
        <v>35</v>
      </c>
      <c r="AA1176" s="119" t="s">
        <v>35</v>
      </c>
      <c r="AB1176" s="119" t="s">
        <v>1537</v>
      </c>
      <c r="AC1176" s="119">
        <v>0</v>
      </c>
      <c r="AD1176" s="119">
        <v>1</v>
      </c>
      <c r="AE1176" s="119" t="s">
        <v>42</v>
      </c>
      <c r="AF1176" s="119" t="s">
        <v>35</v>
      </c>
      <c r="AG1176" s="119" t="s">
        <v>38</v>
      </c>
      <c r="AH1176" s="119" t="s">
        <v>92</v>
      </c>
    </row>
    <row r="1177" spans="1:34" x14ac:dyDescent="0.3">
      <c r="A1177" s="118" t="s">
        <v>1537</v>
      </c>
      <c r="B1177" s="119" t="s">
        <v>1596</v>
      </c>
      <c r="C1177" s="119" t="s">
        <v>1597</v>
      </c>
      <c r="D1177" s="120">
        <v>45092</v>
      </c>
      <c r="E1177" s="121">
        <v>205000</v>
      </c>
      <c r="F1177" s="119" t="s">
        <v>32</v>
      </c>
      <c r="G1177" s="119" t="s">
        <v>33</v>
      </c>
      <c r="H1177" s="121">
        <v>205000</v>
      </c>
      <c r="I1177" s="121">
        <v>92400</v>
      </c>
      <c r="J1177" s="122">
        <f t="shared" si="131"/>
        <v>45.073170731707322</v>
      </c>
      <c r="K1177" s="121">
        <v>223947</v>
      </c>
      <c r="L1177" s="121">
        <f>H1177-204179</f>
        <v>821</v>
      </c>
      <c r="M1177" s="121">
        <v>19768</v>
      </c>
      <c r="N1177" s="123">
        <f t="shared" si="132"/>
        <v>9.6429268292682932E-2</v>
      </c>
      <c r="O1177" s="124">
        <v>94.13</v>
      </c>
      <c r="P1177" s="125">
        <v>241.19</v>
      </c>
      <c r="Q1177" s="126">
        <v>0.185</v>
      </c>
      <c r="R1177" s="126">
        <v>0.33500000000000002</v>
      </c>
      <c r="S1177" s="121">
        <f t="shared" si="133"/>
        <v>8.7219802400934885</v>
      </c>
      <c r="T1177" s="121">
        <f t="shared" si="134"/>
        <v>4437.8378378378375</v>
      </c>
      <c r="U1177" s="127">
        <f t="shared" si="135"/>
        <v>0.1018787382423746</v>
      </c>
      <c r="V1177" s="126">
        <v>74</v>
      </c>
      <c r="W1177" s="126">
        <f t="shared" si="136"/>
        <v>41000</v>
      </c>
      <c r="X1177" s="126">
        <f t="shared" si="130"/>
        <v>554.05405405405406</v>
      </c>
      <c r="Y1177" s="128" t="s">
        <v>1536</v>
      </c>
      <c r="Z1177" s="119" t="s">
        <v>35</v>
      </c>
      <c r="AA1177" s="119" t="s">
        <v>35</v>
      </c>
      <c r="AB1177" s="119" t="s">
        <v>1537</v>
      </c>
      <c r="AC1177" s="119">
        <v>0</v>
      </c>
      <c r="AD1177" s="119">
        <v>1</v>
      </c>
      <c r="AE1177" s="119" t="s">
        <v>42</v>
      </c>
      <c r="AF1177" s="119" t="s">
        <v>43</v>
      </c>
      <c r="AG1177" s="119" t="s">
        <v>38</v>
      </c>
      <c r="AH1177" s="119" t="s">
        <v>92</v>
      </c>
    </row>
    <row r="1178" spans="1:34" x14ac:dyDescent="0.3">
      <c r="A1178" s="107" t="s">
        <v>1537</v>
      </c>
      <c r="B1178" s="108" t="s">
        <v>1622</v>
      </c>
      <c r="C1178" s="108" t="s">
        <v>1623</v>
      </c>
      <c r="D1178" s="109">
        <v>45699</v>
      </c>
      <c r="E1178" s="110">
        <v>230000</v>
      </c>
      <c r="F1178" s="108" t="s">
        <v>32</v>
      </c>
      <c r="G1178" s="108" t="s">
        <v>33</v>
      </c>
      <c r="H1178" s="110">
        <v>230000</v>
      </c>
      <c r="I1178" s="110">
        <v>94400</v>
      </c>
      <c r="J1178" s="111">
        <f t="shared" si="131"/>
        <v>41.043478260869563</v>
      </c>
      <c r="K1178" s="110">
        <v>201354</v>
      </c>
      <c r="L1178" s="110">
        <f>H1178-185577</f>
        <v>44423</v>
      </c>
      <c r="M1178" s="110">
        <v>15777</v>
      </c>
      <c r="N1178" s="112">
        <f t="shared" si="132"/>
        <v>6.8595652173913044E-2</v>
      </c>
      <c r="O1178" s="113">
        <v>75.12</v>
      </c>
      <c r="P1178" s="114">
        <v>100</v>
      </c>
      <c r="Q1178" s="115">
        <v>0.184</v>
      </c>
      <c r="R1178" s="115">
        <v>0.184</v>
      </c>
      <c r="S1178" s="110">
        <f t="shared" si="133"/>
        <v>591.36048988285404</v>
      </c>
      <c r="T1178" s="110">
        <f t="shared" si="134"/>
        <v>241429.34782608697</v>
      </c>
      <c r="U1178" s="116">
        <f t="shared" si="135"/>
        <v>5.5424551842536038</v>
      </c>
      <c r="V1178" s="115">
        <v>81</v>
      </c>
      <c r="W1178" s="115">
        <f t="shared" si="136"/>
        <v>46000</v>
      </c>
      <c r="X1178" s="115">
        <f t="shared" si="130"/>
        <v>567.90123456790127</v>
      </c>
      <c r="Y1178" s="117" t="s">
        <v>1536</v>
      </c>
      <c r="Z1178" s="108" t="s">
        <v>35</v>
      </c>
      <c r="AA1178" s="108" t="s">
        <v>35</v>
      </c>
      <c r="AB1178" s="108" t="s">
        <v>1537</v>
      </c>
      <c r="AC1178" s="108">
        <v>0</v>
      </c>
      <c r="AD1178" s="108">
        <v>1</v>
      </c>
      <c r="AE1178" s="108" t="s">
        <v>205</v>
      </c>
      <c r="AF1178" s="108" t="s">
        <v>35</v>
      </c>
      <c r="AG1178" s="108" t="s">
        <v>38</v>
      </c>
      <c r="AH1178" s="108" t="s">
        <v>92</v>
      </c>
    </row>
    <row r="1179" spans="1:34" x14ac:dyDescent="0.3">
      <c r="A1179" s="118" t="s">
        <v>1537</v>
      </c>
      <c r="B1179" s="119" t="s">
        <v>1534</v>
      </c>
      <c r="C1179" s="119" t="s">
        <v>1535</v>
      </c>
      <c r="D1179" s="120">
        <v>45083</v>
      </c>
      <c r="E1179" s="121">
        <v>163000</v>
      </c>
      <c r="F1179" s="119" t="s">
        <v>32</v>
      </c>
      <c r="G1179" s="119" t="s">
        <v>33</v>
      </c>
      <c r="H1179" s="121">
        <v>163000</v>
      </c>
      <c r="I1179" s="121">
        <v>67700</v>
      </c>
      <c r="J1179" s="122">
        <f t="shared" si="131"/>
        <v>41.533742331288344</v>
      </c>
      <c r="K1179" s="121">
        <v>167148</v>
      </c>
      <c r="L1179" s="121">
        <f>H1179-154083</f>
        <v>8917</v>
      </c>
      <c r="M1179" s="121">
        <v>13065</v>
      </c>
      <c r="N1179" s="123">
        <f t="shared" si="132"/>
        <v>8.0153374233128835E-2</v>
      </c>
      <c r="O1179" s="124">
        <v>62.21</v>
      </c>
      <c r="P1179" s="125">
        <v>137</v>
      </c>
      <c r="Q1179" s="126">
        <v>0.17899999999999999</v>
      </c>
      <c r="R1179" s="126">
        <v>0.17899999999999999</v>
      </c>
      <c r="S1179" s="121">
        <f t="shared" si="133"/>
        <v>143.33708407008518</v>
      </c>
      <c r="T1179" s="121">
        <f t="shared" si="134"/>
        <v>49815.642458100563</v>
      </c>
      <c r="U1179" s="127">
        <f t="shared" si="135"/>
        <v>1.1436097901308668</v>
      </c>
      <c r="V1179" s="126">
        <v>57</v>
      </c>
      <c r="W1179" s="126">
        <f t="shared" si="136"/>
        <v>32600</v>
      </c>
      <c r="X1179" s="126">
        <f t="shared" si="130"/>
        <v>571.92982456140351</v>
      </c>
      <c r="Y1179" s="128" t="s">
        <v>1536</v>
      </c>
      <c r="Z1179" s="119" t="s">
        <v>35</v>
      </c>
      <c r="AA1179" s="119" t="s">
        <v>35</v>
      </c>
      <c r="AB1179" s="119" t="s">
        <v>1537</v>
      </c>
      <c r="AC1179" s="119">
        <v>0</v>
      </c>
      <c r="AD1179" s="119">
        <v>1</v>
      </c>
      <c r="AE1179" s="119" t="s">
        <v>42</v>
      </c>
      <c r="AF1179" s="119" t="s">
        <v>43</v>
      </c>
      <c r="AG1179" s="119" t="s">
        <v>38</v>
      </c>
      <c r="AH1179" s="119" t="s">
        <v>92</v>
      </c>
    </row>
    <row r="1180" spans="1:34" x14ac:dyDescent="0.3">
      <c r="A1180" s="118" t="s">
        <v>1537</v>
      </c>
      <c r="B1180" s="119" t="s">
        <v>1620</v>
      </c>
      <c r="C1180" s="119" t="s">
        <v>1621</v>
      </c>
      <c r="D1180" s="120">
        <v>45455</v>
      </c>
      <c r="E1180" s="121">
        <v>208000</v>
      </c>
      <c r="F1180" s="119" t="s">
        <v>32</v>
      </c>
      <c r="G1180" s="119" t="s">
        <v>33</v>
      </c>
      <c r="H1180" s="121">
        <v>208000</v>
      </c>
      <c r="I1180" s="121">
        <v>82300</v>
      </c>
      <c r="J1180" s="122">
        <f t="shared" si="131"/>
        <v>39.567307692307693</v>
      </c>
      <c r="K1180" s="121">
        <v>176655</v>
      </c>
      <c r="L1180" s="121">
        <f>H1180-162556</f>
        <v>45444</v>
      </c>
      <c r="M1180" s="121">
        <v>14099</v>
      </c>
      <c r="N1180" s="123">
        <f t="shared" si="132"/>
        <v>6.7783653846153841E-2</v>
      </c>
      <c r="O1180" s="124">
        <v>67.14</v>
      </c>
      <c r="P1180" s="125">
        <v>100</v>
      </c>
      <c r="Q1180" s="126">
        <v>0.16500000000000001</v>
      </c>
      <c r="R1180" s="126">
        <v>0.16500000000000001</v>
      </c>
      <c r="S1180" s="121">
        <f t="shared" si="133"/>
        <v>676.85433422698839</v>
      </c>
      <c r="T1180" s="121">
        <f t="shared" si="134"/>
        <v>275418.18181818182</v>
      </c>
      <c r="U1180" s="127">
        <f t="shared" si="135"/>
        <v>6.3227314466983886</v>
      </c>
      <c r="V1180" s="126">
        <v>72</v>
      </c>
      <c r="W1180" s="126">
        <f t="shared" si="136"/>
        <v>41600</v>
      </c>
      <c r="X1180" s="126">
        <f t="shared" si="130"/>
        <v>577.77777777777783</v>
      </c>
      <c r="Y1180" s="128" t="s">
        <v>1536</v>
      </c>
      <c r="Z1180" s="119" t="s">
        <v>35</v>
      </c>
      <c r="AA1180" s="119" t="s">
        <v>35</v>
      </c>
      <c r="AB1180" s="119" t="s">
        <v>1537</v>
      </c>
      <c r="AC1180" s="119">
        <v>0</v>
      </c>
      <c r="AD1180" s="119">
        <v>1</v>
      </c>
      <c r="AE1180" s="119" t="s">
        <v>42</v>
      </c>
      <c r="AF1180" s="119" t="s">
        <v>43</v>
      </c>
      <c r="AG1180" s="119" t="s">
        <v>38</v>
      </c>
      <c r="AH1180" s="119" t="s">
        <v>92</v>
      </c>
    </row>
    <row r="1181" spans="1:34" x14ac:dyDescent="0.3">
      <c r="A1181" s="118" t="s">
        <v>1537</v>
      </c>
      <c r="B1181" s="119" t="s">
        <v>1626</v>
      </c>
      <c r="C1181" s="119" t="s">
        <v>1627</v>
      </c>
      <c r="D1181" s="120">
        <v>45713</v>
      </c>
      <c r="E1181" s="121">
        <v>269000</v>
      </c>
      <c r="F1181" s="119" t="s">
        <v>32</v>
      </c>
      <c r="G1181" s="119" t="s">
        <v>33</v>
      </c>
      <c r="H1181" s="121">
        <v>269000</v>
      </c>
      <c r="I1181" s="121">
        <v>109100</v>
      </c>
      <c r="J1181" s="122">
        <f t="shared" si="131"/>
        <v>40.557620817843862</v>
      </c>
      <c r="K1181" s="121">
        <v>235987</v>
      </c>
      <c r="L1181" s="121">
        <f>H1181-220361</f>
        <v>48639</v>
      </c>
      <c r="M1181" s="121">
        <v>15626</v>
      </c>
      <c r="N1181" s="123">
        <f t="shared" si="132"/>
        <v>5.8089219330855021E-2</v>
      </c>
      <c r="O1181" s="124">
        <v>74.400000000000006</v>
      </c>
      <c r="P1181" s="125">
        <v>117.05</v>
      </c>
      <c r="Q1181" s="126">
        <v>0.17499999999999999</v>
      </c>
      <c r="R1181" s="126">
        <v>0.17499999999999999</v>
      </c>
      <c r="S1181" s="121">
        <f t="shared" si="133"/>
        <v>653.75</v>
      </c>
      <c r="T1181" s="121">
        <f t="shared" si="134"/>
        <v>277937.1428571429</v>
      </c>
      <c r="U1181" s="127">
        <f t="shared" si="135"/>
        <v>6.3805588351042903</v>
      </c>
      <c r="V1181" s="126">
        <v>91.13</v>
      </c>
      <c r="W1181" s="126">
        <f t="shared" si="136"/>
        <v>53800</v>
      </c>
      <c r="X1181" s="126">
        <f t="shared" si="130"/>
        <v>590.36541204872162</v>
      </c>
      <c r="Y1181" s="128" t="s">
        <v>1536</v>
      </c>
      <c r="Z1181" s="119" t="s">
        <v>35</v>
      </c>
      <c r="AA1181" s="119" t="s">
        <v>35</v>
      </c>
      <c r="AB1181" s="119" t="s">
        <v>1537</v>
      </c>
      <c r="AC1181" s="119">
        <v>0</v>
      </c>
      <c r="AD1181" s="119">
        <v>1</v>
      </c>
      <c r="AE1181" s="119" t="s">
        <v>1628</v>
      </c>
      <c r="AF1181" s="119" t="s">
        <v>35</v>
      </c>
      <c r="AG1181" s="119" t="s">
        <v>38</v>
      </c>
      <c r="AH1181" s="119" t="s">
        <v>92</v>
      </c>
    </row>
    <row r="1182" spans="1:34" x14ac:dyDescent="0.3">
      <c r="A1182" s="107" t="s">
        <v>1537</v>
      </c>
      <c r="B1182" s="108" t="s">
        <v>1542</v>
      </c>
      <c r="C1182" s="108" t="s">
        <v>1543</v>
      </c>
      <c r="D1182" s="109">
        <v>45099</v>
      </c>
      <c r="E1182" s="110">
        <v>179900</v>
      </c>
      <c r="F1182" s="108" t="s">
        <v>32</v>
      </c>
      <c r="G1182" s="108" t="s">
        <v>33</v>
      </c>
      <c r="H1182" s="110">
        <v>179900</v>
      </c>
      <c r="I1182" s="110">
        <v>77500</v>
      </c>
      <c r="J1182" s="111">
        <f t="shared" si="131"/>
        <v>43.079488604780437</v>
      </c>
      <c r="K1182" s="110">
        <v>185965</v>
      </c>
      <c r="L1182" s="110">
        <f>H1182-172466</f>
        <v>7434</v>
      </c>
      <c r="M1182" s="110">
        <v>13499</v>
      </c>
      <c r="N1182" s="112">
        <f t="shared" si="132"/>
        <v>7.5036131183991106E-2</v>
      </c>
      <c r="O1182" s="113">
        <v>64.28</v>
      </c>
      <c r="P1182" s="114">
        <v>132</v>
      </c>
      <c r="Q1182" s="115">
        <v>0.182</v>
      </c>
      <c r="R1182" s="115">
        <v>0.182</v>
      </c>
      <c r="S1182" s="110">
        <f t="shared" si="133"/>
        <v>115.6502800248911</v>
      </c>
      <c r="T1182" s="110">
        <f t="shared" si="134"/>
        <v>40846.153846153844</v>
      </c>
      <c r="U1182" s="116">
        <f t="shared" si="135"/>
        <v>0.9376986649713922</v>
      </c>
      <c r="V1182" s="115">
        <v>60</v>
      </c>
      <c r="W1182" s="115">
        <f t="shared" si="136"/>
        <v>35980</v>
      </c>
      <c r="X1182" s="115">
        <f t="shared" si="130"/>
        <v>599.66666666666663</v>
      </c>
      <c r="Y1182" s="117" t="s">
        <v>1536</v>
      </c>
      <c r="Z1182" s="108" t="s">
        <v>35</v>
      </c>
      <c r="AA1182" s="108" t="s">
        <v>35</v>
      </c>
      <c r="AB1182" s="108" t="s">
        <v>1537</v>
      </c>
      <c r="AC1182" s="108">
        <v>0</v>
      </c>
      <c r="AD1182" s="108">
        <v>1</v>
      </c>
      <c r="AE1182" s="108" t="s">
        <v>42</v>
      </c>
      <c r="AF1182" s="108" t="s">
        <v>43</v>
      </c>
      <c r="AG1182" s="108" t="s">
        <v>38</v>
      </c>
      <c r="AH1182" s="108" t="s">
        <v>92</v>
      </c>
    </row>
    <row r="1183" spans="1:34" x14ac:dyDescent="0.3">
      <c r="A1183" s="107" t="s">
        <v>1537</v>
      </c>
      <c r="B1183" s="108" t="s">
        <v>1584</v>
      </c>
      <c r="C1183" s="108" t="s">
        <v>1585</v>
      </c>
      <c r="D1183" s="109">
        <v>45243</v>
      </c>
      <c r="E1183" s="110">
        <v>174000</v>
      </c>
      <c r="F1183" s="108" t="s">
        <v>32</v>
      </c>
      <c r="G1183" s="108" t="s">
        <v>33</v>
      </c>
      <c r="H1183" s="110">
        <v>174000</v>
      </c>
      <c r="I1183" s="110">
        <v>76500</v>
      </c>
      <c r="J1183" s="111">
        <f t="shared" si="131"/>
        <v>43.96551724137931</v>
      </c>
      <c r="K1183" s="110">
        <v>186090</v>
      </c>
      <c r="L1183" s="110">
        <f>H1183-174212</f>
        <v>-212</v>
      </c>
      <c r="M1183" s="110">
        <v>11878</v>
      </c>
      <c r="N1183" s="112">
        <f t="shared" si="132"/>
        <v>6.826436781609195E-2</v>
      </c>
      <c r="O1183" s="113">
        <v>56.56</v>
      </c>
      <c r="P1183" s="114">
        <v>139.77000000000001</v>
      </c>
      <c r="Q1183" s="115">
        <v>0.154</v>
      </c>
      <c r="R1183" s="115">
        <v>0.154</v>
      </c>
      <c r="S1183" s="110">
        <f t="shared" si="133"/>
        <v>-3.7482319660537482</v>
      </c>
      <c r="T1183" s="110">
        <f t="shared" si="134"/>
        <v>-1376.6233766233765</v>
      </c>
      <c r="U1183" s="116">
        <f t="shared" si="135"/>
        <v>-3.1602924164907634E-2</v>
      </c>
      <c r="V1183" s="115">
        <v>58</v>
      </c>
      <c r="W1183" s="115">
        <f t="shared" si="136"/>
        <v>34800</v>
      </c>
      <c r="X1183" s="115">
        <f t="shared" si="130"/>
        <v>600</v>
      </c>
      <c r="Y1183" s="117" t="s">
        <v>1536</v>
      </c>
      <c r="Z1183" s="108" t="s">
        <v>35</v>
      </c>
      <c r="AA1183" s="108" t="s">
        <v>35</v>
      </c>
      <c r="AB1183" s="108" t="s">
        <v>1537</v>
      </c>
      <c r="AC1183" s="108">
        <v>0</v>
      </c>
      <c r="AD1183" s="108">
        <v>1</v>
      </c>
      <c r="AE1183" s="108" t="s">
        <v>42</v>
      </c>
      <c r="AF1183" s="108" t="s">
        <v>43</v>
      </c>
      <c r="AG1183" s="108" t="s">
        <v>38</v>
      </c>
      <c r="AH1183" s="108" t="s">
        <v>92</v>
      </c>
    </row>
    <row r="1184" spans="1:34" x14ac:dyDescent="0.3">
      <c r="A1184" s="118" t="s">
        <v>1537</v>
      </c>
      <c r="B1184" s="119" t="s">
        <v>1580</v>
      </c>
      <c r="C1184" s="119" t="s">
        <v>1581</v>
      </c>
      <c r="D1184" s="120">
        <v>45695</v>
      </c>
      <c r="E1184" s="121">
        <v>180000</v>
      </c>
      <c r="F1184" s="119" t="s">
        <v>32</v>
      </c>
      <c r="G1184" s="119" t="s">
        <v>33</v>
      </c>
      <c r="H1184" s="121">
        <v>180000</v>
      </c>
      <c r="I1184" s="121">
        <v>91900</v>
      </c>
      <c r="J1184" s="122">
        <f t="shared" si="131"/>
        <v>51.055555555555557</v>
      </c>
      <c r="K1184" s="121">
        <v>196814</v>
      </c>
      <c r="L1184" s="121">
        <f>H1184-181219</f>
        <v>-1219</v>
      </c>
      <c r="M1184" s="121">
        <v>15595</v>
      </c>
      <c r="N1184" s="123">
        <f t="shared" si="132"/>
        <v>8.663888888888889E-2</v>
      </c>
      <c r="O1184" s="124">
        <v>74.260000000000005</v>
      </c>
      <c r="P1184" s="125">
        <v>122.81</v>
      </c>
      <c r="Q1184" s="126">
        <v>0.219</v>
      </c>
      <c r="R1184" s="126">
        <v>0.219</v>
      </c>
      <c r="S1184" s="121">
        <f t="shared" si="133"/>
        <v>-16.415297603016427</v>
      </c>
      <c r="T1184" s="121">
        <f t="shared" si="134"/>
        <v>-5566.2100456621001</v>
      </c>
      <c r="U1184" s="127">
        <f t="shared" si="135"/>
        <v>-0.12778259976267448</v>
      </c>
      <c r="V1184" s="126">
        <v>60</v>
      </c>
      <c r="W1184" s="126">
        <f t="shared" si="136"/>
        <v>36000</v>
      </c>
      <c r="X1184" s="126">
        <f t="shared" si="130"/>
        <v>600</v>
      </c>
      <c r="Y1184" s="128" t="s">
        <v>1536</v>
      </c>
      <c r="Z1184" s="119" t="s">
        <v>35</v>
      </c>
      <c r="AA1184" s="119" t="s">
        <v>35</v>
      </c>
      <c r="AB1184" s="119" t="s">
        <v>1537</v>
      </c>
      <c r="AC1184" s="119">
        <v>0</v>
      </c>
      <c r="AD1184" s="119">
        <v>1</v>
      </c>
      <c r="AE1184" s="119" t="s">
        <v>37</v>
      </c>
      <c r="AF1184" s="119" t="s">
        <v>35</v>
      </c>
      <c r="AG1184" s="119" t="s">
        <v>38</v>
      </c>
      <c r="AH1184" s="119" t="s">
        <v>92</v>
      </c>
    </row>
    <row r="1185" spans="1:34" x14ac:dyDescent="0.3">
      <c r="A1185" s="118" t="s">
        <v>1537</v>
      </c>
      <c r="B1185" s="119" t="s">
        <v>1618</v>
      </c>
      <c r="C1185" s="119" t="s">
        <v>1619</v>
      </c>
      <c r="D1185" s="120">
        <v>45702</v>
      </c>
      <c r="E1185" s="121">
        <v>240000</v>
      </c>
      <c r="F1185" s="119" t="s">
        <v>32</v>
      </c>
      <c r="G1185" s="119" t="s">
        <v>33</v>
      </c>
      <c r="H1185" s="121">
        <v>240000</v>
      </c>
      <c r="I1185" s="121">
        <v>89800</v>
      </c>
      <c r="J1185" s="122">
        <f t="shared" si="131"/>
        <v>37.416666666666664</v>
      </c>
      <c r="K1185" s="121">
        <v>189512</v>
      </c>
      <c r="L1185" s="121">
        <f>H1185-172899</f>
        <v>67101</v>
      </c>
      <c r="M1185" s="121">
        <v>16613</v>
      </c>
      <c r="N1185" s="123">
        <f t="shared" si="132"/>
        <v>6.9220833333333329E-2</v>
      </c>
      <c r="O1185" s="124">
        <v>79.11</v>
      </c>
      <c r="P1185" s="125">
        <v>100.01</v>
      </c>
      <c r="Q1185" s="126">
        <v>0.20200000000000001</v>
      </c>
      <c r="R1185" s="126">
        <v>0.20200000000000001</v>
      </c>
      <c r="S1185" s="121">
        <f t="shared" si="133"/>
        <v>848.19871065604855</v>
      </c>
      <c r="T1185" s="121">
        <f t="shared" si="134"/>
        <v>332183.16831683164</v>
      </c>
      <c r="U1185" s="127">
        <f t="shared" si="135"/>
        <v>7.625876223986034</v>
      </c>
      <c r="V1185" s="126">
        <v>78.400000000000006</v>
      </c>
      <c r="W1185" s="126">
        <f t="shared" si="136"/>
        <v>48000</v>
      </c>
      <c r="X1185" s="126">
        <f t="shared" si="130"/>
        <v>612.24489795918362</v>
      </c>
      <c r="Y1185" s="128" t="s">
        <v>1536</v>
      </c>
      <c r="Z1185" s="119" t="s">
        <v>35</v>
      </c>
      <c r="AA1185" s="119" t="s">
        <v>35</v>
      </c>
      <c r="AB1185" s="119" t="s">
        <v>1537</v>
      </c>
      <c r="AC1185" s="119">
        <v>0</v>
      </c>
      <c r="AD1185" s="119">
        <v>1</v>
      </c>
      <c r="AE1185" s="119" t="s">
        <v>42</v>
      </c>
      <c r="AF1185" s="119" t="s">
        <v>35</v>
      </c>
      <c r="AG1185" s="119" t="s">
        <v>38</v>
      </c>
      <c r="AH1185" s="119" t="s">
        <v>92</v>
      </c>
    </row>
    <row r="1186" spans="1:34" x14ac:dyDescent="0.3">
      <c r="A1186" s="107" t="s">
        <v>1537</v>
      </c>
      <c r="B1186" s="108" t="s">
        <v>1586</v>
      </c>
      <c r="C1186" s="108" t="s">
        <v>1587</v>
      </c>
      <c r="D1186" s="109">
        <v>45369</v>
      </c>
      <c r="E1186" s="110">
        <v>159900</v>
      </c>
      <c r="F1186" s="108" t="s">
        <v>32</v>
      </c>
      <c r="G1186" s="108" t="s">
        <v>33</v>
      </c>
      <c r="H1186" s="110">
        <v>159900</v>
      </c>
      <c r="I1186" s="110">
        <v>68100</v>
      </c>
      <c r="J1186" s="111">
        <f t="shared" si="131"/>
        <v>42.589118198874296</v>
      </c>
      <c r="K1186" s="110">
        <v>166306</v>
      </c>
      <c r="L1186" s="110">
        <f>H1186-155939</f>
        <v>3961</v>
      </c>
      <c r="M1186" s="110">
        <v>10367</v>
      </c>
      <c r="N1186" s="112">
        <f t="shared" si="132"/>
        <v>6.4834271419637268E-2</v>
      </c>
      <c r="O1186" s="113">
        <v>49.36</v>
      </c>
      <c r="P1186" s="114">
        <v>109.87</v>
      </c>
      <c r="Q1186" s="115">
        <v>0.127</v>
      </c>
      <c r="R1186" s="115">
        <v>0.127</v>
      </c>
      <c r="S1186" s="110">
        <f t="shared" si="133"/>
        <v>80.247163695299832</v>
      </c>
      <c r="T1186" s="110">
        <f t="shared" si="134"/>
        <v>31188.976377952757</v>
      </c>
      <c r="U1186" s="116">
        <f t="shared" si="135"/>
        <v>0.71600037598605959</v>
      </c>
      <c r="V1186" s="115">
        <v>51</v>
      </c>
      <c r="W1186" s="115">
        <f t="shared" si="136"/>
        <v>31980</v>
      </c>
      <c r="X1186" s="115">
        <f t="shared" si="130"/>
        <v>627.05882352941171</v>
      </c>
      <c r="Y1186" s="117" t="s">
        <v>1536</v>
      </c>
      <c r="Z1186" s="108" t="s">
        <v>35</v>
      </c>
      <c r="AA1186" s="108" t="s">
        <v>35</v>
      </c>
      <c r="AB1186" s="108" t="s">
        <v>1537</v>
      </c>
      <c r="AC1186" s="108">
        <v>0</v>
      </c>
      <c r="AD1186" s="108">
        <v>1</v>
      </c>
      <c r="AE1186" s="108" t="s">
        <v>37</v>
      </c>
      <c r="AF1186" s="108" t="s">
        <v>43</v>
      </c>
      <c r="AG1186" s="108" t="s">
        <v>38</v>
      </c>
      <c r="AH1186" s="108" t="s">
        <v>92</v>
      </c>
    </row>
    <row r="1187" spans="1:34" x14ac:dyDescent="0.3">
      <c r="A1187" s="118" t="s">
        <v>1537</v>
      </c>
      <c r="B1187" s="119" t="s">
        <v>1713</v>
      </c>
      <c r="C1187" s="119" t="s">
        <v>1714</v>
      </c>
      <c r="D1187" s="120">
        <v>45320</v>
      </c>
      <c r="E1187" s="121">
        <v>207000</v>
      </c>
      <c r="F1187" s="119" t="s">
        <v>32</v>
      </c>
      <c r="G1187" s="119" t="s">
        <v>33</v>
      </c>
      <c r="H1187" s="121">
        <v>207000</v>
      </c>
      <c r="I1187" s="121">
        <v>89800</v>
      </c>
      <c r="J1187" s="122">
        <f t="shared" si="131"/>
        <v>43.381642512077292</v>
      </c>
      <c r="K1187" s="121">
        <v>212584</v>
      </c>
      <c r="L1187" s="121">
        <f>H1187-199601</f>
        <v>7399</v>
      </c>
      <c r="M1187" s="121">
        <v>12983</v>
      </c>
      <c r="N1187" s="123">
        <f t="shared" si="132"/>
        <v>6.2719806763285021E-2</v>
      </c>
      <c r="O1187" s="124">
        <v>61.82</v>
      </c>
      <c r="P1187" s="125">
        <v>118.13</v>
      </c>
      <c r="Q1187" s="126">
        <v>0.16500000000000001</v>
      </c>
      <c r="R1187" s="126">
        <v>0.16500000000000001</v>
      </c>
      <c r="S1187" s="121">
        <f t="shared" si="133"/>
        <v>119.68618570042058</v>
      </c>
      <c r="T1187" s="121">
        <f t="shared" si="134"/>
        <v>44842.42424242424</v>
      </c>
      <c r="U1187" s="127">
        <f t="shared" si="135"/>
        <v>1.0294404096056988</v>
      </c>
      <c r="V1187" s="126">
        <v>61</v>
      </c>
      <c r="W1187" s="126">
        <f t="shared" si="136"/>
        <v>41400</v>
      </c>
      <c r="X1187" s="126">
        <f t="shared" si="130"/>
        <v>678.68852459016398</v>
      </c>
      <c r="Y1187" s="128" t="s">
        <v>1536</v>
      </c>
      <c r="Z1187" s="119" t="s">
        <v>35</v>
      </c>
      <c r="AA1187" s="119" t="s">
        <v>35</v>
      </c>
      <c r="AB1187" s="119" t="s">
        <v>1537</v>
      </c>
      <c r="AC1187" s="119">
        <v>0</v>
      </c>
      <c r="AD1187" s="119">
        <v>1</v>
      </c>
      <c r="AE1187" s="119" t="s">
        <v>42</v>
      </c>
      <c r="AF1187" s="119" t="s">
        <v>43</v>
      </c>
      <c r="AG1187" s="119" t="s">
        <v>38</v>
      </c>
      <c r="AH1187" s="119" t="s">
        <v>92</v>
      </c>
    </row>
    <row r="1188" spans="1:34" x14ac:dyDescent="0.3">
      <c r="A1188" s="107" t="s">
        <v>1537</v>
      </c>
      <c r="B1188" s="108" t="s">
        <v>1693</v>
      </c>
      <c r="C1188" s="108" t="s">
        <v>1694</v>
      </c>
      <c r="D1188" s="109">
        <v>45399</v>
      </c>
      <c r="E1188" s="110">
        <v>240000</v>
      </c>
      <c r="F1188" s="108" t="s">
        <v>32</v>
      </c>
      <c r="G1188" s="108" t="s">
        <v>33</v>
      </c>
      <c r="H1188" s="110">
        <v>240000</v>
      </c>
      <c r="I1188" s="110">
        <v>102000</v>
      </c>
      <c r="J1188" s="111">
        <f t="shared" si="131"/>
        <v>42.5</v>
      </c>
      <c r="K1188" s="110">
        <v>212813</v>
      </c>
      <c r="L1188" s="110">
        <f>H1188-197434</f>
        <v>42566</v>
      </c>
      <c r="M1188" s="110">
        <v>15379</v>
      </c>
      <c r="N1188" s="112">
        <f t="shared" si="132"/>
        <v>6.4079166666666673E-2</v>
      </c>
      <c r="O1188" s="113">
        <v>73.23</v>
      </c>
      <c r="P1188" s="114">
        <v>125.85</v>
      </c>
      <c r="Q1188" s="115">
        <v>0.20200000000000001</v>
      </c>
      <c r="R1188" s="115">
        <v>0.20200000000000001</v>
      </c>
      <c r="S1188" s="110">
        <f t="shared" si="133"/>
        <v>581.26450908097775</v>
      </c>
      <c r="T1188" s="110">
        <f t="shared" si="134"/>
        <v>210722.77227722772</v>
      </c>
      <c r="U1188" s="116">
        <f t="shared" si="135"/>
        <v>4.8375292074662015</v>
      </c>
      <c r="V1188" s="115">
        <v>70</v>
      </c>
      <c r="W1188" s="115">
        <f t="shared" si="136"/>
        <v>48000</v>
      </c>
      <c r="X1188" s="115">
        <f t="shared" si="130"/>
        <v>685.71428571428567</v>
      </c>
      <c r="Y1188" s="117" t="s">
        <v>1536</v>
      </c>
      <c r="Z1188" s="108" t="s">
        <v>35</v>
      </c>
      <c r="AA1188" s="108" t="s">
        <v>35</v>
      </c>
      <c r="AB1188" s="108" t="s">
        <v>1537</v>
      </c>
      <c r="AC1188" s="108">
        <v>0</v>
      </c>
      <c r="AD1188" s="108">
        <v>1</v>
      </c>
      <c r="AE1188" s="108" t="s">
        <v>37</v>
      </c>
      <c r="AF1188" s="108" t="s">
        <v>43</v>
      </c>
      <c r="AG1188" s="108" t="s">
        <v>38</v>
      </c>
      <c r="AH1188" s="108" t="s">
        <v>92</v>
      </c>
    </row>
    <row r="1189" spans="1:34" x14ac:dyDescent="0.3">
      <c r="A1189" s="118" t="s">
        <v>1537</v>
      </c>
      <c r="B1189" s="119" t="s">
        <v>1590</v>
      </c>
      <c r="C1189" s="119" t="s">
        <v>1591</v>
      </c>
      <c r="D1189" s="120">
        <v>45450</v>
      </c>
      <c r="E1189" s="121">
        <v>173000</v>
      </c>
      <c r="F1189" s="119" t="s">
        <v>32</v>
      </c>
      <c r="G1189" s="119" t="s">
        <v>33</v>
      </c>
      <c r="H1189" s="121">
        <v>173000</v>
      </c>
      <c r="I1189" s="121">
        <v>84000</v>
      </c>
      <c r="J1189" s="122">
        <f t="shared" si="131"/>
        <v>48.554913294797686</v>
      </c>
      <c r="K1189" s="121">
        <v>179840</v>
      </c>
      <c r="L1189" s="121">
        <f>H1189-168033</f>
        <v>4967</v>
      </c>
      <c r="M1189" s="121">
        <v>11807</v>
      </c>
      <c r="N1189" s="123">
        <f t="shared" si="132"/>
        <v>6.8248554913294804E-2</v>
      </c>
      <c r="O1189" s="124">
        <v>56.22</v>
      </c>
      <c r="P1189" s="125">
        <v>144.97999999999999</v>
      </c>
      <c r="Q1189" s="126">
        <v>0.16700000000000001</v>
      </c>
      <c r="R1189" s="126">
        <v>0.16700000000000001</v>
      </c>
      <c r="S1189" s="121">
        <f t="shared" si="133"/>
        <v>88.349341871220204</v>
      </c>
      <c r="T1189" s="121">
        <f t="shared" si="134"/>
        <v>29742.514970059878</v>
      </c>
      <c r="U1189" s="127">
        <f t="shared" si="135"/>
        <v>0.68279419123186125</v>
      </c>
      <c r="V1189" s="126">
        <v>50</v>
      </c>
      <c r="W1189" s="126">
        <f t="shared" si="136"/>
        <v>34600</v>
      </c>
      <c r="X1189" s="126">
        <f t="shared" si="130"/>
        <v>692</v>
      </c>
      <c r="Y1189" s="128" t="s">
        <v>1536</v>
      </c>
      <c r="Z1189" s="119" t="s">
        <v>35</v>
      </c>
      <c r="AA1189" s="119" t="s">
        <v>35</v>
      </c>
      <c r="AB1189" s="119" t="s">
        <v>1537</v>
      </c>
      <c r="AC1189" s="119">
        <v>0</v>
      </c>
      <c r="AD1189" s="119">
        <v>1</v>
      </c>
      <c r="AE1189" s="119" t="s">
        <v>42</v>
      </c>
      <c r="AF1189" s="119" t="s">
        <v>43</v>
      </c>
      <c r="AG1189" s="119" t="s">
        <v>38</v>
      </c>
      <c r="AH1189" s="119" t="s">
        <v>92</v>
      </c>
    </row>
    <row r="1190" spans="1:34" x14ac:dyDescent="0.3">
      <c r="A1190" s="118" t="s">
        <v>1537</v>
      </c>
      <c r="B1190" s="119" t="s">
        <v>1711</v>
      </c>
      <c r="C1190" s="119" t="s">
        <v>1712</v>
      </c>
      <c r="D1190" s="120">
        <v>45551</v>
      </c>
      <c r="E1190" s="121">
        <v>227000</v>
      </c>
      <c r="F1190" s="119" t="s">
        <v>32</v>
      </c>
      <c r="G1190" s="119" t="s">
        <v>33</v>
      </c>
      <c r="H1190" s="121">
        <v>227000</v>
      </c>
      <c r="I1190" s="121">
        <v>91600</v>
      </c>
      <c r="J1190" s="122">
        <f t="shared" si="131"/>
        <v>40.352422907488986</v>
      </c>
      <c r="K1190" s="121">
        <v>189663</v>
      </c>
      <c r="L1190" s="121">
        <f>H1190-176121</f>
        <v>50879</v>
      </c>
      <c r="M1190" s="121">
        <v>13542</v>
      </c>
      <c r="N1190" s="123">
        <f t="shared" si="132"/>
        <v>5.9656387665198235E-2</v>
      </c>
      <c r="O1190" s="124">
        <v>64.48</v>
      </c>
      <c r="P1190" s="125">
        <v>116.76</v>
      </c>
      <c r="Q1190" s="126">
        <v>0.17199999999999999</v>
      </c>
      <c r="R1190" s="126">
        <v>0.17199999999999999</v>
      </c>
      <c r="S1190" s="121">
        <f t="shared" si="133"/>
        <v>789.06637717121578</v>
      </c>
      <c r="T1190" s="121">
        <f t="shared" si="134"/>
        <v>295808.13953488372</v>
      </c>
      <c r="U1190" s="127">
        <f t="shared" si="135"/>
        <v>6.7908204668246954</v>
      </c>
      <c r="V1190" s="126">
        <v>64</v>
      </c>
      <c r="W1190" s="126">
        <f t="shared" si="136"/>
        <v>45400</v>
      </c>
      <c r="X1190" s="126">
        <f t="shared" si="130"/>
        <v>709.375</v>
      </c>
      <c r="Y1190" s="128" t="s">
        <v>1536</v>
      </c>
      <c r="Z1190" s="119" t="s">
        <v>35</v>
      </c>
      <c r="AA1190" s="119" t="s">
        <v>35</v>
      </c>
      <c r="AB1190" s="119" t="s">
        <v>1537</v>
      </c>
      <c r="AC1190" s="119">
        <v>0</v>
      </c>
      <c r="AD1190" s="119">
        <v>1</v>
      </c>
      <c r="AE1190" s="119" t="s">
        <v>42</v>
      </c>
      <c r="AF1190" s="119" t="s">
        <v>43</v>
      </c>
      <c r="AG1190" s="119" t="s">
        <v>38</v>
      </c>
      <c r="AH1190" s="119" t="s">
        <v>92</v>
      </c>
    </row>
    <row r="1191" spans="1:34" x14ac:dyDescent="0.3">
      <c r="A1191" s="107" t="s">
        <v>1537</v>
      </c>
      <c r="B1191" s="108" t="s">
        <v>1548</v>
      </c>
      <c r="C1191" s="108" t="s">
        <v>1549</v>
      </c>
      <c r="D1191" s="109">
        <v>45019</v>
      </c>
      <c r="E1191" s="110">
        <v>185000</v>
      </c>
      <c r="F1191" s="108" t="s">
        <v>32</v>
      </c>
      <c r="G1191" s="108" t="s">
        <v>33</v>
      </c>
      <c r="H1191" s="110">
        <v>185000</v>
      </c>
      <c r="I1191" s="110">
        <v>72500</v>
      </c>
      <c r="J1191" s="111">
        <f t="shared" si="131"/>
        <v>39.189189189189186</v>
      </c>
      <c r="K1191" s="110">
        <v>176083</v>
      </c>
      <c r="L1191" s="110">
        <f>H1191-164384</f>
        <v>20616</v>
      </c>
      <c r="M1191" s="110">
        <v>11699</v>
      </c>
      <c r="N1191" s="112">
        <f t="shared" si="132"/>
        <v>6.3237837837837832E-2</v>
      </c>
      <c r="O1191" s="113">
        <v>55.71</v>
      </c>
      <c r="P1191" s="114">
        <v>132</v>
      </c>
      <c r="Q1191" s="115">
        <v>0.158</v>
      </c>
      <c r="R1191" s="115">
        <v>0.158</v>
      </c>
      <c r="S1191" s="110">
        <f t="shared" si="133"/>
        <v>370.0592353257943</v>
      </c>
      <c r="T1191" s="110">
        <f t="shared" si="134"/>
        <v>130481.01265822785</v>
      </c>
      <c r="U1191" s="116">
        <f t="shared" si="135"/>
        <v>2.9954318792063326</v>
      </c>
      <c r="V1191" s="115">
        <v>52</v>
      </c>
      <c r="W1191" s="115">
        <f t="shared" si="136"/>
        <v>37000</v>
      </c>
      <c r="X1191" s="115">
        <f t="shared" si="130"/>
        <v>711.53846153846155</v>
      </c>
      <c r="Y1191" s="117" t="s">
        <v>1536</v>
      </c>
      <c r="Z1191" s="108" t="s">
        <v>35</v>
      </c>
      <c r="AA1191" s="108" t="s">
        <v>35</v>
      </c>
      <c r="AB1191" s="108" t="s">
        <v>1537</v>
      </c>
      <c r="AC1191" s="108">
        <v>0</v>
      </c>
      <c r="AD1191" s="108">
        <v>1</v>
      </c>
      <c r="AE1191" s="108" t="s">
        <v>42</v>
      </c>
      <c r="AF1191" s="108" t="s">
        <v>43</v>
      </c>
      <c r="AG1191" s="108" t="s">
        <v>38</v>
      </c>
      <c r="AH1191" s="108" t="s">
        <v>92</v>
      </c>
    </row>
    <row r="1192" spans="1:34" x14ac:dyDescent="0.3">
      <c r="A1192" s="107" t="s">
        <v>1537</v>
      </c>
      <c r="B1192" s="108" t="s">
        <v>1668</v>
      </c>
      <c r="C1192" s="108" t="s">
        <v>1669</v>
      </c>
      <c r="D1192" s="109">
        <v>45289</v>
      </c>
      <c r="E1192" s="110">
        <v>180000</v>
      </c>
      <c r="F1192" s="108" t="s">
        <v>32</v>
      </c>
      <c r="G1192" s="108" t="s">
        <v>33</v>
      </c>
      <c r="H1192" s="110">
        <v>180000</v>
      </c>
      <c r="I1192" s="110">
        <v>78700</v>
      </c>
      <c r="J1192" s="111">
        <f t="shared" si="131"/>
        <v>43.722222222222221</v>
      </c>
      <c r="K1192" s="110">
        <v>191025</v>
      </c>
      <c r="L1192" s="110">
        <f>H1192-180525</f>
        <v>-525</v>
      </c>
      <c r="M1192" s="110">
        <v>10500</v>
      </c>
      <c r="N1192" s="112">
        <f t="shared" si="132"/>
        <v>5.8333333333333334E-2</v>
      </c>
      <c r="O1192" s="113">
        <v>50</v>
      </c>
      <c r="P1192" s="114">
        <v>115</v>
      </c>
      <c r="Q1192" s="115">
        <v>0.13200000000000001</v>
      </c>
      <c r="R1192" s="115">
        <v>0.13200000000000001</v>
      </c>
      <c r="S1192" s="110">
        <f t="shared" si="133"/>
        <v>-10.5</v>
      </c>
      <c r="T1192" s="110">
        <f t="shared" si="134"/>
        <v>-3977.272727272727</v>
      </c>
      <c r="U1192" s="116">
        <f t="shared" si="135"/>
        <v>-9.1305618165122296E-2</v>
      </c>
      <c r="V1192" s="115">
        <v>50</v>
      </c>
      <c r="W1192" s="115">
        <f t="shared" si="136"/>
        <v>36000</v>
      </c>
      <c r="X1192" s="115">
        <f t="shared" si="130"/>
        <v>720</v>
      </c>
      <c r="Y1192" s="117" t="s">
        <v>1536</v>
      </c>
      <c r="Z1192" s="108" t="s">
        <v>35</v>
      </c>
      <c r="AA1192" s="108" t="s">
        <v>35</v>
      </c>
      <c r="AB1192" s="108" t="s">
        <v>1537</v>
      </c>
      <c r="AC1192" s="108">
        <v>0</v>
      </c>
      <c r="AD1192" s="108">
        <v>1</v>
      </c>
      <c r="AE1192" s="108" t="s">
        <v>42</v>
      </c>
      <c r="AF1192" s="108" t="s">
        <v>43</v>
      </c>
      <c r="AG1192" s="108" t="s">
        <v>38</v>
      </c>
      <c r="AH1192" s="108" t="s">
        <v>92</v>
      </c>
    </row>
    <row r="1193" spans="1:34" x14ac:dyDescent="0.3">
      <c r="A1193" s="118" t="s">
        <v>1537</v>
      </c>
      <c r="B1193" s="119" t="s">
        <v>1546</v>
      </c>
      <c r="C1193" s="119" t="s">
        <v>1547</v>
      </c>
      <c r="D1193" s="120">
        <v>45225</v>
      </c>
      <c r="E1193" s="121">
        <v>235000</v>
      </c>
      <c r="F1193" s="119" t="s">
        <v>32</v>
      </c>
      <c r="G1193" s="119" t="s">
        <v>33</v>
      </c>
      <c r="H1193" s="121">
        <v>235000</v>
      </c>
      <c r="I1193" s="121">
        <v>93800</v>
      </c>
      <c r="J1193" s="122">
        <f t="shared" si="131"/>
        <v>39.914893617021278</v>
      </c>
      <c r="K1193" s="121">
        <v>230247</v>
      </c>
      <c r="L1193" s="121">
        <f>H1193-215623</f>
        <v>19377</v>
      </c>
      <c r="M1193" s="121">
        <v>14624</v>
      </c>
      <c r="N1193" s="123">
        <f t="shared" si="132"/>
        <v>6.2229787234042551E-2</v>
      </c>
      <c r="O1193" s="124">
        <v>69.63</v>
      </c>
      <c r="P1193" s="125">
        <v>132</v>
      </c>
      <c r="Q1193" s="126">
        <v>0.19700000000000001</v>
      </c>
      <c r="R1193" s="126">
        <v>0.19700000000000001</v>
      </c>
      <c r="S1193" s="121">
        <f t="shared" si="133"/>
        <v>278.28522188711764</v>
      </c>
      <c r="T1193" s="121">
        <f t="shared" si="134"/>
        <v>98360.406091370547</v>
      </c>
      <c r="U1193" s="127">
        <f t="shared" si="135"/>
        <v>2.2580442169736124</v>
      </c>
      <c r="V1193" s="126">
        <v>65</v>
      </c>
      <c r="W1193" s="126">
        <f t="shared" si="136"/>
        <v>47000</v>
      </c>
      <c r="X1193" s="126">
        <f t="shared" ref="X1193:X1242" si="137">W1193/V1193</f>
        <v>723.07692307692309</v>
      </c>
      <c r="Y1193" s="128" t="s">
        <v>1536</v>
      </c>
      <c r="Z1193" s="119" t="s">
        <v>35</v>
      </c>
      <c r="AA1193" s="119" t="s">
        <v>35</v>
      </c>
      <c r="AB1193" s="119" t="s">
        <v>1537</v>
      </c>
      <c r="AC1193" s="119">
        <v>0</v>
      </c>
      <c r="AD1193" s="119">
        <v>1</v>
      </c>
      <c r="AE1193" s="119" t="s">
        <v>37</v>
      </c>
      <c r="AF1193" s="119" t="s">
        <v>43</v>
      </c>
      <c r="AG1193" s="119" t="s">
        <v>38</v>
      </c>
      <c r="AH1193" s="119" t="s">
        <v>92</v>
      </c>
    </row>
    <row r="1194" spans="1:34" x14ac:dyDescent="0.3">
      <c r="A1194" s="107" t="s">
        <v>1537</v>
      </c>
      <c r="B1194" s="108" t="s">
        <v>1556</v>
      </c>
      <c r="C1194" s="108" t="s">
        <v>1557</v>
      </c>
      <c r="D1194" s="109">
        <v>45621</v>
      </c>
      <c r="E1194" s="110">
        <v>232500</v>
      </c>
      <c r="F1194" s="108" t="s">
        <v>32</v>
      </c>
      <c r="G1194" s="108" t="s">
        <v>33</v>
      </c>
      <c r="H1194" s="110">
        <v>232500</v>
      </c>
      <c r="I1194" s="110">
        <v>116400</v>
      </c>
      <c r="J1194" s="111">
        <f t="shared" si="131"/>
        <v>50.064516129032256</v>
      </c>
      <c r="K1194" s="110">
        <v>239765</v>
      </c>
      <c r="L1194" s="110">
        <f>H1194-226509</f>
        <v>5991</v>
      </c>
      <c r="M1194" s="110">
        <v>13256</v>
      </c>
      <c r="N1194" s="112">
        <f t="shared" si="132"/>
        <v>5.7015053763440862E-2</v>
      </c>
      <c r="O1194" s="113">
        <v>63.12</v>
      </c>
      <c r="P1194" s="114">
        <v>114</v>
      </c>
      <c r="Q1194" s="115">
        <v>0.16600000000000001</v>
      </c>
      <c r="R1194" s="115">
        <v>0.16600000000000001</v>
      </c>
      <c r="S1194" s="110">
        <f t="shared" si="133"/>
        <v>94.914448669201519</v>
      </c>
      <c r="T1194" s="110">
        <f t="shared" si="134"/>
        <v>36090.361445783128</v>
      </c>
      <c r="U1194" s="116">
        <f t="shared" si="135"/>
        <v>0.82852069434763842</v>
      </c>
      <c r="V1194" s="115">
        <v>63.4</v>
      </c>
      <c r="W1194" s="115">
        <f t="shared" si="136"/>
        <v>46500</v>
      </c>
      <c r="X1194" s="115">
        <f t="shared" si="137"/>
        <v>733.43848580441647</v>
      </c>
      <c r="Y1194" s="117" t="s">
        <v>1536</v>
      </c>
      <c r="Z1194" s="108" t="s">
        <v>35</v>
      </c>
      <c r="AA1194" s="108" t="s">
        <v>35</v>
      </c>
      <c r="AB1194" s="108" t="s">
        <v>1537</v>
      </c>
      <c r="AC1194" s="108">
        <v>0</v>
      </c>
      <c r="AD1194" s="108">
        <v>0</v>
      </c>
      <c r="AE1194" s="108" t="s">
        <v>42</v>
      </c>
      <c r="AF1194" s="108" t="s">
        <v>35</v>
      </c>
      <c r="AG1194" s="108" t="s">
        <v>38</v>
      </c>
      <c r="AH1194" s="108" t="s">
        <v>92</v>
      </c>
    </row>
    <row r="1195" spans="1:34" x14ac:dyDescent="0.3">
      <c r="A1195" s="118" t="s">
        <v>1537</v>
      </c>
      <c r="B1195" s="119" t="s">
        <v>1582</v>
      </c>
      <c r="C1195" s="119" t="s">
        <v>1583</v>
      </c>
      <c r="D1195" s="120">
        <v>45100</v>
      </c>
      <c r="E1195" s="121">
        <v>203000</v>
      </c>
      <c r="F1195" s="119" t="s">
        <v>32</v>
      </c>
      <c r="G1195" s="119" t="s">
        <v>33</v>
      </c>
      <c r="H1195" s="121">
        <v>203000</v>
      </c>
      <c r="I1195" s="121">
        <v>83300</v>
      </c>
      <c r="J1195" s="122">
        <f t="shared" si="131"/>
        <v>41.03448275862069</v>
      </c>
      <c r="K1195" s="121">
        <v>201969</v>
      </c>
      <c r="L1195" s="121">
        <f>H1195-190673</f>
        <v>12327</v>
      </c>
      <c r="M1195" s="121">
        <v>11296</v>
      </c>
      <c r="N1195" s="123">
        <f t="shared" si="132"/>
        <v>5.5645320197044337E-2</v>
      </c>
      <c r="O1195" s="124">
        <v>53.79</v>
      </c>
      <c r="P1195" s="125">
        <v>110</v>
      </c>
      <c r="Q1195" s="126">
        <v>0.13900000000000001</v>
      </c>
      <c r="R1195" s="126">
        <v>0.13900000000000001</v>
      </c>
      <c r="S1195" s="121">
        <f t="shared" si="133"/>
        <v>229.16899051868378</v>
      </c>
      <c r="T1195" s="121">
        <f t="shared" si="134"/>
        <v>88683.453237410067</v>
      </c>
      <c r="U1195" s="127">
        <f t="shared" si="135"/>
        <v>2.0358919475989454</v>
      </c>
      <c r="V1195" s="126">
        <v>55</v>
      </c>
      <c r="W1195" s="126">
        <f t="shared" si="136"/>
        <v>40600</v>
      </c>
      <c r="X1195" s="126">
        <f t="shared" si="137"/>
        <v>738.18181818181813</v>
      </c>
      <c r="Y1195" s="128" t="s">
        <v>1536</v>
      </c>
      <c r="Z1195" s="119" t="s">
        <v>35</v>
      </c>
      <c r="AA1195" s="119" t="s">
        <v>35</v>
      </c>
      <c r="AB1195" s="119" t="s">
        <v>1537</v>
      </c>
      <c r="AC1195" s="119">
        <v>0</v>
      </c>
      <c r="AD1195" s="119">
        <v>1</v>
      </c>
      <c r="AE1195" s="119" t="s">
        <v>42</v>
      </c>
      <c r="AF1195" s="119" t="s">
        <v>43</v>
      </c>
      <c r="AG1195" s="119" t="s">
        <v>38</v>
      </c>
      <c r="AH1195" s="119" t="s">
        <v>92</v>
      </c>
    </row>
    <row r="1196" spans="1:34" x14ac:dyDescent="0.3">
      <c r="A1196" s="107" t="s">
        <v>1537</v>
      </c>
      <c r="B1196" s="108" t="s">
        <v>1610</v>
      </c>
      <c r="C1196" s="108" t="s">
        <v>1611</v>
      </c>
      <c r="D1196" s="109">
        <v>45700</v>
      </c>
      <c r="E1196" s="110">
        <v>185000</v>
      </c>
      <c r="F1196" s="108" t="s">
        <v>81</v>
      </c>
      <c r="G1196" s="108" t="s">
        <v>33</v>
      </c>
      <c r="H1196" s="110">
        <v>185000</v>
      </c>
      <c r="I1196" s="110">
        <v>89000</v>
      </c>
      <c r="J1196" s="111">
        <f t="shared" si="131"/>
        <v>48.108108108108112</v>
      </c>
      <c r="K1196" s="110">
        <v>190194</v>
      </c>
      <c r="L1196" s="110">
        <f>H1196-179925</f>
        <v>5075</v>
      </c>
      <c r="M1196" s="110">
        <v>10269</v>
      </c>
      <c r="N1196" s="112">
        <f t="shared" si="132"/>
        <v>5.5508108108108106E-2</v>
      </c>
      <c r="O1196" s="113">
        <v>48.9</v>
      </c>
      <c r="P1196" s="114">
        <v>110</v>
      </c>
      <c r="Q1196" s="115">
        <v>0.126</v>
      </c>
      <c r="R1196" s="115">
        <v>0.126</v>
      </c>
      <c r="S1196" s="110">
        <f t="shared" si="133"/>
        <v>103.78323108384458</v>
      </c>
      <c r="T1196" s="110">
        <f t="shared" si="134"/>
        <v>40277.777777777781</v>
      </c>
      <c r="U1196" s="116">
        <f t="shared" si="135"/>
        <v>0.92465054586266715</v>
      </c>
      <c r="V1196" s="115">
        <v>50</v>
      </c>
      <c r="W1196" s="115">
        <f t="shared" si="136"/>
        <v>37000</v>
      </c>
      <c r="X1196" s="115">
        <f t="shared" si="137"/>
        <v>740</v>
      </c>
      <c r="Y1196" s="117" t="s">
        <v>1536</v>
      </c>
      <c r="Z1196" s="108" t="s">
        <v>35</v>
      </c>
      <c r="AA1196" s="108" t="s">
        <v>35</v>
      </c>
      <c r="AB1196" s="108" t="s">
        <v>1537</v>
      </c>
      <c r="AC1196" s="108">
        <v>0</v>
      </c>
      <c r="AD1196" s="108">
        <v>1</v>
      </c>
      <c r="AE1196" s="108" t="s">
        <v>42</v>
      </c>
      <c r="AF1196" s="108" t="s">
        <v>35</v>
      </c>
      <c r="AG1196" s="108" t="s">
        <v>38</v>
      </c>
      <c r="AH1196" s="108" t="s">
        <v>92</v>
      </c>
    </row>
    <row r="1197" spans="1:34" x14ac:dyDescent="0.3">
      <c r="A1197" s="107" t="s">
        <v>1537</v>
      </c>
      <c r="B1197" s="108" t="s">
        <v>1699</v>
      </c>
      <c r="C1197" s="108" t="s">
        <v>1700</v>
      </c>
      <c r="D1197" s="109">
        <v>45028</v>
      </c>
      <c r="E1197" s="110">
        <v>224500</v>
      </c>
      <c r="F1197" s="108" t="s">
        <v>32</v>
      </c>
      <c r="G1197" s="108" t="s">
        <v>33</v>
      </c>
      <c r="H1197" s="110">
        <v>224500</v>
      </c>
      <c r="I1197" s="110">
        <v>97200</v>
      </c>
      <c r="J1197" s="111">
        <f t="shared" si="131"/>
        <v>43.29621380846325</v>
      </c>
      <c r="K1197" s="110">
        <v>227064</v>
      </c>
      <c r="L1197" s="110">
        <f>H1197-214193</f>
        <v>10307</v>
      </c>
      <c r="M1197" s="110">
        <v>12871</v>
      </c>
      <c r="N1197" s="112">
        <f t="shared" si="132"/>
        <v>5.7331848552338527E-2</v>
      </c>
      <c r="O1197" s="113">
        <v>61.29</v>
      </c>
      <c r="P1197" s="114">
        <v>120</v>
      </c>
      <c r="Q1197" s="115">
        <v>0.16500000000000001</v>
      </c>
      <c r="R1197" s="115">
        <v>0.16500000000000001</v>
      </c>
      <c r="S1197" s="110">
        <f t="shared" si="133"/>
        <v>168.16772719856419</v>
      </c>
      <c r="T1197" s="110">
        <f t="shared" si="134"/>
        <v>62466.666666666664</v>
      </c>
      <c r="U1197" s="116">
        <f t="shared" si="135"/>
        <v>1.4340373431282523</v>
      </c>
      <c r="V1197" s="115">
        <v>60</v>
      </c>
      <c r="W1197" s="115">
        <f t="shared" si="136"/>
        <v>44900</v>
      </c>
      <c r="X1197" s="115">
        <f t="shared" si="137"/>
        <v>748.33333333333337</v>
      </c>
      <c r="Y1197" s="117" t="s">
        <v>1536</v>
      </c>
      <c r="Z1197" s="108" t="s">
        <v>35</v>
      </c>
      <c r="AA1197" s="108" t="s">
        <v>35</v>
      </c>
      <c r="AB1197" s="108" t="s">
        <v>1537</v>
      </c>
      <c r="AC1197" s="108">
        <v>0</v>
      </c>
      <c r="AD1197" s="108">
        <v>1</v>
      </c>
      <c r="AE1197" s="108" t="s">
        <v>42</v>
      </c>
      <c r="AF1197" s="108" t="s">
        <v>43</v>
      </c>
      <c r="AG1197" s="108" t="s">
        <v>38</v>
      </c>
      <c r="AH1197" s="108" t="s">
        <v>92</v>
      </c>
    </row>
    <row r="1198" spans="1:34" x14ac:dyDescent="0.3">
      <c r="A1198" s="107" t="s">
        <v>1537</v>
      </c>
      <c r="B1198" s="108" t="s">
        <v>1592</v>
      </c>
      <c r="C1198" s="108" t="s">
        <v>1593</v>
      </c>
      <c r="D1198" s="109">
        <v>45245</v>
      </c>
      <c r="E1198" s="110">
        <v>190000</v>
      </c>
      <c r="F1198" s="108" t="s">
        <v>32</v>
      </c>
      <c r="G1198" s="108" t="s">
        <v>33</v>
      </c>
      <c r="H1198" s="110">
        <v>190000</v>
      </c>
      <c r="I1198" s="110">
        <v>76900</v>
      </c>
      <c r="J1198" s="111">
        <f t="shared" si="131"/>
        <v>40.473684210526315</v>
      </c>
      <c r="K1198" s="110">
        <v>187370</v>
      </c>
      <c r="L1198" s="110">
        <f>H1198-175871</f>
        <v>14129</v>
      </c>
      <c r="M1198" s="110">
        <v>11499</v>
      </c>
      <c r="N1198" s="112">
        <f t="shared" si="132"/>
        <v>6.0521052631578948E-2</v>
      </c>
      <c r="O1198" s="113">
        <v>54.75</v>
      </c>
      <c r="P1198" s="114">
        <v>137.93</v>
      </c>
      <c r="Q1198" s="115">
        <v>0.158</v>
      </c>
      <c r="R1198" s="115">
        <v>0.158</v>
      </c>
      <c r="S1198" s="110">
        <f t="shared" si="133"/>
        <v>258.06392694063925</v>
      </c>
      <c r="T1198" s="110">
        <f t="shared" si="134"/>
        <v>89424.050632911385</v>
      </c>
      <c r="U1198" s="116">
        <f t="shared" si="135"/>
        <v>2.0528937243551741</v>
      </c>
      <c r="V1198" s="115">
        <v>50</v>
      </c>
      <c r="W1198" s="115">
        <f t="shared" si="136"/>
        <v>38000</v>
      </c>
      <c r="X1198" s="115">
        <f t="shared" si="137"/>
        <v>760</v>
      </c>
      <c r="Y1198" s="117" t="s">
        <v>1536</v>
      </c>
      <c r="Z1198" s="108" t="s">
        <v>35</v>
      </c>
      <c r="AA1198" s="108" t="s">
        <v>35</v>
      </c>
      <c r="AB1198" s="108" t="s">
        <v>1537</v>
      </c>
      <c r="AC1198" s="108">
        <v>0</v>
      </c>
      <c r="AD1198" s="108">
        <v>1</v>
      </c>
      <c r="AE1198" s="108" t="s">
        <v>42</v>
      </c>
      <c r="AF1198" s="108" t="s">
        <v>43</v>
      </c>
      <c r="AG1198" s="108" t="s">
        <v>38</v>
      </c>
      <c r="AH1198" s="108" t="s">
        <v>92</v>
      </c>
    </row>
    <row r="1199" spans="1:34" x14ac:dyDescent="0.3">
      <c r="A1199" s="107" t="s">
        <v>1537</v>
      </c>
      <c r="B1199" s="108" t="s">
        <v>1662</v>
      </c>
      <c r="C1199" s="108" t="s">
        <v>1663</v>
      </c>
      <c r="D1199" s="109">
        <v>45293</v>
      </c>
      <c r="E1199" s="110">
        <v>206000</v>
      </c>
      <c r="F1199" s="108" t="s">
        <v>32</v>
      </c>
      <c r="G1199" s="108" t="s">
        <v>33</v>
      </c>
      <c r="H1199" s="110">
        <v>206000</v>
      </c>
      <c r="I1199" s="110">
        <v>75900</v>
      </c>
      <c r="J1199" s="111">
        <f t="shared" si="131"/>
        <v>36.844660194174757</v>
      </c>
      <c r="K1199" s="110">
        <v>184646</v>
      </c>
      <c r="L1199" s="110">
        <f>H1199-173516</f>
        <v>32484</v>
      </c>
      <c r="M1199" s="110">
        <v>11130</v>
      </c>
      <c r="N1199" s="112">
        <f t="shared" si="132"/>
        <v>5.4029126213592231E-2</v>
      </c>
      <c r="O1199" s="113">
        <v>53</v>
      </c>
      <c r="P1199" s="114">
        <v>115</v>
      </c>
      <c r="Q1199" s="115">
        <v>0.14000000000000001</v>
      </c>
      <c r="R1199" s="115">
        <v>0.14000000000000001</v>
      </c>
      <c r="S1199" s="110">
        <f t="shared" si="133"/>
        <v>612.90566037735846</v>
      </c>
      <c r="T1199" s="110">
        <f t="shared" si="134"/>
        <v>232028.57142857142</v>
      </c>
      <c r="U1199" s="116">
        <f t="shared" si="135"/>
        <v>5.326643053915781</v>
      </c>
      <c r="V1199" s="115">
        <v>53</v>
      </c>
      <c r="W1199" s="115">
        <f t="shared" si="136"/>
        <v>41200</v>
      </c>
      <c r="X1199" s="115">
        <f t="shared" si="137"/>
        <v>777.35849056603774</v>
      </c>
      <c r="Y1199" s="117" t="s">
        <v>1536</v>
      </c>
      <c r="Z1199" s="108" t="s">
        <v>35</v>
      </c>
      <c r="AA1199" s="108" t="s">
        <v>35</v>
      </c>
      <c r="AB1199" s="108" t="s">
        <v>1537</v>
      </c>
      <c r="AC1199" s="108">
        <v>0</v>
      </c>
      <c r="AD1199" s="108">
        <v>1</v>
      </c>
      <c r="AE1199" s="108" t="s">
        <v>42</v>
      </c>
      <c r="AF1199" s="108" t="s">
        <v>43</v>
      </c>
      <c r="AG1199" s="108" t="s">
        <v>38</v>
      </c>
      <c r="AH1199" s="108" t="s">
        <v>92</v>
      </c>
    </row>
    <row r="1200" spans="1:34" x14ac:dyDescent="0.3">
      <c r="A1200" s="118" t="s">
        <v>1537</v>
      </c>
      <c r="B1200" s="119" t="s">
        <v>1666</v>
      </c>
      <c r="C1200" s="119" t="s">
        <v>1667</v>
      </c>
      <c r="D1200" s="120">
        <v>45019</v>
      </c>
      <c r="E1200" s="121">
        <v>195000</v>
      </c>
      <c r="F1200" s="119" t="s">
        <v>32</v>
      </c>
      <c r="G1200" s="119" t="s">
        <v>33</v>
      </c>
      <c r="H1200" s="121">
        <v>195000</v>
      </c>
      <c r="I1200" s="121">
        <v>84200</v>
      </c>
      <c r="J1200" s="122">
        <f t="shared" si="131"/>
        <v>43.179487179487182</v>
      </c>
      <c r="K1200" s="121">
        <v>206347</v>
      </c>
      <c r="L1200" s="121">
        <f>H1200-195847</f>
        <v>-847</v>
      </c>
      <c r="M1200" s="121">
        <v>10500</v>
      </c>
      <c r="N1200" s="123">
        <f t="shared" si="132"/>
        <v>5.3846153846153849E-2</v>
      </c>
      <c r="O1200" s="124">
        <v>50</v>
      </c>
      <c r="P1200" s="125">
        <v>115</v>
      </c>
      <c r="Q1200" s="126">
        <v>0.13200000000000001</v>
      </c>
      <c r="R1200" s="126">
        <v>0.13200000000000001</v>
      </c>
      <c r="S1200" s="121">
        <f t="shared" si="133"/>
        <v>-16.940000000000001</v>
      </c>
      <c r="T1200" s="121">
        <f t="shared" si="134"/>
        <v>-6416.6666666666661</v>
      </c>
      <c r="U1200" s="127">
        <f t="shared" si="135"/>
        <v>-0.1473063973063973</v>
      </c>
      <c r="V1200" s="126">
        <v>50</v>
      </c>
      <c r="W1200" s="126">
        <f t="shared" si="136"/>
        <v>39000</v>
      </c>
      <c r="X1200" s="126">
        <f t="shared" si="137"/>
        <v>780</v>
      </c>
      <c r="Y1200" s="128" t="s">
        <v>1536</v>
      </c>
      <c r="Z1200" s="119" t="s">
        <v>35</v>
      </c>
      <c r="AA1200" s="119" t="s">
        <v>35</v>
      </c>
      <c r="AB1200" s="119" t="s">
        <v>1537</v>
      </c>
      <c r="AC1200" s="119">
        <v>0</v>
      </c>
      <c r="AD1200" s="119">
        <v>1</v>
      </c>
      <c r="AE1200" s="119" t="s">
        <v>42</v>
      </c>
      <c r="AF1200" s="119" t="s">
        <v>43</v>
      </c>
      <c r="AG1200" s="119" t="s">
        <v>38</v>
      </c>
      <c r="AH1200" s="119" t="s">
        <v>92</v>
      </c>
    </row>
    <row r="1201" spans="1:34" x14ac:dyDescent="0.3">
      <c r="A1201" s="107" t="s">
        <v>1537</v>
      </c>
      <c r="B1201" s="108" t="s">
        <v>1707</v>
      </c>
      <c r="C1201" s="108" t="s">
        <v>1708</v>
      </c>
      <c r="D1201" s="109">
        <v>45618</v>
      </c>
      <c r="E1201" s="110">
        <v>240000</v>
      </c>
      <c r="F1201" s="108" t="s">
        <v>32</v>
      </c>
      <c r="G1201" s="108" t="s">
        <v>33</v>
      </c>
      <c r="H1201" s="110">
        <v>240000</v>
      </c>
      <c r="I1201" s="110">
        <v>107600</v>
      </c>
      <c r="J1201" s="111">
        <f t="shared" si="131"/>
        <v>44.833333333333329</v>
      </c>
      <c r="K1201" s="110">
        <v>225850</v>
      </c>
      <c r="L1201" s="110">
        <f>H1201-212979</f>
        <v>27021</v>
      </c>
      <c r="M1201" s="110">
        <v>12871</v>
      </c>
      <c r="N1201" s="112">
        <f t="shared" si="132"/>
        <v>5.3629166666666665E-2</v>
      </c>
      <c r="O1201" s="113">
        <v>61.29</v>
      </c>
      <c r="P1201" s="114">
        <v>120</v>
      </c>
      <c r="Q1201" s="115">
        <v>0.16500000000000001</v>
      </c>
      <c r="R1201" s="115">
        <v>0.16500000000000001</v>
      </c>
      <c r="S1201" s="110">
        <f t="shared" si="133"/>
        <v>440.87126774351447</v>
      </c>
      <c r="T1201" s="110">
        <f t="shared" si="134"/>
        <v>163763.63636363635</v>
      </c>
      <c r="U1201" s="116">
        <f t="shared" si="135"/>
        <v>3.7594957842891725</v>
      </c>
      <c r="V1201" s="115">
        <v>60</v>
      </c>
      <c r="W1201" s="115">
        <f t="shared" si="136"/>
        <v>48000</v>
      </c>
      <c r="X1201" s="115">
        <f t="shared" si="137"/>
        <v>800</v>
      </c>
      <c r="Y1201" s="117" t="s">
        <v>1536</v>
      </c>
      <c r="Z1201" s="108" t="s">
        <v>35</v>
      </c>
      <c r="AA1201" s="108" t="s">
        <v>35</v>
      </c>
      <c r="AB1201" s="108" t="s">
        <v>1537</v>
      </c>
      <c r="AC1201" s="108">
        <v>0</v>
      </c>
      <c r="AD1201" s="108">
        <v>1</v>
      </c>
      <c r="AE1201" s="108" t="s">
        <v>42</v>
      </c>
      <c r="AF1201" s="108" t="s">
        <v>35</v>
      </c>
      <c r="AG1201" s="108" t="s">
        <v>38</v>
      </c>
      <c r="AH1201" s="108" t="s">
        <v>92</v>
      </c>
    </row>
    <row r="1202" spans="1:34" x14ac:dyDescent="0.3">
      <c r="A1202" s="107" t="s">
        <v>1537</v>
      </c>
      <c r="B1202" s="108" t="s">
        <v>1546</v>
      </c>
      <c r="C1202" s="108" t="s">
        <v>1547</v>
      </c>
      <c r="D1202" s="109">
        <v>45734</v>
      </c>
      <c r="E1202" s="110">
        <v>262000</v>
      </c>
      <c r="F1202" s="108" t="s">
        <v>32</v>
      </c>
      <c r="G1202" s="108" t="s">
        <v>33</v>
      </c>
      <c r="H1202" s="110">
        <v>262000</v>
      </c>
      <c r="I1202" s="110">
        <v>106400</v>
      </c>
      <c r="J1202" s="111">
        <f t="shared" si="131"/>
        <v>40.610687022900763</v>
      </c>
      <c r="K1202" s="110">
        <v>230247</v>
      </c>
      <c r="L1202" s="110">
        <f>H1202-215623</f>
        <v>46377</v>
      </c>
      <c r="M1202" s="110">
        <v>14624</v>
      </c>
      <c r="N1202" s="112">
        <f t="shared" si="132"/>
        <v>5.5816793893129768E-2</v>
      </c>
      <c r="O1202" s="113">
        <v>69.63</v>
      </c>
      <c r="P1202" s="114">
        <v>132</v>
      </c>
      <c r="Q1202" s="115">
        <v>0.19700000000000001</v>
      </c>
      <c r="R1202" s="115">
        <v>0.19700000000000001</v>
      </c>
      <c r="S1202" s="110">
        <f t="shared" si="133"/>
        <v>666.04911676001723</v>
      </c>
      <c r="T1202" s="110">
        <f t="shared" si="134"/>
        <v>235416.24365482232</v>
      </c>
      <c r="U1202" s="116">
        <f t="shared" si="135"/>
        <v>5.4044133070436713</v>
      </c>
      <c r="V1202" s="115">
        <v>65</v>
      </c>
      <c r="W1202" s="115">
        <f t="shared" si="136"/>
        <v>52400</v>
      </c>
      <c r="X1202" s="115">
        <f t="shared" si="137"/>
        <v>806.15384615384619</v>
      </c>
      <c r="Y1202" s="117" t="s">
        <v>1536</v>
      </c>
      <c r="Z1202" s="108" t="s">
        <v>35</v>
      </c>
      <c r="AA1202" s="108" t="s">
        <v>35</v>
      </c>
      <c r="AB1202" s="108" t="s">
        <v>1537</v>
      </c>
      <c r="AC1202" s="108">
        <v>0</v>
      </c>
      <c r="AD1202" s="108">
        <v>1</v>
      </c>
      <c r="AE1202" s="108" t="s">
        <v>37</v>
      </c>
      <c r="AF1202" s="108" t="s">
        <v>35</v>
      </c>
      <c r="AG1202" s="108" t="s">
        <v>38</v>
      </c>
      <c r="AH1202" s="108" t="s">
        <v>92</v>
      </c>
    </row>
    <row r="1203" spans="1:34" x14ac:dyDescent="0.3">
      <c r="A1203" s="118" t="s">
        <v>1537</v>
      </c>
      <c r="B1203" s="119" t="s">
        <v>1664</v>
      </c>
      <c r="C1203" s="119" t="s">
        <v>1665</v>
      </c>
      <c r="D1203" s="120">
        <v>45534</v>
      </c>
      <c r="E1203" s="121">
        <v>215000</v>
      </c>
      <c r="F1203" s="119" t="s">
        <v>32</v>
      </c>
      <c r="G1203" s="119" t="s">
        <v>33</v>
      </c>
      <c r="H1203" s="121">
        <v>215000</v>
      </c>
      <c r="I1203" s="121">
        <v>90600</v>
      </c>
      <c r="J1203" s="122">
        <f t="shared" si="131"/>
        <v>42.139534883720927</v>
      </c>
      <c r="K1203" s="121">
        <v>194091</v>
      </c>
      <c r="L1203" s="121">
        <f>H1203-182961</f>
        <v>32039</v>
      </c>
      <c r="M1203" s="121">
        <v>11130</v>
      </c>
      <c r="N1203" s="123">
        <f t="shared" si="132"/>
        <v>5.1767441860465113E-2</v>
      </c>
      <c r="O1203" s="124">
        <v>53</v>
      </c>
      <c r="P1203" s="125">
        <v>115</v>
      </c>
      <c r="Q1203" s="126">
        <v>0.14000000000000001</v>
      </c>
      <c r="R1203" s="126">
        <v>0.14000000000000001</v>
      </c>
      <c r="S1203" s="121">
        <f t="shared" si="133"/>
        <v>604.5094339622641</v>
      </c>
      <c r="T1203" s="121">
        <f t="shared" si="134"/>
        <v>228849.99999999997</v>
      </c>
      <c r="U1203" s="127">
        <f t="shared" si="135"/>
        <v>5.2536730945821848</v>
      </c>
      <c r="V1203" s="126">
        <v>53</v>
      </c>
      <c r="W1203" s="126">
        <f t="shared" si="136"/>
        <v>43000</v>
      </c>
      <c r="X1203" s="126">
        <f t="shared" si="137"/>
        <v>811.32075471698113</v>
      </c>
      <c r="Y1203" s="128" t="s">
        <v>1536</v>
      </c>
      <c r="Z1203" s="119" t="s">
        <v>35</v>
      </c>
      <c r="AA1203" s="119" t="s">
        <v>35</v>
      </c>
      <c r="AB1203" s="119" t="s">
        <v>1537</v>
      </c>
      <c r="AC1203" s="119">
        <v>0</v>
      </c>
      <c r="AD1203" s="119">
        <v>1</v>
      </c>
      <c r="AE1203" s="119" t="s">
        <v>412</v>
      </c>
      <c r="AF1203" s="119" t="s">
        <v>43</v>
      </c>
      <c r="AG1203" s="119" t="s">
        <v>38</v>
      </c>
      <c r="AH1203" s="119" t="s">
        <v>92</v>
      </c>
    </row>
    <row r="1204" spans="1:34" x14ac:dyDescent="0.3">
      <c r="A1204" s="107" t="s">
        <v>1537</v>
      </c>
      <c r="B1204" s="108" t="s">
        <v>1709</v>
      </c>
      <c r="C1204" s="108" t="s">
        <v>1710</v>
      </c>
      <c r="D1204" s="109">
        <v>45614</v>
      </c>
      <c r="E1204" s="110">
        <v>265000</v>
      </c>
      <c r="F1204" s="108" t="s">
        <v>32</v>
      </c>
      <c r="G1204" s="108" t="s">
        <v>33</v>
      </c>
      <c r="H1204" s="110">
        <v>265000</v>
      </c>
      <c r="I1204" s="110">
        <v>118300</v>
      </c>
      <c r="J1204" s="111">
        <f t="shared" si="131"/>
        <v>44.641509433962263</v>
      </c>
      <c r="K1204" s="110">
        <v>251307</v>
      </c>
      <c r="L1204" s="110">
        <f>H1204-237776</f>
        <v>27224</v>
      </c>
      <c r="M1204" s="110">
        <v>13531</v>
      </c>
      <c r="N1204" s="112">
        <f t="shared" si="132"/>
        <v>5.1060377358490568E-2</v>
      </c>
      <c r="O1204" s="113">
        <v>64.430000000000007</v>
      </c>
      <c r="P1204" s="114">
        <v>116.57</v>
      </c>
      <c r="Q1204" s="115">
        <v>0.17100000000000001</v>
      </c>
      <c r="R1204" s="115">
        <v>0.17100000000000001</v>
      </c>
      <c r="S1204" s="110">
        <f t="shared" si="133"/>
        <v>422.53608567437527</v>
      </c>
      <c r="T1204" s="110">
        <f t="shared" si="134"/>
        <v>159204.67836257309</v>
      </c>
      <c r="U1204" s="116">
        <f t="shared" si="135"/>
        <v>3.6548365097009432</v>
      </c>
      <c r="V1204" s="115">
        <v>64</v>
      </c>
      <c r="W1204" s="115">
        <f t="shared" si="136"/>
        <v>53000</v>
      </c>
      <c r="X1204" s="115">
        <f t="shared" si="137"/>
        <v>828.125</v>
      </c>
      <c r="Y1204" s="117" t="s">
        <v>1536</v>
      </c>
      <c r="Z1204" s="108" t="s">
        <v>35</v>
      </c>
      <c r="AA1204" s="108" t="s">
        <v>35</v>
      </c>
      <c r="AB1204" s="108" t="s">
        <v>1537</v>
      </c>
      <c r="AC1204" s="108">
        <v>0</v>
      </c>
      <c r="AD1204" s="108">
        <v>1</v>
      </c>
      <c r="AE1204" s="108" t="s">
        <v>37</v>
      </c>
      <c r="AF1204" s="108" t="s">
        <v>35</v>
      </c>
      <c r="AG1204" s="108" t="s">
        <v>38</v>
      </c>
      <c r="AH1204" s="108" t="s">
        <v>92</v>
      </c>
    </row>
    <row r="1205" spans="1:34" x14ac:dyDescent="0.3">
      <c r="A1205" s="107" t="s">
        <v>1537</v>
      </c>
      <c r="B1205" s="108" t="s">
        <v>1691</v>
      </c>
      <c r="C1205" s="108" t="s">
        <v>1692</v>
      </c>
      <c r="D1205" s="109">
        <v>45611</v>
      </c>
      <c r="E1205" s="110">
        <v>271200</v>
      </c>
      <c r="F1205" s="108" t="s">
        <v>32</v>
      </c>
      <c r="G1205" s="108" t="s">
        <v>33</v>
      </c>
      <c r="H1205" s="110">
        <v>271200</v>
      </c>
      <c r="I1205" s="110">
        <v>102200</v>
      </c>
      <c r="J1205" s="111">
        <f t="shared" si="131"/>
        <v>37.684365781710916</v>
      </c>
      <c r="K1205" s="110">
        <v>220060</v>
      </c>
      <c r="L1205" s="110">
        <f>H1205-206525</f>
        <v>64675</v>
      </c>
      <c r="M1205" s="110">
        <v>13535</v>
      </c>
      <c r="N1205" s="112">
        <f t="shared" si="132"/>
        <v>4.9907817109144541E-2</v>
      </c>
      <c r="O1205" s="113">
        <v>64.45</v>
      </c>
      <c r="P1205" s="114">
        <v>113.05</v>
      </c>
      <c r="Q1205" s="115">
        <v>0.16900000000000001</v>
      </c>
      <c r="R1205" s="115">
        <v>0.16900000000000001</v>
      </c>
      <c r="S1205" s="110">
        <f t="shared" si="133"/>
        <v>1003.4910783553141</v>
      </c>
      <c r="T1205" s="110">
        <f t="shared" si="134"/>
        <v>382692.30769230769</v>
      </c>
      <c r="U1205" s="116">
        <f t="shared" si="135"/>
        <v>8.7854065126792396</v>
      </c>
      <c r="V1205" s="115">
        <v>65</v>
      </c>
      <c r="W1205" s="115">
        <f t="shared" si="136"/>
        <v>54240</v>
      </c>
      <c r="X1205" s="115">
        <f t="shared" si="137"/>
        <v>834.46153846153845</v>
      </c>
      <c r="Y1205" s="117" t="s">
        <v>1536</v>
      </c>
      <c r="Z1205" s="108" t="s">
        <v>35</v>
      </c>
      <c r="AA1205" s="108" t="s">
        <v>35</v>
      </c>
      <c r="AB1205" s="108" t="s">
        <v>1537</v>
      </c>
      <c r="AC1205" s="108">
        <v>0</v>
      </c>
      <c r="AD1205" s="108">
        <v>1</v>
      </c>
      <c r="AE1205" s="108" t="s">
        <v>42</v>
      </c>
      <c r="AF1205" s="108" t="s">
        <v>35</v>
      </c>
      <c r="AG1205" s="108" t="s">
        <v>38</v>
      </c>
      <c r="AH1205" s="108" t="s">
        <v>92</v>
      </c>
    </row>
    <row r="1206" spans="1:34" x14ac:dyDescent="0.3">
      <c r="A1206" s="118" t="s">
        <v>1537</v>
      </c>
      <c r="B1206" s="119" t="s">
        <v>1604</v>
      </c>
      <c r="C1206" s="119" t="s">
        <v>1605</v>
      </c>
      <c r="D1206" s="120">
        <v>45447</v>
      </c>
      <c r="E1206" s="121">
        <v>210000</v>
      </c>
      <c r="F1206" s="119" t="s">
        <v>32</v>
      </c>
      <c r="G1206" s="119" t="s">
        <v>33</v>
      </c>
      <c r="H1206" s="121">
        <v>210000</v>
      </c>
      <c r="I1206" s="121">
        <v>95500</v>
      </c>
      <c r="J1206" s="122">
        <f t="shared" si="131"/>
        <v>45.476190476190474</v>
      </c>
      <c r="K1206" s="121">
        <v>204863</v>
      </c>
      <c r="L1206" s="121">
        <f>H1206-193319</f>
        <v>16681</v>
      </c>
      <c r="M1206" s="121">
        <v>11544</v>
      </c>
      <c r="N1206" s="123">
        <f t="shared" si="132"/>
        <v>5.4971428571428574E-2</v>
      </c>
      <c r="O1206" s="124">
        <v>54.97</v>
      </c>
      <c r="P1206" s="125">
        <v>139</v>
      </c>
      <c r="Q1206" s="126">
        <v>0.16</v>
      </c>
      <c r="R1206" s="126">
        <v>0.16</v>
      </c>
      <c r="S1206" s="121">
        <f t="shared" si="133"/>
        <v>303.45643078042571</v>
      </c>
      <c r="T1206" s="121">
        <f t="shared" si="134"/>
        <v>104256.25</v>
      </c>
      <c r="U1206" s="127">
        <f t="shared" si="135"/>
        <v>2.3933941689623506</v>
      </c>
      <c r="V1206" s="126">
        <v>50</v>
      </c>
      <c r="W1206" s="126">
        <f t="shared" si="136"/>
        <v>42000</v>
      </c>
      <c r="X1206" s="126">
        <f t="shared" si="137"/>
        <v>840</v>
      </c>
      <c r="Y1206" s="128" t="s">
        <v>1536</v>
      </c>
      <c r="Z1206" s="119" t="s">
        <v>35</v>
      </c>
      <c r="AA1206" s="119" t="s">
        <v>35</v>
      </c>
      <c r="AB1206" s="119" t="s">
        <v>1537</v>
      </c>
      <c r="AC1206" s="119">
        <v>0</v>
      </c>
      <c r="AD1206" s="119">
        <v>1</v>
      </c>
      <c r="AE1206" s="119" t="s">
        <v>42</v>
      </c>
      <c r="AF1206" s="119" t="s">
        <v>43</v>
      </c>
      <c r="AG1206" s="119" t="s">
        <v>38</v>
      </c>
      <c r="AH1206" s="119" t="s">
        <v>92</v>
      </c>
    </row>
    <row r="1207" spans="1:34" x14ac:dyDescent="0.3">
      <c r="A1207" s="118" t="s">
        <v>1537</v>
      </c>
      <c r="B1207" s="119" t="s">
        <v>1705</v>
      </c>
      <c r="C1207" s="119" t="s">
        <v>1706</v>
      </c>
      <c r="D1207" s="120">
        <v>45533</v>
      </c>
      <c r="E1207" s="121">
        <v>255000</v>
      </c>
      <c r="F1207" s="119" t="s">
        <v>32</v>
      </c>
      <c r="G1207" s="119" t="s">
        <v>33</v>
      </c>
      <c r="H1207" s="121">
        <v>255000</v>
      </c>
      <c r="I1207" s="121">
        <v>107800</v>
      </c>
      <c r="J1207" s="122">
        <f t="shared" si="131"/>
        <v>42.274509803921568</v>
      </c>
      <c r="K1207" s="121">
        <v>226267</v>
      </c>
      <c r="L1207" s="121">
        <f>H1207-213396</f>
        <v>41604</v>
      </c>
      <c r="M1207" s="121">
        <v>12871</v>
      </c>
      <c r="N1207" s="123">
        <f t="shared" si="132"/>
        <v>5.0474509803921569E-2</v>
      </c>
      <c r="O1207" s="124">
        <v>61.29</v>
      </c>
      <c r="P1207" s="125">
        <v>120</v>
      </c>
      <c r="Q1207" s="126">
        <v>0.16500000000000001</v>
      </c>
      <c r="R1207" s="126">
        <v>0.16500000000000001</v>
      </c>
      <c r="S1207" s="121">
        <f t="shared" si="133"/>
        <v>678.80567792462068</v>
      </c>
      <c r="T1207" s="121">
        <f t="shared" si="134"/>
        <v>252145.45454545453</v>
      </c>
      <c r="U1207" s="127">
        <f t="shared" si="135"/>
        <v>5.7884631438350445</v>
      </c>
      <c r="V1207" s="126">
        <v>60</v>
      </c>
      <c r="W1207" s="126">
        <f t="shared" si="136"/>
        <v>51000</v>
      </c>
      <c r="X1207" s="126">
        <f t="shared" si="137"/>
        <v>850</v>
      </c>
      <c r="Y1207" s="128" t="s">
        <v>1536</v>
      </c>
      <c r="Z1207" s="119" t="s">
        <v>35</v>
      </c>
      <c r="AA1207" s="119" t="s">
        <v>35</v>
      </c>
      <c r="AB1207" s="119" t="s">
        <v>1537</v>
      </c>
      <c r="AC1207" s="119">
        <v>0</v>
      </c>
      <c r="AD1207" s="119">
        <v>1</v>
      </c>
      <c r="AE1207" s="119" t="s">
        <v>42</v>
      </c>
      <c r="AF1207" s="119" t="s">
        <v>43</v>
      </c>
      <c r="AG1207" s="119" t="s">
        <v>38</v>
      </c>
      <c r="AH1207" s="119" t="s">
        <v>92</v>
      </c>
    </row>
    <row r="1208" spans="1:34" x14ac:dyDescent="0.3">
      <c r="A1208" s="107" t="s">
        <v>1537</v>
      </c>
      <c r="B1208" s="108" t="s">
        <v>1558</v>
      </c>
      <c r="C1208" s="108" t="s">
        <v>1559</v>
      </c>
      <c r="D1208" s="109">
        <v>45453</v>
      </c>
      <c r="E1208" s="110">
        <v>255000</v>
      </c>
      <c r="F1208" s="108" t="s">
        <v>32</v>
      </c>
      <c r="G1208" s="108" t="s">
        <v>33</v>
      </c>
      <c r="H1208" s="110">
        <v>255000</v>
      </c>
      <c r="I1208" s="110">
        <v>113100</v>
      </c>
      <c r="J1208" s="111">
        <f t="shared" si="131"/>
        <v>44.352941176470587</v>
      </c>
      <c r="K1208" s="110">
        <v>234495</v>
      </c>
      <c r="L1208" s="110">
        <f>H1208-221125</f>
        <v>33875</v>
      </c>
      <c r="M1208" s="110">
        <v>13370</v>
      </c>
      <c r="N1208" s="112">
        <f t="shared" si="132"/>
        <v>5.2431372549019604E-2</v>
      </c>
      <c r="O1208" s="113">
        <v>63.66</v>
      </c>
      <c r="P1208" s="114">
        <v>129.49</v>
      </c>
      <c r="Q1208" s="115">
        <v>0.17799999999999999</v>
      </c>
      <c r="R1208" s="115">
        <v>0.17799999999999999</v>
      </c>
      <c r="S1208" s="110">
        <f t="shared" si="133"/>
        <v>532.12378259503612</v>
      </c>
      <c r="T1208" s="110">
        <f t="shared" si="134"/>
        <v>190308.98876404495</v>
      </c>
      <c r="U1208" s="116">
        <f t="shared" si="135"/>
        <v>4.3688932223150818</v>
      </c>
      <c r="V1208" s="115">
        <v>60</v>
      </c>
      <c r="W1208" s="115">
        <f t="shared" si="136"/>
        <v>51000</v>
      </c>
      <c r="X1208" s="115">
        <f t="shared" si="137"/>
        <v>850</v>
      </c>
      <c r="Y1208" s="117" t="s">
        <v>1536</v>
      </c>
      <c r="Z1208" s="108" t="s">
        <v>35</v>
      </c>
      <c r="AA1208" s="108" t="s">
        <v>35</v>
      </c>
      <c r="AB1208" s="108" t="s">
        <v>1537</v>
      </c>
      <c r="AC1208" s="108">
        <v>0</v>
      </c>
      <c r="AD1208" s="108">
        <v>0</v>
      </c>
      <c r="AE1208" s="108" t="s">
        <v>37</v>
      </c>
      <c r="AF1208" s="108" t="s">
        <v>43</v>
      </c>
      <c r="AG1208" s="108" t="s">
        <v>38</v>
      </c>
      <c r="AH1208" s="108" t="s">
        <v>92</v>
      </c>
    </row>
    <row r="1209" spans="1:34" x14ac:dyDescent="0.3">
      <c r="A1209" s="107" t="s">
        <v>1537</v>
      </c>
      <c r="B1209" s="108" t="s">
        <v>1624</v>
      </c>
      <c r="C1209" s="108" t="s">
        <v>1625</v>
      </c>
      <c r="D1209" s="109">
        <v>45415</v>
      </c>
      <c r="E1209" s="110">
        <v>265000</v>
      </c>
      <c r="F1209" s="108" t="s">
        <v>32</v>
      </c>
      <c r="G1209" s="108" t="s">
        <v>33</v>
      </c>
      <c r="H1209" s="110">
        <v>265000</v>
      </c>
      <c r="I1209" s="110">
        <v>111100</v>
      </c>
      <c r="J1209" s="111">
        <f t="shared" si="131"/>
        <v>41.924528301886795</v>
      </c>
      <c r="K1209" s="110">
        <v>238303</v>
      </c>
      <c r="L1209" s="110">
        <f>H1209-225158</f>
        <v>39842</v>
      </c>
      <c r="M1209" s="110">
        <v>13145</v>
      </c>
      <c r="N1209" s="112">
        <f t="shared" si="132"/>
        <v>4.9603773584905662E-2</v>
      </c>
      <c r="O1209" s="113">
        <v>62.59</v>
      </c>
      <c r="P1209" s="114">
        <v>117.21</v>
      </c>
      <c r="Q1209" s="115">
        <v>0.16700000000000001</v>
      </c>
      <c r="R1209" s="115">
        <v>0.16700000000000001</v>
      </c>
      <c r="S1209" s="110">
        <f t="shared" si="133"/>
        <v>636.55536028119502</v>
      </c>
      <c r="T1209" s="110">
        <f t="shared" si="134"/>
        <v>238574.85029940118</v>
      </c>
      <c r="U1209" s="116">
        <f t="shared" si="135"/>
        <v>5.4769249380027816</v>
      </c>
      <c r="V1209" s="115">
        <v>62</v>
      </c>
      <c r="W1209" s="115">
        <f t="shared" si="136"/>
        <v>53000</v>
      </c>
      <c r="X1209" s="115">
        <f t="shared" si="137"/>
        <v>854.83870967741939</v>
      </c>
      <c r="Y1209" s="117" t="s">
        <v>1536</v>
      </c>
      <c r="Z1209" s="108" t="s">
        <v>35</v>
      </c>
      <c r="AA1209" s="108" t="s">
        <v>35</v>
      </c>
      <c r="AB1209" s="108" t="s">
        <v>1537</v>
      </c>
      <c r="AC1209" s="108">
        <v>0</v>
      </c>
      <c r="AD1209" s="108">
        <v>1</v>
      </c>
      <c r="AE1209" s="108" t="s">
        <v>42</v>
      </c>
      <c r="AF1209" s="108" t="s">
        <v>43</v>
      </c>
      <c r="AG1209" s="108" t="s">
        <v>38</v>
      </c>
      <c r="AH1209" s="108" t="s">
        <v>92</v>
      </c>
    </row>
    <row r="1210" spans="1:34" x14ac:dyDescent="0.3">
      <c r="A1210" s="118" t="s">
        <v>1537</v>
      </c>
      <c r="B1210" s="119" t="s">
        <v>1598</v>
      </c>
      <c r="C1210" s="119" t="s">
        <v>1599</v>
      </c>
      <c r="D1210" s="120">
        <v>45580</v>
      </c>
      <c r="E1210" s="121">
        <v>224500</v>
      </c>
      <c r="F1210" s="119" t="s">
        <v>32</v>
      </c>
      <c r="G1210" s="119" t="s">
        <v>33</v>
      </c>
      <c r="H1210" s="121">
        <v>224500</v>
      </c>
      <c r="I1210" s="121">
        <v>90500</v>
      </c>
      <c r="J1210" s="122">
        <f t="shared" si="131"/>
        <v>40.311804008908688</v>
      </c>
      <c r="K1210" s="121">
        <v>193339</v>
      </c>
      <c r="L1210" s="121">
        <f>H1210-178585</f>
        <v>45915</v>
      </c>
      <c r="M1210" s="121">
        <v>14754</v>
      </c>
      <c r="N1210" s="123">
        <f t="shared" si="132"/>
        <v>6.5719376391982179E-2</v>
      </c>
      <c r="O1210" s="124">
        <v>70.25</v>
      </c>
      <c r="P1210" s="125">
        <v>204.22</v>
      </c>
      <c r="Q1210" s="126">
        <v>0.25</v>
      </c>
      <c r="R1210" s="126">
        <v>0.25</v>
      </c>
      <c r="S1210" s="121">
        <f t="shared" si="133"/>
        <v>653.59430604982208</v>
      </c>
      <c r="T1210" s="121">
        <f t="shared" si="134"/>
        <v>183660</v>
      </c>
      <c r="U1210" s="127">
        <f t="shared" si="135"/>
        <v>4.2162534435261705</v>
      </c>
      <c r="V1210" s="126">
        <v>51.68</v>
      </c>
      <c r="W1210" s="126">
        <f t="shared" si="136"/>
        <v>44900</v>
      </c>
      <c r="X1210" s="126">
        <f t="shared" si="137"/>
        <v>868.80804953560369</v>
      </c>
      <c r="Y1210" s="128" t="s">
        <v>1536</v>
      </c>
      <c r="Z1210" s="119" t="s">
        <v>35</v>
      </c>
      <c r="AA1210" s="119" t="s">
        <v>35</v>
      </c>
      <c r="AB1210" s="119" t="s">
        <v>1537</v>
      </c>
      <c r="AC1210" s="119">
        <v>0</v>
      </c>
      <c r="AD1210" s="119">
        <v>1</v>
      </c>
      <c r="AE1210" s="119" t="s">
        <v>42</v>
      </c>
      <c r="AF1210" s="119" t="s">
        <v>35</v>
      </c>
      <c r="AG1210" s="119" t="s">
        <v>38</v>
      </c>
      <c r="AH1210" s="119" t="s">
        <v>92</v>
      </c>
    </row>
    <row r="1211" spans="1:34" x14ac:dyDescent="0.3">
      <c r="A1211" s="107" t="s">
        <v>1537</v>
      </c>
      <c r="B1211" s="108" t="s">
        <v>1614</v>
      </c>
      <c r="C1211" s="108" t="s">
        <v>1615</v>
      </c>
      <c r="D1211" s="109">
        <v>45628</v>
      </c>
      <c r="E1211" s="110">
        <v>240000</v>
      </c>
      <c r="F1211" s="108" t="s">
        <v>32</v>
      </c>
      <c r="G1211" s="108" t="s">
        <v>33</v>
      </c>
      <c r="H1211" s="110">
        <v>240000</v>
      </c>
      <c r="I1211" s="110">
        <v>99600</v>
      </c>
      <c r="J1211" s="111">
        <f t="shared" si="131"/>
        <v>41.5</v>
      </c>
      <c r="K1211" s="110">
        <v>213096</v>
      </c>
      <c r="L1211" s="110">
        <f>H1211-200125</f>
        <v>39875</v>
      </c>
      <c r="M1211" s="110">
        <v>12971</v>
      </c>
      <c r="N1211" s="112">
        <f t="shared" si="132"/>
        <v>5.4045833333333335E-2</v>
      </c>
      <c r="O1211" s="113">
        <v>61.76</v>
      </c>
      <c r="P1211" s="114">
        <v>134.22</v>
      </c>
      <c r="Q1211" s="115">
        <v>0.17899999999999999</v>
      </c>
      <c r="R1211" s="115">
        <v>0.17899999999999999</v>
      </c>
      <c r="S1211" s="110">
        <f t="shared" si="133"/>
        <v>645.64443005181352</v>
      </c>
      <c r="T1211" s="110">
        <f t="shared" si="134"/>
        <v>222765.36312849162</v>
      </c>
      <c r="U1211" s="116">
        <f t="shared" si="135"/>
        <v>5.1139890525365388</v>
      </c>
      <c r="V1211" s="115">
        <v>55.21</v>
      </c>
      <c r="W1211" s="115">
        <f t="shared" si="136"/>
        <v>48000</v>
      </c>
      <c r="X1211" s="115">
        <f t="shared" si="137"/>
        <v>869.40771599347943</v>
      </c>
      <c r="Y1211" s="117" t="s">
        <v>1536</v>
      </c>
      <c r="Z1211" s="108" t="s">
        <v>35</v>
      </c>
      <c r="AA1211" s="108" t="s">
        <v>35</v>
      </c>
      <c r="AB1211" s="108" t="s">
        <v>1537</v>
      </c>
      <c r="AC1211" s="108">
        <v>0</v>
      </c>
      <c r="AD1211" s="108">
        <v>1</v>
      </c>
      <c r="AE1211" s="108" t="s">
        <v>42</v>
      </c>
      <c r="AF1211" s="108" t="s">
        <v>35</v>
      </c>
      <c r="AG1211" s="108" t="s">
        <v>38</v>
      </c>
      <c r="AH1211" s="108" t="s">
        <v>92</v>
      </c>
    </row>
    <row r="1212" spans="1:34" x14ac:dyDescent="0.3">
      <c r="A1212" s="118" t="s">
        <v>1537</v>
      </c>
      <c r="B1212" s="119" t="s">
        <v>1695</v>
      </c>
      <c r="C1212" s="119" t="s">
        <v>1696</v>
      </c>
      <c r="D1212" s="120">
        <v>45301</v>
      </c>
      <c r="E1212" s="121">
        <v>265000</v>
      </c>
      <c r="F1212" s="119" t="s">
        <v>32</v>
      </c>
      <c r="G1212" s="119" t="s">
        <v>33</v>
      </c>
      <c r="H1212" s="121">
        <v>265000</v>
      </c>
      <c r="I1212" s="121">
        <v>93000</v>
      </c>
      <c r="J1212" s="122">
        <f t="shared" si="131"/>
        <v>35.094339622641506</v>
      </c>
      <c r="K1212" s="121">
        <v>225132</v>
      </c>
      <c r="L1212" s="121">
        <f>H1212-212261</f>
        <v>52739</v>
      </c>
      <c r="M1212" s="121">
        <v>12871</v>
      </c>
      <c r="N1212" s="123">
        <f t="shared" si="132"/>
        <v>4.8569811320754719E-2</v>
      </c>
      <c r="O1212" s="124">
        <v>61.29</v>
      </c>
      <c r="P1212" s="125">
        <v>120</v>
      </c>
      <c r="Q1212" s="126">
        <v>0.16500000000000001</v>
      </c>
      <c r="R1212" s="126">
        <v>0.16500000000000001</v>
      </c>
      <c r="S1212" s="121">
        <f t="shared" si="133"/>
        <v>860.48294991026273</v>
      </c>
      <c r="T1212" s="121">
        <f t="shared" si="134"/>
        <v>319630.30303030304</v>
      </c>
      <c r="U1212" s="127">
        <f t="shared" si="135"/>
        <v>7.3377020897682055</v>
      </c>
      <c r="V1212" s="126">
        <v>60</v>
      </c>
      <c r="W1212" s="126">
        <f t="shared" si="136"/>
        <v>53000</v>
      </c>
      <c r="X1212" s="126">
        <f t="shared" si="137"/>
        <v>883.33333333333337</v>
      </c>
      <c r="Y1212" s="128" t="s">
        <v>1536</v>
      </c>
      <c r="Z1212" s="119" t="s">
        <v>35</v>
      </c>
      <c r="AA1212" s="119" t="s">
        <v>35</v>
      </c>
      <c r="AB1212" s="119" t="s">
        <v>1537</v>
      </c>
      <c r="AC1212" s="119">
        <v>0</v>
      </c>
      <c r="AD1212" s="119">
        <v>1</v>
      </c>
      <c r="AE1212" s="119" t="s">
        <v>42</v>
      </c>
      <c r="AF1212" s="119" t="s">
        <v>43</v>
      </c>
      <c r="AG1212" s="119" t="s">
        <v>38</v>
      </c>
      <c r="AH1212" s="119" t="s">
        <v>92</v>
      </c>
    </row>
    <row r="1213" spans="1:34" x14ac:dyDescent="0.3">
      <c r="A1213" s="118" t="s">
        <v>1537</v>
      </c>
      <c r="B1213" s="119" t="s">
        <v>1588</v>
      </c>
      <c r="C1213" s="119" t="s">
        <v>1589</v>
      </c>
      <c r="D1213" s="120">
        <v>45373</v>
      </c>
      <c r="E1213" s="121">
        <v>221000</v>
      </c>
      <c r="F1213" s="119" t="s">
        <v>32</v>
      </c>
      <c r="G1213" s="119" t="s">
        <v>33</v>
      </c>
      <c r="H1213" s="121">
        <v>221000</v>
      </c>
      <c r="I1213" s="121">
        <v>80900</v>
      </c>
      <c r="J1213" s="122">
        <f t="shared" si="131"/>
        <v>36.606334841628957</v>
      </c>
      <c r="K1213" s="121">
        <v>196788</v>
      </c>
      <c r="L1213" s="121">
        <f>H1213-186277</f>
        <v>34723</v>
      </c>
      <c r="M1213" s="121">
        <v>10511</v>
      </c>
      <c r="N1213" s="123">
        <f t="shared" si="132"/>
        <v>4.7561085972850678E-2</v>
      </c>
      <c r="O1213" s="124">
        <v>50.05</v>
      </c>
      <c r="P1213" s="125">
        <v>110.37</v>
      </c>
      <c r="Q1213" s="126">
        <v>0.13100000000000001</v>
      </c>
      <c r="R1213" s="126">
        <v>0.13100000000000001</v>
      </c>
      <c r="S1213" s="121">
        <f t="shared" si="133"/>
        <v>693.76623376623377</v>
      </c>
      <c r="T1213" s="121">
        <f t="shared" si="134"/>
        <v>265061.06870229007</v>
      </c>
      <c r="U1213" s="127">
        <f t="shared" si="135"/>
        <v>6.0849648462417374</v>
      </c>
      <c r="V1213" s="126">
        <v>50</v>
      </c>
      <c r="W1213" s="126">
        <f t="shared" si="136"/>
        <v>44200</v>
      </c>
      <c r="X1213" s="126">
        <f t="shared" si="137"/>
        <v>884</v>
      </c>
      <c r="Y1213" s="128" t="s">
        <v>1536</v>
      </c>
      <c r="Z1213" s="119" t="s">
        <v>35</v>
      </c>
      <c r="AA1213" s="119" t="s">
        <v>35</v>
      </c>
      <c r="AB1213" s="119" t="s">
        <v>1537</v>
      </c>
      <c r="AC1213" s="119">
        <v>0</v>
      </c>
      <c r="AD1213" s="119">
        <v>1</v>
      </c>
      <c r="AE1213" s="119" t="s">
        <v>42</v>
      </c>
      <c r="AF1213" s="119" t="s">
        <v>43</v>
      </c>
      <c r="AG1213" s="119" t="s">
        <v>38</v>
      </c>
      <c r="AH1213" s="119" t="s">
        <v>92</v>
      </c>
    </row>
    <row r="1214" spans="1:34" x14ac:dyDescent="0.3">
      <c r="A1214" s="107" t="s">
        <v>1537</v>
      </c>
      <c r="B1214" s="108" t="s">
        <v>1616</v>
      </c>
      <c r="C1214" s="108" t="s">
        <v>1617</v>
      </c>
      <c r="D1214" s="109">
        <v>45616</v>
      </c>
      <c r="E1214" s="110">
        <v>221000</v>
      </c>
      <c r="F1214" s="108" t="s">
        <v>32</v>
      </c>
      <c r="G1214" s="108" t="s">
        <v>33</v>
      </c>
      <c r="H1214" s="110">
        <v>221000</v>
      </c>
      <c r="I1214" s="110">
        <v>99200</v>
      </c>
      <c r="J1214" s="111">
        <f t="shared" si="131"/>
        <v>44.886877828054303</v>
      </c>
      <c r="K1214" s="110">
        <v>211491</v>
      </c>
      <c r="L1214" s="110">
        <f>H1214-199989</f>
        <v>21011</v>
      </c>
      <c r="M1214" s="110">
        <v>11502</v>
      </c>
      <c r="N1214" s="112">
        <f t="shared" si="132"/>
        <v>5.2045248868778281E-2</v>
      </c>
      <c r="O1214" s="113">
        <v>54.77</v>
      </c>
      <c r="P1214" s="114">
        <v>138</v>
      </c>
      <c r="Q1214" s="115">
        <v>0.158</v>
      </c>
      <c r="R1214" s="115">
        <v>0.158</v>
      </c>
      <c r="S1214" s="110">
        <f t="shared" si="133"/>
        <v>383.62242103341242</v>
      </c>
      <c r="T1214" s="110">
        <f t="shared" si="134"/>
        <v>132981.01265822785</v>
      </c>
      <c r="U1214" s="116">
        <f t="shared" si="135"/>
        <v>3.0528239820529808</v>
      </c>
      <c r="V1214" s="115">
        <v>50</v>
      </c>
      <c r="W1214" s="115">
        <f t="shared" si="136"/>
        <v>44200</v>
      </c>
      <c r="X1214" s="115">
        <f t="shared" si="137"/>
        <v>884</v>
      </c>
      <c r="Y1214" s="117" t="s">
        <v>1536</v>
      </c>
      <c r="Z1214" s="108" t="s">
        <v>35</v>
      </c>
      <c r="AA1214" s="108" t="s">
        <v>35</v>
      </c>
      <c r="AB1214" s="108" t="s">
        <v>1537</v>
      </c>
      <c r="AC1214" s="108">
        <v>0</v>
      </c>
      <c r="AD1214" s="108">
        <v>1</v>
      </c>
      <c r="AE1214" s="108" t="s">
        <v>42</v>
      </c>
      <c r="AF1214" s="108" t="s">
        <v>35</v>
      </c>
      <c r="AG1214" s="108" t="s">
        <v>38</v>
      </c>
      <c r="AH1214" s="108" t="s">
        <v>92</v>
      </c>
    </row>
    <row r="1215" spans="1:34" x14ac:dyDescent="0.3">
      <c r="A1215" s="118" t="s">
        <v>1537</v>
      </c>
      <c r="B1215" s="119" t="s">
        <v>1697</v>
      </c>
      <c r="C1215" s="119" t="s">
        <v>1698</v>
      </c>
      <c r="D1215" s="120">
        <v>45230</v>
      </c>
      <c r="E1215" s="121">
        <v>271000</v>
      </c>
      <c r="F1215" s="119" t="s">
        <v>32</v>
      </c>
      <c r="G1215" s="119" t="s">
        <v>33</v>
      </c>
      <c r="H1215" s="121">
        <v>271000</v>
      </c>
      <c r="I1215" s="121">
        <v>94800</v>
      </c>
      <c r="J1215" s="122">
        <f t="shared" si="131"/>
        <v>34.981549815498155</v>
      </c>
      <c r="K1215" s="121">
        <v>225850</v>
      </c>
      <c r="L1215" s="121">
        <f>H1215-212979</f>
        <v>58021</v>
      </c>
      <c r="M1215" s="121">
        <v>12871</v>
      </c>
      <c r="N1215" s="123">
        <f t="shared" si="132"/>
        <v>4.7494464944649449E-2</v>
      </c>
      <c r="O1215" s="124">
        <v>61.29</v>
      </c>
      <c r="P1215" s="125">
        <v>120</v>
      </c>
      <c r="Q1215" s="126">
        <v>0.16500000000000001</v>
      </c>
      <c r="R1215" s="126">
        <v>0.16500000000000001</v>
      </c>
      <c r="S1215" s="121">
        <f t="shared" si="133"/>
        <v>946.66340349159736</v>
      </c>
      <c r="T1215" s="121">
        <f t="shared" si="134"/>
        <v>351642.42424242425</v>
      </c>
      <c r="U1215" s="127">
        <f t="shared" si="135"/>
        <v>8.0725992709463785</v>
      </c>
      <c r="V1215" s="126">
        <v>60</v>
      </c>
      <c r="W1215" s="126">
        <f t="shared" si="136"/>
        <v>54200</v>
      </c>
      <c r="X1215" s="126">
        <f t="shared" si="137"/>
        <v>903.33333333333337</v>
      </c>
      <c r="Y1215" s="128" t="s">
        <v>1536</v>
      </c>
      <c r="Z1215" s="119" t="s">
        <v>35</v>
      </c>
      <c r="AA1215" s="119" t="s">
        <v>35</v>
      </c>
      <c r="AB1215" s="119" t="s">
        <v>1537</v>
      </c>
      <c r="AC1215" s="119">
        <v>0</v>
      </c>
      <c r="AD1215" s="119">
        <v>1</v>
      </c>
      <c r="AE1215" s="119" t="s">
        <v>42</v>
      </c>
      <c r="AF1215" s="119" t="s">
        <v>43</v>
      </c>
      <c r="AG1215" s="119" t="s">
        <v>38</v>
      </c>
      <c r="AH1215" s="119" t="s">
        <v>92</v>
      </c>
    </row>
    <row r="1216" spans="1:34" x14ac:dyDescent="0.3">
      <c r="A1216" s="107" t="s">
        <v>1537</v>
      </c>
      <c r="B1216" s="108" t="s">
        <v>1600</v>
      </c>
      <c r="C1216" s="108" t="s">
        <v>1601</v>
      </c>
      <c r="D1216" s="109">
        <v>45484</v>
      </c>
      <c r="E1216" s="110">
        <v>228000</v>
      </c>
      <c r="F1216" s="108" t="s">
        <v>32</v>
      </c>
      <c r="G1216" s="108" t="s">
        <v>33</v>
      </c>
      <c r="H1216" s="110">
        <v>228000</v>
      </c>
      <c r="I1216" s="110">
        <v>92300</v>
      </c>
      <c r="J1216" s="111">
        <f t="shared" si="131"/>
        <v>40.482456140350877</v>
      </c>
      <c r="K1216" s="110">
        <v>197781</v>
      </c>
      <c r="L1216" s="110">
        <f>H1216-186237</f>
        <v>41763</v>
      </c>
      <c r="M1216" s="110">
        <v>11544</v>
      </c>
      <c r="N1216" s="112">
        <f t="shared" si="132"/>
        <v>5.0631578947368423E-2</v>
      </c>
      <c r="O1216" s="113">
        <v>54.97</v>
      </c>
      <c r="P1216" s="114">
        <v>139</v>
      </c>
      <c r="Q1216" s="115">
        <v>0.16</v>
      </c>
      <c r="R1216" s="115">
        <v>0.16</v>
      </c>
      <c r="S1216" s="110">
        <f t="shared" si="133"/>
        <v>759.74167727851557</v>
      </c>
      <c r="T1216" s="110">
        <f t="shared" si="134"/>
        <v>261018.75</v>
      </c>
      <c r="U1216" s="116">
        <f t="shared" si="135"/>
        <v>5.9921659779614327</v>
      </c>
      <c r="V1216" s="115">
        <v>50</v>
      </c>
      <c r="W1216" s="115">
        <f t="shared" si="136"/>
        <v>45600</v>
      </c>
      <c r="X1216" s="115">
        <f t="shared" si="137"/>
        <v>912</v>
      </c>
      <c r="Y1216" s="117" t="s">
        <v>1536</v>
      </c>
      <c r="Z1216" s="108" t="s">
        <v>35</v>
      </c>
      <c r="AA1216" s="108" t="s">
        <v>35</v>
      </c>
      <c r="AB1216" s="108" t="s">
        <v>1537</v>
      </c>
      <c r="AC1216" s="108">
        <v>0</v>
      </c>
      <c r="AD1216" s="108">
        <v>1</v>
      </c>
      <c r="AE1216" s="108" t="s">
        <v>42</v>
      </c>
      <c r="AF1216" s="108" t="s">
        <v>43</v>
      </c>
      <c r="AG1216" s="108" t="s">
        <v>38</v>
      </c>
      <c r="AH1216" s="108" t="s">
        <v>92</v>
      </c>
    </row>
    <row r="1217" spans="1:34" x14ac:dyDescent="0.3">
      <c r="A1217" s="118" t="s">
        <v>1537</v>
      </c>
      <c r="B1217" s="119" t="s">
        <v>1703</v>
      </c>
      <c r="C1217" s="119" t="s">
        <v>1704</v>
      </c>
      <c r="D1217" s="120">
        <v>45489</v>
      </c>
      <c r="E1217" s="121">
        <v>275000</v>
      </c>
      <c r="F1217" s="119" t="s">
        <v>32</v>
      </c>
      <c r="G1217" s="119" t="s">
        <v>33</v>
      </c>
      <c r="H1217" s="121">
        <v>275000</v>
      </c>
      <c r="I1217" s="121">
        <v>109600</v>
      </c>
      <c r="J1217" s="122">
        <f t="shared" si="131"/>
        <v>39.854545454545452</v>
      </c>
      <c r="K1217" s="121">
        <v>230207</v>
      </c>
      <c r="L1217" s="121">
        <f>H1217-217336</f>
        <v>57664</v>
      </c>
      <c r="M1217" s="121">
        <v>12871</v>
      </c>
      <c r="N1217" s="123">
        <f t="shared" si="132"/>
        <v>4.6803636363636367E-2</v>
      </c>
      <c r="O1217" s="124">
        <v>61.29</v>
      </c>
      <c r="P1217" s="125">
        <v>120</v>
      </c>
      <c r="Q1217" s="126">
        <v>0.16500000000000001</v>
      </c>
      <c r="R1217" s="126">
        <v>0.16500000000000001</v>
      </c>
      <c r="S1217" s="121">
        <f t="shared" si="133"/>
        <v>940.83863599282108</v>
      </c>
      <c r="T1217" s="121">
        <f t="shared" si="134"/>
        <v>349478.78787878784</v>
      </c>
      <c r="U1217" s="127">
        <f t="shared" si="135"/>
        <v>8.0229290146645518</v>
      </c>
      <c r="V1217" s="126">
        <v>60</v>
      </c>
      <c r="W1217" s="126">
        <f t="shared" si="136"/>
        <v>55000</v>
      </c>
      <c r="X1217" s="126">
        <f t="shared" si="137"/>
        <v>916.66666666666663</v>
      </c>
      <c r="Y1217" s="128" t="s">
        <v>1536</v>
      </c>
      <c r="Z1217" s="119" t="s">
        <v>35</v>
      </c>
      <c r="AA1217" s="119" t="s">
        <v>35</v>
      </c>
      <c r="AB1217" s="119" t="s">
        <v>1537</v>
      </c>
      <c r="AC1217" s="119">
        <v>0</v>
      </c>
      <c r="AD1217" s="119">
        <v>1</v>
      </c>
      <c r="AE1217" s="119" t="s">
        <v>42</v>
      </c>
      <c r="AF1217" s="119" t="s">
        <v>43</v>
      </c>
      <c r="AG1217" s="119" t="s">
        <v>38</v>
      </c>
      <c r="AH1217" s="119" t="s">
        <v>92</v>
      </c>
    </row>
    <row r="1218" spans="1:34" x14ac:dyDescent="0.3">
      <c r="A1218" s="118" t="s">
        <v>1537</v>
      </c>
      <c r="B1218" s="119" t="s">
        <v>1670</v>
      </c>
      <c r="C1218" s="119" t="s">
        <v>1671</v>
      </c>
      <c r="D1218" s="120">
        <v>45681</v>
      </c>
      <c r="E1218" s="121">
        <v>230000</v>
      </c>
      <c r="F1218" s="119" t="s">
        <v>32</v>
      </c>
      <c r="G1218" s="119" t="s">
        <v>33</v>
      </c>
      <c r="H1218" s="121">
        <v>230000</v>
      </c>
      <c r="I1218" s="121">
        <v>84100</v>
      </c>
      <c r="J1218" s="122">
        <f t="shared" ref="J1218:J1281" si="138">I1218/H1218*100</f>
        <v>36.565217391304351</v>
      </c>
      <c r="K1218" s="121">
        <v>180060</v>
      </c>
      <c r="L1218" s="121">
        <f>H1218-170027</f>
        <v>59973</v>
      </c>
      <c r="M1218" s="121">
        <v>10033</v>
      </c>
      <c r="N1218" s="123">
        <f t="shared" ref="N1218:N1281" si="139">M1218/E1218</f>
        <v>4.3621739130434781E-2</v>
      </c>
      <c r="O1218" s="124">
        <v>47.77</v>
      </c>
      <c r="P1218" s="125">
        <v>105</v>
      </c>
      <c r="Q1218" s="126">
        <v>0.121</v>
      </c>
      <c r="R1218" s="126">
        <v>0.121</v>
      </c>
      <c r="S1218" s="121">
        <f t="shared" ref="S1218:S1281" si="140">L1218/O1218</f>
        <v>1255.4532133137952</v>
      </c>
      <c r="T1218" s="121">
        <f t="shared" ref="T1218:T1281" si="141">L1218/Q1218</f>
        <v>495644.62809917354</v>
      </c>
      <c r="U1218" s="127">
        <f t="shared" ref="U1218:U1281" si="142">L1218/Q1218/43560</f>
        <v>11.378434988502606</v>
      </c>
      <c r="V1218" s="126">
        <v>50</v>
      </c>
      <c r="W1218" s="126">
        <f t="shared" ref="W1218:W1281" si="143">0.2*E1218</f>
        <v>46000</v>
      </c>
      <c r="X1218" s="126">
        <f t="shared" si="137"/>
        <v>920</v>
      </c>
      <c r="Y1218" s="128" t="s">
        <v>1536</v>
      </c>
      <c r="Z1218" s="119" t="s">
        <v>35</v>
      </c>
      <c r="AA1218" s="119" t="s">
        <v>35</v>
      </c>
      <c r="AB1218" s="119" t="s">
        <v>1537</v>
      </c>
      <c r="AC1218" s="119">
        <v>0</v>
      </c>
      <c r="AD1218" s="119">
        <v>1</v>
      </c>
      <c r="AE1218" s="119" t="s">
        <v>42</v>
      </c>
      <c r="AF1218" s="119" t="s">
        <v>35</v>
      </c>
      <c r="AG1218" s="119" t="s">
        <v>38</v>
      </c>
      <c r="AH1218" s="119" t="s">
        <v>92</v>
      </c>
    </row>
    <row r="1219" spans="1:34" x14ac:dyDescent="0.3">
      <c r="A1219" s="107" t="s">
        <v>1537</v>
      </c>
      <c r="B1219" s="108" t="s">
        <v>1602</v>
      </c>
      <c r="C1219" s="108" t="s">
        <v>1603</v>
      </c>
      <c r="D1219" s="109">
        <v>45154</v>
      </c>
      <c r="E1219" s="110">
        <v>230000</v>
      </c>
      <c r="F1219" s="108" t="s">
        <v>32</v>
      </c>
      <c r="G1219" s="108" t="s">
        <v>33</v>
      </c>
      <c r="H1219" s="110">
        <v>230000</v>
      </c>
      <c r="I1219" s="110">
        <v>98800</v>
      </c>
      <c r="J1219" s="111">
        <f t="shared" si="138"/>
        <v>42.95652173913043</v>
      </c>
      <c r="K1219" s="110">
        <v>243567</v>
      </c>
      <c r="L1219" s="110">
        <f>H1219-232023</f>
        <v>-2023</v>
      </c>
      <c r="M1219" s="110">
        <v>11544</v>
      </c>
      <c r="N1219" s="112">
        <f t="shared" si="139"/>
        <v>5.0191304347826086E-2</v>
      </c>
      <c r="O1219" s="113">
        <v>54.97</v>
      </c>
      <c r="P1219" s="114">
        <v>139</v>
      </c>
      <c r="Q1219" s="115">
        <v>0.16</v>
      </c>
      <c r="R1219" s="115">
        <v>0.16</v>
      </c>
      <c r="S1219" s="110">
        <f t="shared" si="140"/>
        <v>-36.801891941058763</v>
      </c>
      <c r="T1219" s="110">
        <f t="shared" si="141"/>
        <v>-12643.75</v>
      </c>
      <c r="U1219" s="116">
        <f t="shared" si="142"/>
        <v>-0.29026056014692381</v>
      </c>
      <c r="V1219" s="115">
        <v>50</v>
      </c>
      <c r="W1219" s="115">
        <f t="shared" si="143"/>
        <v>46000</v>
      </c>
      <c r="X1219" s="115">
        <f t="shared" si="137"/>
        <v>920</v>
      </c>
      <c r="Y1219" s="117" t="s">
        <v>1536</v>
      </c>
      <c r="Z1219" s="108" t="s">
        <v>35</v>
      </c>
      <c r="AA1219" s="108" t="s">
        <v>35</v>
      </c>
      <c r="AB1219" s="108" t="s">
        <v>1537</v>
      </c>
      <c r="AC1219" s="108">
        <v>0</v>
      </c>
      <c r="AD1219" s="108">
        <v>1</v>
      </c>
      <c r="AE1219" s="108" t="s">
        <v>42</v>
      </c>
      <c r="AF1219" s="108" t="s">
        <v>43</v>
      </c>
      <c r="AG1219" s="108" t="s">
        <v>38</v>
      </c>
      <c r="AH1219" s="108" t="s">
        <v>92</v>
      </c>
    </row>
    <row r="1220" spans="1:34" x14ac:dyDescent="0.3">
      <c r="A1220" s="107" t="s">
        <v>1537</v>
      </c>
      <c r="B1220" s="108" t="s">
        <v>1701</v>
      </c>
      <c r="C1220" s="108" t="s">
        <v>1702</v>
      </c>
      <c r="D1220" s="109">
        <v>45485</v>
      </c>
      <c r="E1220" s="110">
        <v>280000</v>
      </c>
      <c r="F1220" s="108" t="s">
        <v>32</v>
      </c>
      <c r="G1220" s="108" t="s">
        <v>33</v>
      </c>
      <c r="H1220" s="110">
        <v>280000</v>
      </c>
      <c r="I1220" s="110">
        <v>110900</v>
      </c>
      <c r="J1220" s="111">
        <f t="shared" si="138"/>
        <v>39.607142857142854</v>
      </c>
      <c r="K1220" s="110">
        <v>232444</v>
      </c>
      <c r="L1220" s="110">
        <f>H1220-219573</f>
        <v>60427</v>
      </c>
      <c r="M1220" s="110">
        <v>12871</v>
      </c>
      <c r="N1220" s="112">
        <f t="shared" si="139"/>
        <v>4.5967857142857144E-2</v>
      </c>
      <c r="O1220" s="113">
        <v>61.29</v>
      </c>
      <c r="P1220" s="114">
        <v>120</v>
      </c>
      <c r="Q1220" s="115">
        <v>0.16500000000000001</v>
      </c>
      <c r="R1220" s="115">
        <v>0.16500000000000001</v>
      </c>
      <c r="S1220" s="110">
        <f t="shared" si="140"/>
        <v>985.91939957578722</v>
      </c>
      <c r="T1220" s="110">
        <f t="shared" si="141"/>
        <v>366224.24242424243</v>
      </c>
      <c r="U1220" s="116">
        <f t="shared" si="142"/>
        <v>8.4073517544591923</v>
      </c>
      <c r="V1220" s="115">
        <v>60</v>
      </c>
      <c r="W1220" s="115">
        <f t="shared" si="143"/>
        <v>56000</v>
      </c>
      <c r="X1220" s="115">
        <f t="shared" si="137"/>
        <v>933.33333333333337</v>
      </c>
      <c r="Y1220" s="117" t="s">
        <v>1536</v>
      </c>
      <c r="Z1220" s="108" t="s">
        <v>35</v>
      </c>
      <c r="AA1220" s="108" t="s">
        <v>35</v>
      </c>
      <c r="AB1220" s="108" t="s">
        <v>1537</v>
      </c>
      <c r="AC1220" s="108">
        <v>0</v>
      </c>
      <c r="AD1220" s="108">
        <v>1</v>
      </c>
      <c r="AE1220" s="108" t="s">
        <v>42</v>
      </c>
      <c r="AF1220" s="108" t="s">
        <v>43</v>
      </c>
      <c r="AG1220" s="108" t="s">
        <v>38</v>
      </c>
      <c r="AH1220" s="108" t="s">
        <v>92</v>
      </c>
    </row>
    <row r="1221" spans="1:34" x14ac:dyDescent="0.3">
      <c r="A1221" s="118" t="s">
        <v>1537</v>
      </c>
      <c r="B1221" s="119" t="s">
        <v>1606</v>
      </c>
      <c r="C1221" s="119" t="s">
        <v>1607</v>
      </c>
      <c r="D1221" s="120">
        <v>45464</v>
      </c>
      <c r="E1221" s="121">
        <v>240000</v>
      </c>
      <c r="F1221" s="119" t="s">
        <v>32</v>
      </c>
      <c r="G1221" s="119" t="s">
        <v>33</v>
      </c>
      <c r="H1221" s="121">
        <v>240000</v>
      </c>
      <c r="I1221" s="121">
        <v>93800</v>
      </c>
      <c r="J1221" s="122">
        <f t="shared" si="138"/>
        <v>39.083333333333329</v>
      </c>
      <c r="K1221" s="121">
        <v>200666</v>
      </c>
      <c r="L1221" s="121">
        <f>H1221-189749</f>
        <v>50251</v>
      </c>
      <c r="M1221" s="121">
        <v>10917</v>
      </c>
      <c r="N1221" s="123">
        <f t="shared" si="139"/>
        <v>4.54875E-2</v>
      </c>
      <c r="O1221" s="124">
        <v>51.98</v>
      </c>
      <c r="P1221" s="125">
        <v>123.77</v>
      </c>
      <c r="Q1221" s="126">
        <v>0.14299999999999999</v>
      </c>
      <c r="R1221" s="126">
        <v>0.14299999999999999</v>
      </c>
      <c r="S1221" s="121">
        <f t="shared" si="140"/>
        <v>966.73720661793004</v>
      </c>
      <c r="T1221" s="121">
        <f t="shared" si="141"/>
        <v>351405.59440559446</v>
      </c>
      <c r="U1221" s="127">
        <f t="shared" si="142"/>
        <v>8.0671624060053819</v>
      </c>
      <c r="V1221" s="126">
        <v>50</v>
      </c>
      <c r="W1221" s="126">
        <f t="shared" si="143"/>
        <v>48000</v>
      </c>
      <c r="X1221" s="126">
        <f t="shared" si="137"/>
        <v>960</v>
      </c>
      <c r="Y1221" s="128" t="s">
        <v>1536</v>
      </c>
      <c r="Z1221" s="119" t="s">
        <v>35</v>
      </c>
      <c r="AA1221" s="119" t="s">
        <v>35</v>
      </c>
      <c r="AB1221" s="119" t="s">
        <v>1537</v>
      </c>
      <c r="AC1221" s="119">
        <v>0</v>
      </c>
      <c r="AD1221" s="119">
        <v>1</v>
      </c>
      <c r="AE1221" s="119" t="s">
        <v>42</v>
      </c>
      <c r="AF1221" s="119" t="s">
        <v>43</v>
      </c>
      <c r="AG1221" s="119" t="s">
        <v>38</v>
      </c>
      <c r="AH1221" s="119" t="s">
        <v>92</v>
      </c>
    </row>
    <row r="1222" spans="1:34" x14ac:dyDescent="0.3">
      <c r="A1222" s="107" t="s">
        <v>1537</v>
      </c>
      <c r="B1222" s="108" t="s">
        <v>1608</v>
      </c>
      <c r="C1222" s="108" t="s">
        <v>1609</v>
      </c>
      <c r="D1222" s="109">
        <v>45471</v>
      </c>
      <c r="E1222" s="110">
        <v>250000</v>
      </c>
      <c r="F1222" s="108" t="s">
        <v>32</v>
      </c>
      <c r="G1222" s="108" t="s">
        <v>33</v>
      </c>
      <c r="H1222" s="110">
        <v>250000</v>
      </c>
      <c r="I1222" s="110">
        <v>97200</v>
      </c>
      <c r="J1222" s="111">
        <f t="shared" si="138"/>
        <v>38.879999999999995</v>
      </c>
      <c r="K1222" s="110">
        <v>209232</v>
      </c>
      <c r="L1222" s="110">
        <f>H1222-197684</f>
        <v>52316</v>
      </c>
      <c r="M1222" s="110">
        <v>11548</v>
      </c>
      <c r="N1222" s="112">
        <f t="shared" si="139"/>
        <v>4.6191999999999997E-2</v>
      </c>
      <c r="O1222" s="113">
        <v>54.99</v>
      </c>
      <c r="P1222" s="114">
        <v>128.75</v>
      </c>
      <c r="Q1222" s="115">
        <v>0.158</v>
      </c>
      <c r="R1222" s="115">
        <v>0.158</v>
      </c>
      <c r="S1222" s="110">
        <f t="shared" si="140"/>
        <v>951.37297690489174</v>
      </c>
      <c r="T1222" s="110">
        <f t="shared" si="141"/>
        <v>331113.92405063292</v>
      </c>
      <c r="U1222" s="116">
        <f t="shared" si="142"/>
        <v>7.6013297532284874</v>
      </c>
      <c r="V1222" s="115">
        <v>49</v>
      </c>
      <c r="W1222" s="115">
        <f t="shared" si="143"/>
        <v>50000</v>
      </c>
      <c r="X1222" s="115">
        <f t="shared" si="137"/>
        <v>1020.4081632653061</v>
      </c>
      <c r="Y1222" s="117" t="s">
        <v>1536</v>
      </c>
      <c r="Z1222" s="108" t="s">
        <v>35</v>
      </c>
      <c r="AA1222" s="108" t="s">
        <v>35</v>
      </c>
      <c r="AB1222" s="108" t="s">
        <v>1537</v>
      </c>
      <c r="AC1222" s="108">
        <v>0</v>
      </c>
      <c r="AD1222" s="108">
        <v>1</v>
      </c>
      <c r="AE1222" s="108" t="s">
        <v>42</v>
      </c>
      <c r="AF1222" s="108" t="s">
        <v>43</v>
      </c>
      <c r="AG1222" s="108" t="s">
        <v>38</v>
      </c>
      <c r="AH1222" s="108" t="s">
        <v>92</v>
      </c>
    </row>
    <row r="1223" spans="1:34" x14ac:dyDescent="0.3">
      <c r="A1223" s="118" t="s">
        <v>1537</v>
      </c>
      <c r="B1223" s="119" t="s">
        <v>1610</v>
      </c>
      <c r="C1223" s="119" t="s">
        <v>1611</v>
      </c>
      <c r="D1223" s="120">
        <v>45743</v>
      </c>
      <c r="E1223" s="121">
        <v>271200</v>
      </c>
      <c r="F1223" s="119" t="s">
        <v>32</v>
      </c>
      <c r="G1223" s="119" t="s">
        <v>33</v>
      </c>
      <c r="H1223" s="121">
        <v>271200</v>
      </c>
      <c r="I1223" s="121">
        <v>89000</v>
      </c>
      <c r="J1223" s="122">
        <f t="shared" si="138"/>
        <v>32.817109144542769</v>
      </c>
      <c r="K1223" s="121">
        <v>190194</v>
      </c>
      <c r="L1223" s="121">
        <f>H1223-179925</f>
        <v>91275</v>
      </c>
      <c r="M1223" s="121">
        <v>10269</v>
      </c>
      <c r="N1223" s="123">
        <f t="shared" si="139"/>
        <v>3.786504424778761E-2</v>
      </c>
      <c r="O1223" s="124">
        <v>48.9</v>
      </c>
      <c r="P1223" s="125">
        <v>110</v>
      </c>
      <c r="Q1223" s="126">
        <v>0.126</v>
      </c>
      <c r="R1223" s="126">
        <v>0.126</v>
      </c>
      <c r="S1223" s="121">
        <f t="shared" si="140"/>
        <v>1866.5644171779143</v>
      </c>
      <c r="T1223" s="121">
        <f t="shared" si="141"/>
        <v>724404.76190476189</v>
      </c>
      <c r="U1223" s="127">
        <f t="shared" si="142"/>
        <v>16.630045039135947</v>
      </c>
      <c r="V1223" s="126">
        <v>50</v>
      </c>
      <c r="W1223" s="126">
        <f t="shared" si="143"/>
        <v>54240</v>
      </c>
      <c r="X1223" s="126">
        <f t="shared" si="137"/>
        <v>1084.8</v>
      </c>
      <c r="Y1223" s="128" t="s">
        <v>1536</v>
      </c>
      <c r="Z1223" s="119" t="s">
        <v>35</v>
      </c>
      <c r="AA1223" s="119" t="s">
        <v>35</v>
      </c>
      <c r="AB1223" s="119" t="s">
        <v>1537</v>
      </c>
      <c r="AC1223" s="119">
        <v>0</v>
      </c>
      <c r="AD1223" s="119">
        <v>1</v>
      </c>
      <c r="AE1223" s="119" t="s">
        <v>42</v>
      </c>
      <c r="AF1223" s="119" t="s">
        <v>35</v>
      </c>
      <c r="AG1223" s="119" t="s">
        <v>38</v>
      </c>
      <c r="AH1223" s="119" t="s">
        <v>92</v>
      </c>
    </row>
    <row r="1224" spans="1:34" x14ac:dyDescent="0.3">
      <c r="A1224" s="107" t="s">
        <v>1537</v>
      </c>
      <c r="B1224" s="108" t="s">
        <v>1594</v>
      </c>
      <c r="C1224" s="108" t="s">
        <v>1595</v>
      </c>
      <c r="D1224" s="109">
        <v>45604</v>
      </c>
      <c r="E1224" s="110">
        <v>275000</v>
      </c>
      <c r="F1224" s="108" t="s">
        <v>32</v>
      </c>
      <c r="G1224" s="108" t="s">
        <v>33</v>
      </c>
      <c r="H1224" s="110">
        <v>275000</v>
      </c>
      <c r="I1224" s="110">
        <v>100700</v>
      </c>
      <c r="J1224" s="111">
        <f t="shared" si="138"/>
        <v>36.618181818181817</v>
      </c>
      <c r="K1224" s="110">
        <v>215472</v>
      </c>
      <c r="L1224" s="110">
        <f>H1224-204433</f>
        <v>70567</v>
      </c>
      <c r="M1224" s="110">
        <v>11039</v>
      </c>
      <c r="N1224" s="112">
        <f t="shared" si="139"/>
        <v>4.0141818181818181E-2</v>
      </c>
      <c r="O1224" s="113">
        <v>52.56</v>
      </c>
      <c r="P1224" s="114">
        <v>112.8</v>
      </c>
      <c r="Q1224" s="115">
        <v>0.14499999999999999</v>
      </c>
      <c r="R1224" s="115">
        <v>0.14499999999999999</v>
      </c>
      <c r="S1224" s="110">
        <f t="shared" si="140"/>
        <v>1342.5989345509893</v>
      </c>
      <c r="T1224" s="110">
        <f t="shared" si="141"/>
        <v>486668.96551724139</v>
      </c>
      <c r="U1224" s="116">
        <f t="shared" si="142"/>
        <v>11.172382128494981</v>
      </c>
      <c r="V1224" s="115">
        <v>47</v>
      </c>
      <c r="W1224" s="115">
        <f t="shared" si="143"/>
        <v>55000</v>
      </c>
      <c r="X1224" s="115">
        <f t="shared" si="137"/>
        <v>1170.2127659574469</v>
      </c>
      <c r="Y1224" s="117" t="s">
        <v>1536</v>
      </c>
      <c r="Z1224" s="108" t="s">
        <v>35</v>
      </c>
      <c r="AA1224" s="108" t="s">
        <v>35</v>
      </c>
      <c r="AB1224" s="108" t="s">
        <v>1537</v>
      </c>
      <c r="AC1224" s="108">
        <v>0</v>
      </c>
      <c r="AD1224" s="108">
        <v>1</v>
      </c>
      <c r="AE1224" s="108" t="s">
        <v>42</v>
      </c>
      <c r="AF1224" s="108" t="s">
        <v>35</v>
      </c>
      <c r="AG1224" s="108" t="s">
        <v>38</v>
      </c>
      <c r="AH1224" s="108" t="s">
        <v>92</v>
      </c>
    </row>
    <row r="1225" spans="1:34" x14ac:dyDescent="0.3">
      <c r="A1225" s="107" t="s">
        <v>2083</v>
      </c>
      <c r="B1225" s="108" t="s">
        <v>2088</v>
      </c>
      <c r="C1225" s="108" t="s">
        <v>248</v>
      </c>
      <c r="D1225" s="109">
        <v>45441</v>
      </c>
      <c r="E1225" s="110">
        <v>6000</v>
      </c>
      <c r="F1225" s="108" t="s">
        <v>32</v>
      </c>
      <c r="G1225" s="108" t="s">
        <v>33</v>
      </c>
      <c r="H1225" s="110">
        <v>6000</v>
      </c>
      <c r="I1225" s="110">
        <v>3900</v>
      </c>
      <c r="J1225" s="111">
        <f t="shared" si="138"/>
        <v>65</v>
      </c>
      <c r="K1225" s="110">
        <v>8747</v>
      </c>
      <c r="L1225" s="110">
        <f>H1225-0</f>
        <v>6000</v>
      </c>
      <c r="M1225" s="110">
        <v>8747</v>
      </c>
      <c r="N1225" s="112">
        <f t="shared" si="139"/>
        <v>1.4578333333333333</v>
      </c>
      <c r="O1225" s="113">
        <v>41.45</v>
      </c>
      <c r="P1225" s="114">
        <v>145</v>
      </c>
      <c r="Q1225" s="115">
        <v>0.13300000000000001</v>
      </c>
      <c r="R1225" s="115">
        <v>0.13300000000000001</v>
      </c>
      <c r="S1225" s="110">
        <f t="shared" si="140"/>
        <v>144.75271411338963</v>
      </c>
      <c r="T1225" s="110">
        <f t="shared" si="141"/>
        <v>45112.781954887214</v>
      </c>
      <c r="U1225" s="116">
        <f t="shared" si="142"/>
        <v>1.0356469686613226</v>
      </c>
      <c r="V1225" s="115">
        <v>40</v>
      </c>
      <c r="W1225" s="115">
        <f t="shared" si="143"/>
        <v>1200</v>
      </c>
      <c r="X1225" s="115">
        <f t="shared" si="137"/>
        <v>30</v>
      </c>
      <c r="Y1225" s="117" t="s">
        <v>2081</v>
      </c>
      <c r="Z1225" s="108" t="s">
        <v>35</v>
      </c>
      <c r="AA1225" s="108" t="s">
        <v>35</v>
      </c>
      <c r="AB1225" s="108" t="s">
        <v>2083</v>
      </c>
      <c r="AC1225" s="108">
        <v>0</v>
      </c>
      <c r="AD1225" s="108">
        <v>1</v>
      </c>
      <c r="AE1225" s="108" t="s">
        <v>42</v>
      </c>
      <c r="AF1225" s="108" t="s">
        <v>43</v>
      </c>
      <c r="AG1225" s="108" t="s">
        <v>61</v>
      </c>
      <c r="AH1225" s="108" t="s">
        <v>92</v>
      </c>
    </row>
    <row r="1226" spans="1:34" x14ac:dyDescent="0.3">
      <c r="A1226" s="107" t="s">
        <v>2083</v>
      </c>
      <c r="B1226" s="108" t="s">
        <v>2079</v>
      </c>
      <c r="C1226" s="108" t="s">
        <v>2080</v>
      </c>
      <c r="D1226" s="109">
        <v>45169</v>
      </c>
      <c r="E1226" s="110">
        <v>105000</v>
      </c>
      <c r="F1226" s="108" t="s">
        <v>32</v>
      </c>
      <c r="G1226" s="108" t="s">
        <v>66</v>
      </c>
      <c r="H1226" s="110">
        <v>105000</v>
      </c>
      <c r="I1226" s="110">
        <v>58600</v>
      </c>
      <c r="J1226" s="111">
        <f t="shared" si="138"/>
        <v>55.80952380952381</v>
      </c>
      <c r="K1226" s="110">
        <v>164902</v>
      </c>
      <c r="L1226" s="110">
        <f>H1226-146267</f>
        <v>-41267</v>
      </c>
      <c r="M1226" s="110">
        <v>18635</v>
      </c>
      <c r="N1226" s="112">
        <f t="shared" si="139"/>
        <v>0.17747619047619048</v>
      </c>
      <c r="O1226" s="113">
        <v>88.31</v>
      </c>
      <c r="P1226" s="114">
        <v>260</v>
      </c>
      <c r="Q1226" s="115">
        <v>0.26800000000000002</v>
      </c>
      <c r="R1226" s="115">
        <v>0.14899999999999999</v>
      </c>
      <c r="S1226" s="110">
        <f t="shared" si="140"/>
        <v>-467.29702185482955</v>
      </c>
      <c r="T1226" s="110">
        <f t="shared" si="141"/>
        <v>-153981.34328358207</v>
      </c>
      <c r="U1226" s="116">
        <f t="shared" si="142"/>
        <v>-3.5349252360785601</v>
      </c>
      <c r="V1226" s="115">
        <v>90</v>
      </c>
      <c r="W1226" s="115">
        <f t="shared" si="143"/>
        <v>21000</v>
      </c>
      <c r="X1226" s="115">
        <f t="shared" si="137"/>
        <v>233.33333333333334</v>
      </c>
      <c r="Y1226" s="117" t="s">
        <v>2081</v>
      </c>
      <c r="Z1226" s="108" t="s">
        <v>35</v>
      </c>
      <c r="AA1226" s="108" t="s">
        <v>2082</v>
      </c>
      <c r="AB1226" s="108" t="s">
        <v>2083</v>
      </c>
      <c r="AC1226" s="108">
        <v>0</v>
      </c>
      <c r="AD1226" s="108">
        <v>1</v>
      </c>
      <c r="AE1226" s="108" t="s">
        <v>42</v>
      </c>
      <c r="AF1226" s="108" t="s">
        <v>43</v>
      </c>
      <c r="AG1226" s="108" t="s">
        <v>38</v>
      </c>
      <c r="AH1226" s="108" t="s">
        <v>92</v>
      </c>
    </row>
    <row r="1227" spans="1:34" x14ac:dyDescent="0.3">
      <c r="A1227" s="107" t="s">
        <v>2083</v>
      </c>
      <c r="B1227" s="108" t="s">
        <v>2103</v>
      </c>
      <c r="C1227" s="108" t="s">
        <v>2104</v>
      </c>
      <c r="D1227" s="109">
        <v>45721</v>
      </c>
      <c r="E1227" s="110">
        <v>52000</v>
      </c>
      <c r="F1227" s="108" t="s">
        <v>32</v>
      </c>
      <c r="G1227" s="108" t="s">
        <v>33</v>
      </c>
      <c r="H1227" s="110">
        <v>52000</v>
      </c>
      <c r="I1227" s="110">
        <v>64900</v>
      </c>
      <c r="J1227" s="111">
        <f t="shared" si="138"/>
        <v>124.80769230769231</v>
      </c>
      <c r="K1227" s="110">
        <v>145136</v>
      </c>
      <c r="L1227" s="110">
        <f>H1227-136524</f>
        <v>-84524</v>
      </c>
      <c r="M1227" s="110">
        <v>8612</v>
      </c>
      <c r="N1227" s="112">
        <f t="shared" si="139"/>
        <v>0.16561538461538461</v>
      </c>
      <c r="O1227" s="113">
        <v>40.81</v>
      </c>
      <c r="P1227" s="114">
        <v>140.55000000000001</v>
      </c>
      <c r="Q1227" s="115">
        <v>0.129</v>
      </c>
      <c r="R1227" s="115">
        <v>0.129</v>
      </c>
      <c r="S1227" s="110">
        <f t="shared" si="140"/>
        <v>-2071.1590296495956</v>
      </c>
      <c r="T1227" s="110">
        <f t="shared" si="141"/>
        <v>-655224.80620155041</v>
      </c>
      <c r="U1227" s="116">
        <f t="shared" si="142"/>
        <v>-15.041891786077834</v>
      </c>
      <c r="V1227" s="115">
        <v>40</v>
      </c>
      <c r="W1227" s="115">
        <f t="shared" si="143"/>
        <v>10400</v>
      </c>
      <c r="X1227" s="115">
        <f t="shared" si="137"/>
        <v>260</v>
      </c>
      <c r="Y1227" s="117" t="s">
        <v>2081</v>
      </c>
      <c r="Z1227" s="108" t="s">
        <v>35</v>
      </c>
      <c r="AA1227" s="108" t="s">
        <v>35</v>
      </c>
      <c r="AB1227" s="108" t="s">
        <v>2083</v>
      </c>
      <c r="AC1227" s="108">
        <v>0</v>
      </c>
      <c r="AD1227" s="108">
        <v>1</v>
      </c>
      <c r="AE1227" s="108" t="s">
        <v>37</v>
      </c>
      <c r="AF1227" s="108" t="s">
        <v>35</v>
      </c>
      <c r="AG1227" s="108" t="s">
        <v>38</v>
      </c>
      <c r="AH1227" s="108" t="s">
        <v>92</v>
      </c>
    </row>
    <row r="1228" spans="1:34" x14ac:dyDescent="0.3">
      <c r="A1228" s="107" t="s">
        <v>2083</v>
      </c>
      <c r="B1228" s="108" t="s">
        <v>2095</v>
      </c>
      <c r="C1228" s="108" t="s">
        <v>2096</v>
      </c>
      <c r="D1228" s="109">
        <v>45309</v>
      </c>
      <c r="E1228" s="110">
        <v>160000</v>
      </c>
      <c r="F1228" s="108" t="s">
        <v>32</v>
      </c>
      <c r="G1228" s="108" t="s">
        <v>33</v>
      </c>
      <c r="H1228" s="110">
        <v>160000</v>
      </c>
      <c r="I1228" s="110">
        <v>48000</v>
      </c>
      <c r="J1228" s="111">
        <f t="shared" si="138"/>
        <v>30</v>
      </c>
      <c r="K1228" s="110">
        <v>131901</v>
      </c>
      <c r="L1228" s="110">
        <f>H1228-113867</f>
        <v>46133</v>
      </c>
      <c r="M1228" s="110">
        <v>18034</v>
      </c>
      <c r="N1228" s="112">
        <f t="shared" si="139"/>
        <v>0.11271249999999999</v>
      </c>
      <c r="O1228" s="113">
        <v>85.47</v>
      </c>
      <c r="P1228" s="114">
        <v>136.5</v>
      </c>
      <c r="Q1228" s="115">
        <v>0.26600000000000001</v>
      </c>
      <c r="R1228" s="115">
        <v>0.26600000000000001</v>
      </c>
      <c r="S1228" s="110">
        <f t="shared" si="140"/>
        <v>539.75663975663974</v>
      </c>
      <c r="T1228" s="110">
        <f t="shared" si="141"/>
        <v>173432.33082706766</v>
      </c>
      <c r="U1228" s="116">
        <f t="shared" si="142"/>
        <v>3.9814584671044</v>
      </c>
      <c r="V1228" s="115">
        <v>85</v>
      </c>
      <c r="W1228" s="115">
        <f t="shared" si="143"/>
        <v>32000</v>
      </c>
      <c r="X1228" s="115">
        <f t="shared" si="137"/>
        <v>376.47058823529414</v>
      </c>
      <c r="Y1228" s="117" t="s">
        <v>2081</v>
      </c>
      <c r="Z1228" s="108" t="s">
        <v>35</v>
      </c>
      <c r="AA1228" s="108" t="s">
        <v>35</v>
      </c>
      <c r="AB1228" s="108" t="s">
        <v>2083</v>
      </c>
      <c r="AC1228" s="108">
        <v>0</v>
      </c>
      <c r="AD1228" s="108">
        <v>1</v>
      </c>
      <c r="AE1228" s="108" t="s">
        <v>37</v>
      </c>
      <c r="AF1228" s="108" t="s">
        <v>43</v>
      </c>
      <c r="AG1228" s="108" t="s">
        <v>38</v>
      </c>
      <c r="AH1228" s="108" t="s">
        <v>92</v>
      </c>
    </row>
    <row r="1229" spans="1:34" x14ac:dyDescent="0.3">
      <c r="A1229" s="118" t="s">
        <v>2083</v>
      </c>
      <c r="B1229" s="119" t="s">
        <v>2101</v>
      </c>
      <c r="C1229" s="119" t="s">
        <v>2102</v>
      </c>
      <c r="D1229" s="120">
        <v>45513</v>
      </c>
      <c r="E1229" s="121">
        <v>175000</v>
      </c>
      <c r="F1229" s="119" t="s">
        <v>32</v>
      </c>
      <c r="G1229" s="119" t="s">
        <v>33</v>
      </c>
      <c r="H1229" s="121">
        <v>175000</v>
      </c>
      <c r="I1229" s="121">
        <v>89900</v>
      </c>
      <c r="J1229" s="122">
        <f t="shared" si="138"/>
        <v>51.371428571428567</v>
      </c>
      <c r="K1229" s="121">
        <v>209318</v>
      </c>
      <c r="L1229" s="121">
        <f>H1229-192338</f>
        <v>-17338</v>
      </c>
      <c r="M1229" s="121">
        <v>16980</v>
      </c>
      <c r="N1229" s="123">
        <f t="shared" si="139"/>
        <v>9.7028571428571422E-2</v>
      </c>
      <c r="O1229" s="124">
        <v>80.47</v>
      </c>
      <c r="P1229" s="125">
        <v>136.6</v>
      </c>
      <c r="Q1229" s="126">
        <v>0.251</v>
      </c>
      <c r="R1229" s="126">
        <v>0.251</v>
      </c>
      <c r="S1229" s="121">
        <f t="shared" si="140"/>
        <v>-215.45917733316764</v>
      </c>
      <c r="T1229" s="121">
        <f t="shared" si="141"/>
        <v>-69075.697211155377</v>
      </c>
      <c r="U1229" s="127">
        <f t="shared" si="142"/>
        <v>-1.5857598074186265</v>
      </c>
      <c r="V1229" s="126">
        <v>80</v>
      </c>
      <c r="W1229" s="126">
        <f t="shared" si="143"/>
        <v>35000</v>
      </c>
      <c r="X1229" s="126">
        <f t="shared" si="137"/>
        <v>437.5</v>
      </c>
      <c r="Y1229" s="128" t="s">
        <v>2081</v>
      </c>
      <c r="Z1229" s="119" t="s">
        <v>35</v>
      </c>
      <c r="AA1229" s="119" t="s">
        <v>35</v>
      </c>
      <c r="AB1229" s="119" t="s">
        <v>2083</v>
      </c>
      <c r="AC1229" s="119">
        <v>0</v>
      </c>
      <c r="AD1229" s="119">
        <v>1</v>
      </c>
      <c r="AE1229" s="119" t="s">
        <v>42</v>
      </c>
      <c r="AF1229" s="119" t="s">
        <v>43</v>
      </c>
      <c r="AG1229" s="119" t="s">
        <v>38</v>
      </c>
      <c r="AH1229" s="119" t="s">
        <v>92</v>
      </c>
    </row>
    <row r="1230" spans="1:34" x14ac:dyDescent="0.3">
      <c r="A1230" s="107" t="s">
        <v>2083</v>
      </c>
      <c r="B1230" s="108" t="s">
        <v>2097</v>
      </c>
      <c r="C1230" s="108" t="s">
        <v>2098</v>
      </c>
      <c r="D1230" s="109">
        <v>45442</v>
      </c>
      <c r="E1230" s="110">
        <v>100000</v>
      </c>
      <c r="F1230" s="108" t="s">
        <v>32</v>
      </c>
      <c r="G1230" s="108" t="s">
        <v>33</v>
      </c>
      <c r="H1230" s="110">
        <v>100000</v>
      </c>
      <c r="I1230" s="110">
        <v>70400</v>
      </c>
      <c r="J1230" s="111">
        <f t="shared" si="138"/>
        <v>70.399999999999991</v>
      </c>
      <c r="K1230" s="110">
        <v>161635</v>
      </c>
      <c r="L1230" s="110">
        <f>H1230-153148</f>
        <v>-53148</v>
      </c>
      <c r="M1230" s="110">
        <v>8487</v>
      </c>
      <c r="N1230" s="112">
        <f t="shared" si="139"/>
        <v>8.4870000000000001E-2</v>
      </c>
      <c r="O1230" s="113">
        <v>40.22</v>
      </c>
      <c r="P1230" s="114">
        <v>136.5</v>
      </c>
      <c r="Q1230" s="115">
        <v>0.125</v>
      </c>
      <c r="R1230" s="115">
        <v>0.125</v>
      </c>
      <c r="S1230" s="110">
        <f t="shared" si="140"/>
        <v>-1321.4321233217306</v>
      </c>
      <c r="T1230" s="110">
        <f t="shared" si="141"/>
        <v>-425184</v>
      </c>
      <c r="U1230" s="116">
        <f t="shared" si="142"/>
        <v>-9.7608815426997246</v>
      </c>
      <c r="V1230" s="115">
        <v>40</v>
      </c>
      <c r="W1230" s="115">
        <f t="shared" si="143"/>
        <v>20000</v>
      </c>
      <c r="X1230" s="115">
        <f t="shared" si="137"/>
        <v>500</v>
      </c>
      <c r="Y1230" s="117" t="s">
        <v>2081</v>
      </c>
      <c r="Z1230" s="108" t="s">
        <v>35</v>
      </c>
      <c r="AA1230" s="108" t="s">
        <v>35</v>
      </c>
      <c r="AB1230" s="108" t="s">
        <v>2083</v>
      </c>
      <c r="AC1230" s="108">
        <v>0</v>
      </c>
      <c r="AD1230" s="108">
        <v>1</v>
      </c>
      <c r="AE1230" s="108" t="s">
        <v>37</v>
      </c>
      <c r="AF1230" s="108" t="s">
        <v>43</v>
      </c>
      <c r="AG1230" s="108" t="s">
        <v>38</v>
      </c>
      <c r="AH1230" s="108" t="s">
        <v>92</v>
      </c>
    </row>
    <row r="1231" spans="1:34" x14ac:dyDescent="0.3">
      <c r="A1231" s="118" t="s">
        <v>2083</v>
      </c>
      <c r="B1231" s="119" t="s">
        <v>2099</v>
      </c>
      <c r="C1231" s="119" t="s">
        <v>2100</v>
      </c>
      <c r="D1231" s="120">
        <v>45243</v>
      </c>
      <c r="E1231" s="121">
        <v>120000</v>
      </c>
      <c r="F1231" s="119" t="s">
        <v>32</v>
      </c>
      <c r="G1231" s="119" t="s">
        <v>33</v>
      </c>
      <c r="H1231" s="121">
        <v>120000</v>
      </c>
      <c r="I1231" s="121">
        <v>61100</v>
      </c>
      <c r="J1231" s="122">
        <f t="shared" si="138"/>
        <v>50.916666666666664</v>
      </c>
      <c r="K1231" s="121">
        <v>171558</v>
      </c>
      <c r="L1231" s="121">
        <f>H1231-162811</f>
        <v>-42811</v>
      </c>
      <c r="M1231" s="121">
        <v>8747</v>
      </c>
      <c r="N1231" s="123">
        <f t="shared" si="139"/>
        <v>7.289166666666666E-2</v>
      </c>
      <c r="O1231" s="124">
        <v>41.45</v>
      </c>
      <c r="P1231" s="125">
        <v>145</v>
      </c>
      <c r="Q1231" s="126">
        <v>0.13300000000000001</v>
      </c>
      <c r="R1231" s="126">
        <v>0.13300000000000001</v>
      </c>
      <c r="S1231" s="121">
        <f t="shared" si="140"/>
        <v>-1032.8347406513872</v>
      </c>
      <c r="T1231" s="121">
        <f t="shared" si="141"/>
        <v>-321887.21804511279</v>
      </c>
      <c r="U1231" s="127">
        <f t="shared" si="142"/>
        <v>-7.389513729226648</v>
      </c>
      <c r="V1231" s="126">
        <v>40</v>
      </c>
      <c r="W1231" s="126">
        <f t="shared" si="143"/>
        <v>24000</v>
      </c>
      <c r="X1231" s="126">
        <f t="shared" si="137"/>
        <v>600</v>
      </c>
      <c r="Y1231" s="128" t="s">
        <v>2081</v>
      </c>
      <c r="Z1231" s="119" t="s">
        <v>35</v>
      </c>
      <c r="AA1231" s="119" t="s">
        <v>35</v>
      </c>
      <c r="AB1231" s="119" t="s">
        <v>2083</v>
      </c>
      <c r="AC1231" s="119">
        <v>0</v>
      </c>
      <c r="AD1231" s="119">
        <v>1</v>
      </c>
      <c r="AE1231" s="119" t="s">
        <v>42</v>
      </c>
      <c r="AF1231" s="119" t="s">
        <v>43</v>
      </c>
      <c r="AG1231" s="119" t="s">
        <v>38</v>
      </c>
      <c r="AH1231" s="119" t="s">
        <v>92</v>
      </c>
    </row>
    <row r="1232" spans="1:34" x14ac:dyDescent="0.3">
      <c r="A1232" s="107" t="s">
        <v>2083</v>
      </c>
      <c r="B1232" s="108" t="s">
        <v>2089</v>
      </c>
      <c r="C1232" s="108" t="s">
        <v>2090</v>
      </c>
      <c r="D1232" s="109">
        <v>45051</v>
      </c>
      <c r="E1232" s="110">
        <v>122000</v>
      </c>
      <c r="F1232" s="108" t="s">
        <v>32</v>
      </c>
      <c r="G1232" s="108" t="s">
        <v>33</v>
      </c>
      <c r="H1232" s="110">
        <v>122000</v>
      </c>
      <c r="I1232" s="110">
        <v>47100</v>
      </c>
      <c r="J1232" s="111">
        <f t="shared" si="138"/>
        <v>38.606557377049178</v>
      </c>
      <c r="K1232" s="110">
        <v>130999</v>
      </c>
      <c r="L1232" s="110">
        <f>H1232-122252</f>
        <v>-252</v>
      </c>
      <c r="M1232" s="110">
        <v>8747</v>
      </c>
      <c r="N1232" s="112">
        <f t="shared" si="139"/>
        <v>7.1696721311475406E-2</v>
      </c>
      <c r="O1232" s="113">
        <v>41.45</v>
      </c>
      <c r="P1232" s="114">
        <v>145</v>
      </c>
      <c r="Q1232" s="115">
        <v>0.13300000000000001</v>
      </c>
      <c r="R1232" s="115">
        <v>0.13300000000000001</v>
      </c>
      <c r="S1232" s="110">
        <f t="shared" si="140"/>
        <v>-6.079613992762364</v>
      </c>
      <c r="T1232" s="110">
        <f t="shared" si="141"/>
        <v>-1894.7368421052631</v>
      </c>
      <c r="U1232" s="116">
        <f t="shared" si="142"/>
        <v>-4.3497172683775551E-2</v>
      </c>
      <c r="V1232" s="115">
        <v>40</v>
      </c>
      <c r="W1232" s="115">
        <f t="shared" si="143"/>
        <v>24400</v>
      </c>
      <c r="X1232" s="115">
        <f t="shared" si="137"/>
        <v>610</v>
      </c>
      <c r="Y1232" s="117" t="s">
        <v>2081</v>
      </c>
      <c r="Z1232" s="108" t="s">
        <v>35</v>
      </c>
      <c r="AA1232" s="108" t="s">
        <v>35</v>
      </c>
      <c r="AB1232" s="108" t="s">
        <v>2083</v>
      </c>
      <c r="AC1232" s="108">
        <v>0</v>
      </c>
      <c r="AD1232" s="108">
        <v>1</v>
      </c>
      <c r="AE1232" s="108" t="s">
        <v>42</v>
      </c>
      <c r="AF1232" s="108" t="s">
        <v>43</v>
      </c>
      <c r="AG1232" s="108" t="s">
        <v>38</v>
      </c>
      <c r="AH1232" s="108" t="s">
        <v>92</v>
      </c>
    </row>
    <row r="1233" spans="1:34" x14ac:dyDescent="0.3">
      <c r="A1233" s="118" t="s">
        <v>2083</v>
      </c>
      <c r="B1233" s="119" t="s">
        <v>2091</v>
      </c>
      <c r="C1233" s="119" t="s">
        <v>2092</v>
      </c>
      <c r="D1233" s="120">
        <v>45702</v>
      </c>
      <c r="E1233" s="121">
        <v>125000</v>
      </c>
      <c r="F1233" s="119" t="s">
        <v>81</v>
      </c>
      <c r="G1233" s="119" t="s">
        <v>33</v>
      </c>
      <c r="H1233" s="121">
        <v>125000</v>
      </c>
      <c r="I1233" s="121">
        <v>61300</v>
      </c>
      <c r="J1233" s="122">
        <f t="shared" si="138"/>
        <v>49.04</v>
      </c>
      <c r="K1233" s="121">
        <v>136731</v>
      </c>
      <c r="L1233" s="121">
        <f>H1233-128244</f>
        <v>-3244</v>
      </c>
      <c r="M1233" s="121">
        <v>8487</v>
      </c>
      <c r="N1233" s="123">
        <f t="shared" si="139"/>
        <v>6.7895999999999998E-2</v>
      </c>
      <c r="O1233" s="124">
        <v>40.22</v>
      </c>
      <c r="P1233" s="125">
        <v>136.5</v>
      </c>
      <c r="Q1233" s="126">
        <v>0.125</v>
      </c>
      <c r="R1233" s="126">
        <v>0.125</v>
      </c>
      <c r="S1233" s="121">
        <f t="shared" si="140"/>
        <v>-80.656389855793137</v>
      </c>
      <c r="T1233" s="121">
        <f t="shared" si="141"/>
        <v>-25952</v>
      </c>
      <c r="U1233" s="127">
        <f t="shared" si="142"/>
        <v>-0.59577594123048672</v>
      </c>
      <c r="V1233" s="126">
        <v>40</v>
      </c>
      <c r="W1233" s="126">
        <f t="shared" si="143"/>
        <v>25000</v>
      </c>
      <c r="X1233" s="126">
        <f t="shared" si="137"/>
        <v>625</v>
      </c>
      <c r="Y1233" s="128" t="s">
        <v>2081</v>
      </c>
      <c r="Z1233" s="119" t="s">
        <v>35</v>
      </c>
      <c r="AA1233" s="119" t="s">
        <v>35</v>
      </c>
      <c r="AB1233" s="119" t="s">
        <v>2083</v>
      </c>
      <c r="AC1233" s="119">
        <v>0</v>
      </c>
      <c r="AD1233" s="119">
        <v>1</v>
      </c>
      <c r="AE1233" s="119" t="s">
        <v>37</v>
      </c>
      <c r="AF1233" s="119" t="s">
        <v>35</v>
      </c>
      <c r="AG1233" s="119" t="s">
        <v>38</v>
      </c>
      <c r="AH1233" s="119" t="s">
        <v>92</v>
      </c>
    </row>
    <row r="1234" spans="1:34" x14ac:dyDescent="0.3">
      <c r="A1234" s="118" t="s">
        <v>2083</v>
      </c>
      <c r="B1234" s="119" t="s">
        <v>2093</v>
      </c>
      <c r="C1234" s="119" t="s">
        <v>2094</v>
      </c>
      <c r="D1234" s="120">
        <v>45373</v>
      </c>
      <c r="E1234" s="121">
        <v>183000</v>
      </c>
      <c r="F1234" s="119" t="s">
        <v>32</v>
      </c>
      <c r="G1234" s="119" t="s">
        <v>33</v>
      </c>
      <c r="H1234" s="121">
        <v>183000</v>
      </c>
      <c r="I1234" s="121">
        <v>56300</v>
      </c>
      <c r="J1234" s="122">
        <f t="shared" si="138"/>
        <v>30.765027322404372</v>
      </c>
      <c r="K1234" s="121">
        <v>156422</v>
      </c>
      <c r="L1234" s="121">
        <f>H1234-145560</f>
        <v>37440</v>
      </c>
      <c r="M1234" s="121">
        <v>10862</v>
      </c>
      <c r="N1234" s="123">
        <f t="shared" si="139"/>
        <v>5.93551912568306E-2</v>
      </c>
      <c r="O1234" s="124">
        <v>51.47</v>
      </c>
      <c r="P1234" s="125">
        <v>110</v>
      </c>
      <c r="Q1234" s="126">
        <v>0.14399999999999999</v>
      </c>
      <c r="R1234" s="126">
        <v>0.14399999999999999</v>
      </c>
      <c r="S1234" s="121">
        <f t="shared" si="140"/>
        <v>727.41402758888671</v>
      </c>
      <c r="T1234" s="121">
        <f t="shared" si="141"/>
        <v>260000.00000000003</v>
      </c>
      <c r="U1234" s="127">
        <f t="shared" si="142"/>
        <v>5.968778696051424</v>
      </c>
      <c r="V1234" s="126">
        <v>57.03</v>
      </c>
      <c r="W1234" s="126">
        <f t="shared" si="143"/>
        <v>36600</v>
      </c>
      <c r="X1234" s="126">
        <f t="shared" si="137"/>
        <v>641.76749079431875</v>
      </c>
      <c r="Y1234" s="128" t="s">
        <v>2081</v>
      </c>
      <c r="Z1234" s="119" t="s">
        <v>35</v>
      </c>
      <c r="AA1234" s="119" t="s">
        <v>35</v>
      </c>
      <c r="AB1234" s="119" t="s">
        <v>2083</v>
      </c>
      <c r="AC1234" s="119">
        <v>0</v>
      </c>
      <c r="AD1234" s="119">
        <v>1</v>
      </c>
      <c r="AE1234" s="119" t="s">
        <v>42</v>
      </c>
      <c r="AF1234" s="119" t="s">
        <v>43</v>
      </c>
      <c r="AG1234" s="119" t="s">
        <v>38</v>
      </c>
      <c r="AH1234" s="119" t="s">
        <v>92</v>
      </c>
    </row>
    <row r="1235" spans="1:34" x14ac:dyDescent="0.3">
      <c r="A1235" s="118" t="s">
        <v>2083</v>
      </c>
      <c r="B1235" s="119" t="s">
        <v>2086</v>
      </c>
      <c r="C1235" s="119" t="s">
        <v>2087</v>
      </c>
      <c r="D1235" s="120">
        <v>45296</v>
      </c>
      <c r="E1235" s="121">
        <v>165000</v>
      </c>
      <c r="F1235" s="119" t="s">
        <v>32</v>
      </c>
      <c r="G1235" s="119" t="s">
        <v>33</v>
      </c>
      <c r="H1235" s="121">
        <v>165000</v>
      </c>
      <c r="I1235" s="121">
        <v>53600</v>
      </c>
      <c r="J1235" s="122">
        <f t="shared" si="138"/>
        <v>32.484848484848484</v>
      </c>
      <c r="K1235" s="121">
        <v>149785</v>
      </c>
      <c r="L1235" s="121">
        <f>H1235-138814</f>
        <v>26186</v>
      </c>
      <c r="M1235" s="121">
        <v>10971</v>
      </c>
      <c r="N1235" s="123">
        <f t="shared" si="139"/>
        <v>6.6490909090909087E-2</v>
      </c>
      <c r="O1235" s="124">
        <v>51.99</v>
      </c>
      <c r="P1235" s="125">
        <v>146</v>
      </c>
      <c r="Q1235" s="126">
        <v>0.16800000000000001</v>
      </c>
      <c r="R1235" s="126">
        <v>0.16800000000000001</v>
      </c>
      <c r="S1235" s="121">
        <f t="shared" si="140"/>
        <v>503.67378341988842</v>
      </c>
      <c r="T1235" s="121">
        <f t="shared" si="141"/>
        <v>155869.0476190476</v>
      </c>
      <c r="U1235" s="127">
        <f t="shared" si="142"/>
        <v>3.5782609646246009</v>
      </c>
      <c r="V1235" s="126">
        <v>50</v>
      </c>
      <c r="W1235" s="126">
        <f t="shared" si="143"/>
        <v>33000</v>
      </c>
      <c r="X1235" s="126">
        <f t="shared" si="137"/>
        <v>660</v>
      </c>
      <c r="Y1235" s="128" t="s">
        <v>2081</v>
      </c>
      <c r="Z1235" s="119" t="s">
        <v>35</v>
      </c>
      <c r="AA1235" s="119" t="s">
        <v>35</v>
      </c>
      <c r="AB1235" s="119" t="s">
        <v>2083</v>
      </c>
      <c r="AC1235" s="119">
        <v>0</v>
      </c>
      <c r="AD1235" s="119">
        <v>1</v>
      </c>
      <c r="AE1235" s="119" t="s">
        <v>42</v>
      </c>
      <c r="AF1235" s="119" t="s">
        <v>43</v>
      </c>
      <c r="AG1235" s="119" t="s">
        <v>38</v>
      </c>
      <c r="AH1235" s="119" t="s">
        <v>92</v>
      </c>
    </row>
    <row r="1236" spans="1:34" x14ac:dyDescent="0.3">
      <c r="A1236" s="118" t="s">
        <v>2083</v>
      </c>
      <c r="B1236" s="119" t="s">
        <v>2084</v>
      </c>
      <c r="C1236" s="119" t="s">
        <v>2085</v>
      </c>
      <c r="D1236" s="120">
        <v>45119</v>
      </c>
      <c r="E1236" s="121">
        <v>170000</v>
      </c>
      <c r="F1236" s="119" t="s">
        <v>32</v>
      </c>
      <c r="G1236" s="119" t="s">
        <v>33</v>
      </c>
      <c r="H1236" s="121">
        <v>170000</v>
      </c>
      <c r="I1236" s="121">
        <v>54900</v>
      </c>
      <c r="J1236" s="122">
        <f t="shared" si="138"/>
        <v>32.294117647058826</v>
      </c>
      <c r="K1236" s="121">
        <v>143895</v>
      </c>
      <c r="L1236" s="121">
        <f>H1236-132961</f>
        <v>37039</v>
      </c>
      <c r="M1236" s="121">
        <v>10934</v>
      </c>
      <c r="N1236" s="123">
        <f t="shared" si="139"/>
        <v>6.4317647058823535E-2</v>
      </c>
      <c r="O1236" s="124">
        <v>51.81</v>
      </c>
      <c r="P1236" s="125">
        <v>145</v>
      </c>
      <c r="Q1236" s="126">
        <v>0.16600000000000001</v>
      </c>
      <c r="R1236" s="126">
        <v>0.16600000000000001</v>
      </c>
      <c r="S1236" s="121">
        <f t="shared" si="140"/>
        <v>714.90059834008878</v>
      </c>
      <c r="T1236" s="121">
        <f t="shared" si="141"/>
        <v>223126.50602409636</v>
      </c>
      <c r="U1236" s="127">
        <f t="shared" si="142"/>
        <v>5.122279752619292</v>
      </c>
      <c r="V1236" s="126">
        <v>50</v>
      </c>
      <c r="W1236" s="126">
        <f t="shared" si="143"/>
        <v>34000</v>
      </c>
      <c r="X1236" s="126">
        <f t="shared" si="137"/>
        <v>680</v>
      </c>
      <c r="Y1236" s="128" t="s">
        <v>2081</v>
      </c>
      <c r="Z1236" s="119" t="s">
        <v>35</v>
      </c>
      <c r="AA1236" s="119" t="s">
        <v>35</v>
      </c>
      <c r="AB1236" s="119" t="s">
        <v>2083</v>
      </c>
      <c r="AC1236" s="119">
        <v>0</v>
      </c>
      <c r="AD1236" s="119">
        <v>1</v>
      </c>
      <c r="AE1236" s="119" t="s">
        <v>42</v>
      </c>
      <c r="AF1236" s="119" t="s">
        <v>43</v>
      </c>
      <c r="AG1236" s="119" t="s">
        <v>38</v>
      </c>
      <c r="AH1236" s="119" t="s">
        <v>92</v>
      </c>
    </row>
    <row r="1237" spans="1:34" x14ac:dyDescent="0.3">
      <c r="A1237" s="107" t="s">
        <v>2107</v>
      </c>
      <c r="B1237" s="108" t="s">
        <v>2135</v>
      </c>
      <c r="C1237" s="108" t="s">
        <v>2136</v>
      </c>
      <c r="D1237" s="109">
        <v>45125</v>
      </c>
      <c r="E1237" s="110">
        <v>315000</v>
      </c>
      <c r="F1237" s="108" t="s">
        <v>32</v>
      </c>
      <c r="G1237" s="108" t="s">
        <v>33</v>
      </c>
      <c r="H1237" s="110">
        <v>315000</v>
      </c>
      <c r="I1237" s="110">
        <v>143900</v>
      </c>
      <c r="J1237" s="111">
        <f t="shared" si="138"/>
        <v>45.682539682539684</v>
      </c>
      <c r="K1237" s="110">
        <v>328916</v>
      </c>
      <c r="L1237" s="110">
        <f>H1237-305333</f>
        <v>9667</v>
      </c>
      <c r="M1237" s="110">
        <v>23583</v>
      </c>
      <c r="N1237" s="112">
        <f t="shared" si="139"/>
        <v>7.4866666666666665E-2</v>
      </c>
      <c r="O1237" s="113">
        <v>67.38</v>
      </c>
      <c r="P1237" s="114">
        <v>133.01</v>
      </c>
      <c r="Q1237" s="115">
        <v>0.21</v>
      </c>
      <c r="R1237" s="115">
        <v>0.21</v>
      </c>
      <c r="S1237" s="110">
        <f t="shared" si="140"/>
        <v>143.46987236568717</v>
      </c>
      <c r="T1237" s="110">
        <f t="shared" si="141"/>
        <v>46033.333333333336</v>
      </c>
      <c r="U1237" s="116">
        <f t="shared" si="142"/>
        <v>1.0567799204162842</v>
      </c>
      <c r="V1237" s="115">
        <v>70.099999999999994</v>
      </c>
      <c r="W1237" s="115">
        <f t="shared" si="143"/>
        <v>63000</v>
      </c>
      <c r="X1237" s="115">
        <f t="shared" si="137"/>
        <v>898.71611982881609</v>
      </c>
      <c r="Y1237" s="117" t="s">
        <v>2073</v>
      </c>
      <c r="Z1237" s="108" t="s">
        <v>35</v>
      </c>
      <c r="AA1237" s="108" t="s">
        <v>35</v>
      </c>
      <c r="AB1237" s="108" t="s">
        <v>2107</v>
      </c>
      <c r="AC1237" s="108">
        <v>0</v>
      </c>
      <c r="AD1237" s="108">
        <v>1</v>
      </c>
      <c r="AE1237" s="108" t="s">
        <v>37</v>
      </c>
      <c r="AF1237" s="108" t="s">
        <v>43</v>
      </c>
      <c r="AG1237" s="108" t="s">
        <v>38</v>
      </c>
      <c r="AH1237" s="108" t="s">
        <v>92</v>
      </c>
    </row>
    <row r="1238" spans="1:34" x14ac:dyDescent="0.3">
      <c r="A1238" s="107" t="s">
        <v>2107</v>
      </c>
      <c r="B1238" s="108" t="s">
        <v>2105</v>
      </c>
      <c r="C1238" s="108" t="s">
        <v>2106</v>
      </c>
      <c r="D1238" s="109">
        <v>45539</v>
      </c>
      <c r="E1238" s="110">
        <v>341000</v>
      </c>
      <c r="F1238" s="108" t="s">
        <v>32</v>
      </c>
      <c r="G1238" s="108" t="s">
        <v>33</v>
      </c>
      <c r="H1238" s="110">
        <v>341000</v>
      </c>
      <c r="I1238" s="110">
        <v>158200</v>
      </c>
      <c r="J1238" s="111">
        <f t="shared" si="138"/>
        <v>46.392961876832842</v>
      </c>
      <c r="K1238" s="110">
        <v>340557</v>
      </c>
      <c r="L1238" s="110">
        <f>H1238-318011</f>
        <v>22989</v>
      </c>
      <c r="M1238" s="110">
        <v>22546</v>
      </c>
      <c r="N1238" s="112">
        <f t="shared" si="139"/>
        <v>6.6117302052785917E-2</v>
      </c>
      <c r="O1238" s="113">
        <v>64.41</v>
      </c>
      <c r="P1238" s="114">
        <v>137.5</v>
      </c>
      <c r="Q1238" s="115">
        <v>0.20499999999999999</v>
      </c>
      <c r="R1238" s="115">
        <v>0.20499999999999999</v>
      </c>
      <c r="S1238" s="110">
        <f t="shared" si="140"/>
        <v>356.9166278528179</v>
      </c>
      <c r="T1238" s="110">
        <f t="shared" si="141"/>
        <v>112141.46341463416</v>
      </c>
      <c r="U1238" s="116">
        <f t="shared" si="142"/>
        <v>2.5744137606665327</v>
      </c>
      <c r="V1238" s="115">
        <v>65</v>
      </c>
      <c r="W1238" s="115">
        <f t="shared" si="143"/>
        <v>68200</v>
      </c>
      <c r="X1238" s="115">
        <f t="shared" si="137"/>
        <v>1049.2307692307693</v>
      </c>
      <c r="Y1238" s="117" t="s">
        <v>2073</v>
      </c>
      <c r="Z1238" s="108" t="s">
        <v>35</v>
      </c>
      <c r="AA1238" s="108" t="s">
        <v>35</v>
      </c>
      <c r="AB1238" s="108" t="s">
        <v>2107</v>
      </c>
      <c r="AC1238" s="108">
        <v>0</v>
      </c>
      <c r="AD1238" s="108">
        <v>1</v>
      </c>
      <c r="AE1238" s="108" t="s">
        <v>37</v>
      </c>
      <c r="AF1238" s="108" t="s">
        <v>43</v>
      </c>
      <c r="AG1238" s="108" t="s">
        <v>38</v>
      </c>
      <c r="AH1238" s="108" t="s">
        <v>92</v>
      </c>
    </row>
    <row r="1239" spans="1:34" x14ac:dyDescent="0.3">
      <c r="A1239" s="107" t="s">
        <v>2397</v>
      </c>
      <c r="B1239" s="108" t="s">
        <v>2394</v>
      </c>
      <c r="C1239" s="108" t="s">
        <v>2395</v>
      </c>
      <c r="D1239" s="109">
        <v>45252</v>
      </c>
      <c r="E1239" s="110">
        <v>90000</v>
      </c>
      <c r="F1239" s="108" t="s">
        <v>32</v>
      </c>
      <c r="G1239" s="108" t="s">
        <v>33</v>
      </c>
      <c r="H1239" s="110">
        <v>90000</v>
      </c>
      <c r="I1239" s="110">
        <v>49800</v>
      </c>
      <c r="J1239" s="111">
        <f t="shared" si="138"/>
        <v>55.333333333333336</v>
      </c>
      <c r="K1239" s="110">
        <v>145601</v>
      </c>
      <c r="L1239" s="110">
        <f>H1239-132159</f>
        <v>-42159</v>
      </c>
      <c r="M1239" s="110">
        <v>13442</v>
      </c>
      <c r="N1239" s="112">
        <f t="shared" si="139"/>
        <v>0.14935555555555555</v>
      </c>
      <c r="O1239" s="113">
        <v>90.82</v>
      </c>
      <c r="P1239" s="114">
        <v>299.7</v>
      </c>
      <c r="Q1239" s="115">
        <v>0.74399999999999999</v>
      </c>
      <c r="R1239" s="115">
        <v>0.374</v>
      </c>
      <c r="S1239" s="110">
        <f t="shared" si="140"/>
        <v>-464.20391984144464</v>
      </c>
      <c r="T1239" s="110">
        <f t="shared" si="141"/>
        <v>-56665.322580645159</v>
      </c>
      <c r="U1239" s="116">
        <f t="shared" si="142"/>
        <v>-1.3008568085547558</v>
      </c>
      <c r="V1239" s="115">
        <v>80.760000000000005</v>
      </c>
      <c r="W1239" s="115">
        <f t="shared" si="143"/>
        <v>18000</v>
      </c>
      <c r="X1239" s="115">
        <f t="shared" si="137"/>
        <v>222.88261515601781</v>
      </c>
      <c r="Y1239" s="117" t="s">
        <v>2396</v>
      </c>
      <c r="Z1239" s="108" t="s">
        <v>35</v>
      </c>
      <c r="AA1239" s="108" t="s">
        <v>35</v>
      </c>
      <c r="AB1239" s="108" t="s">
        <v>2397</v>
      </c>
      <c r="AC1239" s="108">
        <v>0</v>
      </c>
      <c r="AD1239" s="108">
        <v>1</v>
      </c>
      <c r="AE1239" s="108" t="s">
        <v>42</v>
      </c>
      <c r="AF1239" s="108" t="s">
        <v>43</v>
      </c>
      <c r="AG1239" s="108" t="s">
        <v>38</v>
      </c>
      <c r="AH1239" s="108" t="s">
        <v>92</v>
      </c>
    </row>
    <row r="1240" spans="1:34" x14ac:dyDescent="0.3">
      <c r="A1240" s="118" t="s">
        <v>2397</v>
      </c>
      <c r="B1240" s="119" t="s">
        <v>2398</v>
      </c>
      <c r="C1240" s="119" t="s">
        <v>2399</v>
      </c>
      <c r="D1240" s="120">
        <v>45056</v>
      </c>
      <c r="E1240" s="121">
        <v>221000</v>
      </c>
      <c r="F1240" s="119" t="s">
        <v>32</v>
      </c>
      <c r="G1240" s="119" t="s">
        <v>66</v>
      </c>
      <c r="H1240" s="121">
        <v>221000</v>
      </c>
      <c r="I1240" s="121">
        <v>77300</v>
      </c>
      <c r="J1240" s="122">
        <f t="shared" si="138"/>
        <v>34.977375565610856</v>
      </c>
      <c r="K1240" s="121">
        <v>200656</v>
      </c>
      <c r="L1240" s="121">
        <f>H1240-176264</f>
        <v>44736</v>
      </c>
      <c r="M1240" s="121">
        <v>24392</v>
      </c>
      <c r="N1240" s="123">
        <f t="shared" si="139"/>
        <v>0.11037104072398191</v>
      </c>
      <c r="O1240" s="124">
        <v>164.81</v>
      </c>
      <c r="P1240" s="125">
        <v>547.02</v>
      </c>
      <c r="Q1240" s="126">
        <v>0.754</v>
      </c>
      <c r="R1240" s="126">
        <v>0.377</v>
      </c>
      <c r="S1240" s="121">
        <f t="shared" si="140"/>
        <v>271.43983981554516</v>
      </c>
      <c r="T1240" s="121">
        <f t="shared" si="141"/>
        <v>59331.564986737401</v>
      </c>
      <c r="U1240" s="127">
        <f t="shared" si="142"/>
        <v>1.3620653119085722</v>
      </c>
      <c r="V1240" s="126">
        <v>120</v>
      </c>
      <c r="W1240" s="126">
        <f t="shared" si="143"/>
        <v>44200</v>
      </c>
      <c r="X1240" s="126">
        <f t="shared" si="137"/>
        <v>368.33333333333331</v>
      </c>
      <c r="Y1240" s="128" t="s">
        <v>2396</v>
      </c>
      <c r="Z1240" s="119" t="s">
        <v>35</v>
      </c>
      <c r="AA1240" s="119" t="s">
        <v>2400</v>
      </c>
      <c r="AB1240" s="119" t="s">
        <v>2397</v>
      </c>
      <c r="AC1240" s="119">
        <v>0</v>
      </c>
      <c r="AD1240" s="119">
        <v>1</v>
      </c>
      <c r="AE1240" s="119" t="s">
        <v>2401</v>
      </c>
      <c r="AF1240" s="119" t="s">
        <v>43</v>
      </c>
      <c r="AG1240" s="119" t="s">
        <v>38</v>
      </c>
      <c r="AH1240" s="119" t="s">
        <v>92</v>
      </c>
    </row>
    <row r="1241" spans="1:34" x14ac:dyDescent="0.3">
      <c r="A1241" s="118" t="s">
        <v>2397</v>
      </c>
      <c r="B1241" s="119" t="s">
        <v>2394</v>
      </c>
      <c r="C1241" s="119" t="s">
        <v>2395</v>
      </c>
      <c r="D1241" s="120">
        <v>45401</v>
      </c>
      <c r="E1241" s="121">
        <v>156000</v>
      </c>
      <c r="F1241" s="119" t="s">
        <v>32</v>
      </c>
      <c r="G1241" s="119" t="s">
        <v>33</v>
      </c>
      <c r="H1241" s="121">
        <v>156000</v>
      </c>
      <c r="I1241" s="121">
        <v>60500</v>
      </c>
      <c r="J1241" s="122">
        <f t="shared" si="138"/>
        <v>38.782051282051285</v>
      </c>
      <c r="K1241" s="121">
        <v>145601</v>
      </c>
      <c r="L1241" s="121">
        <f>H1241-132159</f>
        <v>23841</v>
      </c>
      <c r="M1241" s="121">
        <v>13442</v>
      </c>
      <c r="N1241" s="123">
        <f t="shared" si="139"/>
        <v>8.6166666666666669E-2</v>
      </c>
      <c r="O1241" s="124">
        <v>90.82</v>
      </c>
      <c r="P1241" s="125">
        <v>299.7</v>
      </c>
      <c r="Q1241" s="126">
        <v>0.74399999999999999</v>
      </c>
      <c r="R1241" s="126">
        <v>0.374</v>
      </c>
      <c r="S1241" s="121">
        <f t="shared" si="140"/>
        <v>262.5082580929311</v>
      </c>
      <c r="T1241" s="121">
        <f t="shared" si="141"/>
        <v>32044.354838709678</v>
      </c>
      <c r="U1241" s="127">
        <f t="shared" si="142"/>
        <v>0.73563716342308716</v>
      </c>
      <c r="V1241" s="126">
        <v>80.760000000000005</v>
      </c>
      <c r="W1241" s="126">
        <f t="shared" si="143"/>
        <v>31200</v>
      </c>
      <c r="X1241" s="126">
        <f t="shared" si="137"/>
        <v>386.3298662704309</v>
      </c>
      <c r="Y1241" s="128" t="s">
        <v>2396</v>
      </c>
      <c r="Z1241" s="119" t="s">
        <v>35</v>
      </c>
      <c r="AA1241" s="119" t="s">
        <v>35</v>
      </c>
      <c r="AB1241" s="119" t="s">
        <v>2397</v>
      </c>
      <c r="AC1241" s="119">
        <v>0</v>
      </c>
      <c r="AD1241" s="119">
        <v>1</v>
      </c>
      <c r="AE1241" s="119" t="s">
        <v>42</v>
      </c>
      <c r="AF1241" s="119" t="s">
        <v>43</v>
      </c>
      <c r="AG1241" s="119" t="s">
        <v>38</v>
      </c>
      <c r="AH1241" s="119" t="s">
        <v>92</v>
      </c>
    </row>
    <row r="1242" spans="1:34" x14ac:dyDescent="0.3">
      <c r="A1242" s="107" t="s">
        <v>2397</v>
      </c>
      <c r="B1242" s="108" t="s">
        <v>2402</v>
      </c>
      <c r="C1242" s="108" t="s">
        <v>2403</v>
      </c>
      <c r="D1242" s="109">
        <v>45061</v>
      </c>
      <c r="E1242" s="110">
        <v>205000</v>
      </c>
      <c r="F1242" s="108" t="s">
        <v>32</v>
      </c>
      <c r="G1242" s="108" t="s">
        <v>33</v>
      </c>
      <c r="H1242" s="110">
        <v>205000</v>
      </c>
      <c r="I1242" s="110">
        <v>73800</v>
      </c>
      <c r="J1242" s="111">
        <f t="shared" si="138"/>
        <v>36</v>
      </c>
      <c r="K1242" s="110">
        <v>199734</v>
      </c>
      <c r="L1242" s="110">
        <f>H1242-186646</f>
        <v>18354</v>
      </c>
      <c r="M1242" s="110">
        <v>13088</v>
      </c>
      <c r="N1242" s="112">
        <f t="shared" si="139"/>
        <v>6.3843902439024394E-2</v>
      </c>
      <c r="O1242" s="113">
        <v>88.43</v>
      </c>
      <c r="P1242" s="114">
        <v>304.75</v>
      </c>
      <c r="Q1242" s="115">
        <v>0.42699999999999999</v>
      </c>
      <c r="R1242" s="115">
        <v>0.42699999999999999</v>
      </c>
      <c r="S1242" s="110">
        <f t="shared" si="140"/>
        <v>207.55399751215649</v>
      </c>
      <c r="T1242" s="110">
        <f t="shared" si="141"/>
        <v>42983.606557377047</v>
      </c>
      <c r="U1242" s="116">
        <f t="shared" si="142"/>
        <v>0.98676782730433987</v>
      </c>
      <c r="V1242" s="115">
        <v>61</v>
      </c>
      <c r="W1242" s="115">
        <f t="shared" si="143"/>
        <v>41000</v>
      </c>
      <c r="X1242" s="115">
        <f t="shared" si="137"/>
        <v>672.13114754098365</v>
      </c>
      <c r="Y1242" s="117" t="s">
        <v>2396</v>
      </c>
      <c r="Z1242" s="108" t="s">
        <v>35</v>
      </c>
      <c r="AA1242" s="108" t="s">
        <v>35</v>
      </c>
      <c r="AB1242" s="108" t="s">
        <v>2397</v>
      </c>
      <c r="AC1242" s="108">
        <v>0</v>
      </c>
      <c r="AD1242" s="108">
        <v>1</v>
      </c>
      <c r="AE1242" s="108" t="s">
        <v>37</v>
      </c>
      <c r="AF1242" s="108" t="s">
        <v>43</v>
      </c>
      <c r="AG1242" s="108" t="s">
        <v>38</v>
      </c>
      <c r="AH1242" s="108" t="s">
        <v>92</v>
      </c>
    </row>
    <row r="1243" spans="1:34" x14ac:dyDescent="0.3">
      <c r="A1243" s="118" t="s">
        <v>2318</v>
      </c>
      <c r="B1243" s="119" t="s">
        <v>2324</v>
      </c>
      <c r="C1243" s="119" t="s">
        <v>2325</v>
      </c>
      <c r="D1243" s="120">
        <v>45426</v>
      </c>
      <c r="E1243" s="121">
        <v>265000</v>
      </c>
      <c r="F1243" s="119" t="s">
        <v>32</v>
      </c>
      <c r="G1243" s="119" t="s">
        <v>33</v>
      </c>
      <c r="H1243" s="121">
        <v>265000</v>
      </c>
      <c r="I1243" s="121">
        <v>113300</v>
      </c>
      <c r="J1243" s="122">
        <f t="shared" si="138"/>
        <v>42.754716981132077</v>
      </c>
      <c r="K1243" s="121">
        <v>245779</v>
      </c>
      <c r="L1243" s="121">
        <f>H1243-225779</f>
        <v>39221</v>
      </c>
      <c r="M1243" s="121">
        <v>20000</v>
      </c>
      <c r="N1243" s="123">
        <f t="shared" si="139"/>
        <v>7.5471698113207544E-2</v>
      </c>
      <c r="O1243" s="124">
        <v>0</v>
      </c>
      <c r="P1243" s="125">
        <v>0</v>
      </c>
      <c r="Q1243" s="126">
        <v>0</v>
      </c>
      <c r="R1243" s="126">
        <v>0</v>
      </c>
      <c r="S1243" s="121" t="e">
        <f t="shared" si="140"/>
        <v>#DIV/0!</v>
      </c>
      <c r="T1243" s="121" t="e">
        <f t="shared" si="141"/>
        <v>#DIV/0!</v>
      </c>
      <c r="U1243" s="127" t="e">
        <f t="shared" si="142"/>
        <v>#DIV/0!</v>
      </c>
      <c r="V1243" s="126">
        <v>0</v>
      </c>
      <c r="W1243" s="126">
        <f t="shared" si="143"/>
        <v>53000</v>
      </c>
      <c r="X1243" s="126"/>
      <c r="Y1243" s="128" t="s">
        <v>2317</v>
      </c>
      <c r="Z1243" s="119" t="s">
        <v>35</v>
      </c>
      <c r="AA1243" s="119" t="s">
        <v>35</v>
      </c>
      <c r="AB1243" s="119" t="s">
        <v>2318</v>
      </c>
      <c r="AC1243" s="119">
        <v>0</v>
      </c>
      <c r="AD1243" s="119">
        <v>1</v>
      </c>
      <c r="AE1243" s="119" t="s">
        <v>37</v>
      </c>
      <c r="AF1243" s="119" t="s">
        <v>43</v>
      </c>
      <c r="AG1243" s="119" t="s">
        <v>38</v>
      </c>
      <c r="AH1243" s="119" t="s">
        <v>2319</v>
      </c>
    </row>
    <row r="1244" spans="1:34" x14ac:dyDescent="0.3">
      <c r="A1244" s="107" t="s">
        <v>2318</v>
      </c>
      <c r="B1244" s="108" t="s">
        <v>2328</v>
      </c>
      <c r="C1244" s="108" t="s">
        <v>2329</v>
      </c>
      <c r="D1244" s="109">
        <v>45023</v>
      </c>
      <c r="E1244" s="110">
        <v>260000</v>
      </c>
      <c r="F1244" s="108" t="s">
        <v>32</v>
      </c>
      <c r="G1244" s="108" t="s">
        <v>33</v>
      </c>
      <c r="H1244" s="110">
        <v>260000</v>
      </c>
      <c r="I1244" s="110">
        <v>89500</v>
      </c>
      <c r="J1244" s="111">
        <f t="shared" si="138"/>
        <v>34.42307692307692</v>
      </c>
      <c r="K1244" s="110">
        <v>239082</v>
      </c>
      <c r="L1244" s="110">
        <f>H1244-219082</f>
        <v>40918</v>
      </c>
      <c r="M1244" s="110">
        <v>20000</v>
      </c>
      <c r="N1244" s="112">
        <f t="shared" si="139"/>
        <v>7.6923076923076927E-2</v>
      </c>
      <c r="O1244" s="113">
        <v>0</v>
      </c>
      <c r="P1244" s="114">
        <v>0</v>
      </c>
      <c r="Q1244" s="115">
        <v>0</v>
      </c>
      <c r="R1244" s="115">
        <v>0</v>
      </c>
      <c r="S1244" s="110" t="e">
        <f t="shared" si="140"/>
        <v>#DIV/0!</v>
      </c>
      <c r="T1244" s="110" t="e">
        <f t="shared" si="141"/>
        <v>#DIV/0!</v>
      </c>
      <c r="U1244" s="116" t="e">
        <f t="shared" si="142"/>
        <v>#DIV/0!</v>
      </c>
      <c r="V1244" s="115">
        <v>0</v>
      </c>
      <c r="W1244" s="115">
        <f t="shared" si="143"/>
        <v>52000</v>
      </c>
      <c r="X1244" s="115"/>
      <c r="Y1244" s="117" t="s">
        <v>2317</v>
      </c>
      <c r="Z1244" s="108" t="s">
        <v>35</v>
      </c>
      <c r="AA1244" s="108" t="s">
        <v>35</v>
      </c>
      <c r="AB1244" s="108" t="s">
        <v>2318</v>
      </c>
      <c r="AC1244" s="108">
        <v>0</v>
      </c>
      <c r="AD1244" s="108">
        <v>1</v>
      </c>
      <c r="AE1244" s="108" t="s">
        <v>412</v>
      </c>
      <c r="AF1244" s="108" t="s">
        <v>43</v>
      </c>
      <c r="AG1244" s="108" t="s">
        <v>38</v>
      </c>
      <c r="AH1244" s="108" t="s">
        <v>2319</v>
      </c>
    </row>
    <row r="1245" spans="1:34" x14ac:dyDescent="0.3">
      <c r="A1245" s="118" t="s">
        <v>2318</v>
      </c>
      <c r="B1245" s="119" t="s">
        <v>2330</v>
      </c>
      <c r="C1245" s="119" t="s">
        <v>2331</v>
      </c>
      <c r="D1245" s="120">
        <v>45519</v>
      </c>
      <c r="E1245" s="121">
        <v>260000</v>
      </c>
      <c r="F1245" s="119" t="s">
        <v>32</v>
      </c>
      <c r="G1245" s="119" t="s">
        <v>33</v>
      </c>
      <c r="H1245" s="121">
        <v>260000</v>
      </c>
      <c r="I1245" s="121">
        <v>111600</v>
      </c>
      <c r="J1245" s="122">
        <f t="shared" si="138"/>
        <v>42.923076923076927</v>
      </c>
      <c r="K1245" s="121">
        <v>241986</v>
      </c>
      <c r="L1245" s="121">
        <f>H1245-221986</f>
        <v>38014</v>
      </c>
      <c r="M1245" s="121">
        <v>20000</v>
      </c>
      <c r="N1245" s="123">
        <f t="shared" si="139"/>
        <v>7.6923076923076927E-2</v>
      </c>
      <c r="O1245" s="124">
        <v>0</v>
      </c>
      <c r="P1245" s="125">
        <v>0</v>
      </c>
      <c r="Q1245" s="126">
        <v>0</v>
      </c>
      <c r="R1245" s="126">
        <v>0</v>
      </c>
      <c r="S1245" s="121" t="e">
        <f t="shared" si="140"/>
        <v>#DIV/0!</v>
      </c>
      <c r="T1245" s="121" t="e">
        <f t="shared" si="141"/>
        <v>#DIV/0!</v>
      </c>
      <c r="U1245" s="127" t="e">
        <f t="shared" si="142"/>
        <v>#DIV/0!</v>
      </c>
      <c r="V1245" s="126">
        <v>0</v>
      </c>
      <c r="W1245" s="126">
        <f t="shared" si="143"/>
        <v>52000</v>
      </c>
      <c r="X1245" s="126"/>
      <c r="Y1245" s="128" t="s">
        <v>2317</v>
      </c>
      <c r="Z1245" s="119" t="s">
        <v>35</v>
      </c>
      <c r="AA1245" s="119" t="s">
        <v>35</v>
      </c>
      <c r="AB1245" s="119" t="s">
        <v>2318</v>
      </c>
      <c r="AC1245" s="119">
        <v>0</v>
      </c>
      <c r="AD1245" s="119">
        <v>1</v>
      </c>
      <c r="AE1245" s="119" t="s">
        <v>412</v>
      </c>
      <c r="AF1245" s="119" t="s">
        <v>43</v>
      </c>
      <c r="AG1245" s="119" t="s">
        <v>38</v>
      </c>
      <c r="AH1245" s="119" t="s">
        <v>2319</v>
      </c>
    </row>
    <row r="1246" spans="1:34" x14ac:dyDescent="0.3">
      <c r="A1246" s="118" t="s">
        <v>2318</v>
      </c>
      <c r="B1246" s="119" t="s">
        <v>2332</v>
      </c>
      <c r="C1246" s="119" t="s">
        <v>2333</v>
      </c>
      <c r="D1246" s="120">
        <v>45212</v>
      </c>
      <c r="E1246" s="121">
        <v>254500</v>
      </c>
      <c r="F1246" s="119" t="s">
        <v>32</v>
      </c>
      <c r="G1246" s="119" t="s">
        <v>33</v>
      </c>
      <c r="H1246" s="121">
        <v>254500</v>
      </c>
      <c r="I1246" s="121">
        <v>100600</v>
      </c>
      <c r="J1246" s="122">
        <f t="shared" si="138"/>
        <v>39.528487229862478</v>
      </c>
      <c r="K1246" s="121">
        <v>270021</v>
      </c>
      <c r="L1246" s="121">
        <f>H1246-250021</f>
        <v>4479</v>
      </c>
      <c r="M1246" s="121">
        <v>20000</v>
      </c>
      <c r="N1246" s="123">
        <f t="shared" si="139"/>
        <v>7.8585461689587424E-2</v>
      </c>
      <c r="O1246" s="124">
        <v>0</v>
      </c>
      <c r="P1246" s="125">
        <v>0</v>
      </c>
      <c r="Q1246" s="126">
        <v>0</v>
      </c>
      <c r="R1246" s="126">
        <v>0</v>
      </c>
      <c r="S1246" s="121" t="e">
        <f t="shared" si="140"/>
        <v>#DIV/0!</v>
      </c>
      <c r="T1246" s="121" t="e">
        <f t="shared" si="141"/>
        <v>#DIV/0!</v>
      </c>
      <c r="U1246" s="127" t="e">
        <f t="shared" si="142"/>
        <v>#DIV/0!</v>
      </c>
      <c r="V1246" s="126">
        <v>0</v>
      </c>
      <c r="W1246" s="126">
        <f t="shared" si="143"/>
        <v>50900</v>
      </c>
      <c r="X1246" s="126"/>
      <c r="Y1246" s="128" t="s">
        <v>2317</v>
      </c>
      <c r="Z1246" s="119" t="s">
        <v>35</v>
      </c>
      <c r="AA1246" s="119" t="s">
        <v>35</v>
      </c>
      <c r="AB1246" s="119" t="s">
        <v>2318</v>
      </c>
      <c r="AC1246" s="119">
        <v>0</v>
      </c>
      <c r="AD1246" s="119">
        <v>1</v>
      </c>
      <c r="AE1246" s="119" t="s">
        <v>37</v>
      </c>
      <c r="AF1246" s="119" t="s">
        <v>43</v>
      </c>
      <c r="AG1246" s="119" t="s">
        <v>38</v>
      </c>
      <c r="AH1246" s="119" t="s">
        <v>2319</v>
      </c>
    </row>
    <row r="1247" spans="1:34" x14ac:dyDescent="0.3">
      <c r="A1247" s="118" t="s">
        <v>2318</v>
      </c>
      <c r="B1247" s="119" t="s">
        <v>2322</v>
      </c>
      <c r="C1247" s="119" t="s">
        <v>2323</v>
      </c>
      <c r="D1247" s="120">
        <v>45580</v>
      </c>
      <c r="E1247" s="121">
        <v>250000</v>
      </c>
      <c r="F1247" s="119" t="s">
        <v>32</v>
      </c>
      <c r="G1247" s="119" t="s">
        <v>33</v>
      </c>
      <c r="H1247" s="121">
        <v>250000</v>
      </c>
      <c r="I1247" s="121">
        <v>126700</v>
      </c>
      <c r="J1247" s="122">
        <f t="shared" si="138"/>
        <v>50.68</v>
      </c>
      <c r="K1247" s="121">
        <v>275771</v>
      </c>
      <c r="L1247" s="121">
        <f>H1247-255771</f>
        <v>-5771</v>
      </c>
      <c r="M1247" s="121">
        <v>20000</v>
      </c>
      <c r="N1247" s="123">
        <f t="shared" si="139"/>
        <v>0.08</v>
      </c>
      <c r="O1247" s="124">
        <v>0</v>
      </c>
      <c r="P1247" s="125">
        <v>0</v>
      </c>
      <c r="Q1247" s="126">
        <v>0</v>
      </c>
      <c r="R1247" s="126">
        <v>0</v>
      </c>
      <c r="S1247" s="121" t="e">
        <f t="shared" si="140"/>
        <v>#DIV/0!</v>
      </c>
      <c r="T1247" s="121" t="e">
        <f t="shared" si="141"/>
        <v>#DIV/0!</v>
      </c>
      <c r="U1247" s="127" t="e">
        <f t="shared" si="142"/>
        <v>#DIV/0!</v>
      </c>
      <c r="V1247" s="126">
        <v>0</v>
      </c>
      <c r="W1247" s="126">
        <f t="shared" si="143"/>
        <v>50000</v>
      </c>
      <c r="X1247" s="126"/>
      <c r="Y1247" s="128" t="s">
        <v>2317</v>
      </c>
      <c r="Z1247" s="119" t="s">
        <v>35</v>
      </c>
      <c r="AA1247" s="119" t="s">
        <v>35</v>
      </c>
      <c r="AB1247" s="119" t="s">
        <v>2318</v>
      </c>
      <c r="AC1247" s="119">
        <v>0</v>
      </c>
      <c r="AD1247" s="119">
        <v>1</v>
      </c>
      <c r="AE1247" s="119" t="s">
        <v>37</v>
      </c>
      <c r="AF1247" s="119" t="s">
        <v>35</v>
      </c>
      <c r="AG1247" s="119" t="s">
        <v>38</v>
      </c>
      <c r="AH1247" s="119" t="s">
        <v>2319</v>
      </c>
    </row>
    <row r="1248" spans="1:34" x14ac:dyDescent="0.3">
      <c r="A1248" s="107" t="s">
        <v>2318</v>
      </c>
      <c r="B1248" s="108" t="s">
        <v>2336</v>
      </c>
      <c r="C1248" s="108" t="s">
        <v>2337</v>
      </c>
      <c r="D1248" s="109">
        <v>45583</v>
      </c>
      <c r="E1248" s="110">
        <v>240000</v>
      </c>
      <c r="F1248" s="108" t="s">
        <v>32</v>
      </c>
      <c r="G1248" s="108" t="s">
        <v>33</v>
      </c>
      <c r="H1248" s="110">
        <v>240000</v>
      </c>
      <c r="I1248" s="110">
        <v>99800</v>
      </c>
      <c r="J1248" s="111">
        <f t="shared" si="138"/>
        <v>41.583333333333336</v>
      </c>
      <c r="K1248" s="110">
        <v>217497</v>
      </c>
      <c r="L1248" s="110">
        <f>H1248-197497</f>
        <v>42503</v>
      </c>
      <c r="M1248" s="110">
        <v>20000</v>
      </c>
      <c r="N1248" s="112">
        <f t="shared" si="139"/>
        <v>8.3333333333333329E-2</v>
      </c>
      <c r="O1248" s="113">
        <v>0</v>
      </c>
      <c r="P1248" s="114">
        <v>0</v>
      </c>
      <c r="Q1248" s="115">
        <v>0</v>
      </c>
      <c r="R1248" s="115">
        <v>0</v>
      </c>
      <c r="S1248" s="110" t="e">
        <f t="shared" si="140"/>
        <v>#DIV/0!</v>
      </c>
      <c r="T1248" s="110" t="e">
        <f t="shared" si="141"/>
        <v>#DIV/0!</v>
      </c>
      <c r="U1248" s="116" t="e">
        <f t="shared" si="142"/>
        <v>#DIV/0!</v>
      </c>
      <c r="V1248" s="115">
        <v>0</v>
      </c>
      <c r="W1248" s="115">
        <f t="shared" si="143"/>
        <v>48000</v>
      </c>
      <c r="X1248" s="115"/>
      <c r="Y1248" s="117" t="s">
        <v>2317</v>
      </c>
      <c r="Z1248" s="108" t="s">
        <v>35</v>
      </c>
      <c r="AA1248" s="108" t="s">
        <v>35</v>
      </c>
      <c r="AB1248" s="108" t="s">
        <v>2318</v>
      </c>
      <c r="AC1248" s="108">
        <v>0</v>
      </c>
      <c r="AD1248" s="108">
        <v>1</v>
      </c>
      <c r="AE1248" s="108" t="s">
        <v>412</v>
      </c>
      <c r="AF1248" s="108" t="s">
        <v>35</v>
      </c>
      <c r="AG1248" s="108" t="s">
        <v>38</v>
      </c>
      <c r="AH1248" s="108" t="s">
        <v>2319</v>
      </c>
    </row>
    <row r="1249" spans="1:34" x14ac:dyDescent="0.3">
      <c r="A1249" s="107" t="s">
        <v>2318</v>
      </c>
      <c r="B1249" s="108" t="s">
        <v>2334</v>
      </c>
      <c r="C1249" s="108" t="s">
        <v>2335</v>
      </c>
      <c r="D1249" s="109">
        <v>45030</v>
      </c>
      <c r="E1249" s="110">
        <v>234500</v>
      </c>
      <c r="F1249" s="108" t="s">
        <v>32</v>
      </c>
      <c r="G1249" s="108" t="s">
        <v>33</v>
      </c>
      <c r="H1249" s="110">
        <v>234500</v>
      </c>
      <c r="I1249" s="110">
        <v>91900</v>
      </c>
      <c r="J1249" s="111">
        <f t="shared" si="138"/>
        <v>39.18976545842218</v>
      </c>
      <c r="K1249" s="110">
        <v>245633</v>
      </c>
      <c r="L1249" s="110">
        <f>H1249-225633</f>
        <v>8867</v>
      </c>
      <c r="M1249" s="110">
        <v>20000</v>
      </c>
      <c r="N1249" s="112">
        <f t="shared" si="139"/>
        <v>8.5287846481876331E-2</v>
      </c>
      <c r="O1249" s="113">
        <v>0</v>
      </c>
      <c r="P1249" s="114">
        <v>0</v>
      </c>
      <c r="Q1249" s="115">
        <v>0</v>
      </c>
      <c r="R1249" s="115">
        <v>0</v>
      </c>
      <c r="S1249" s="110" t="e">
        <f t="shared" si="140"/>
        <v>#DIV/0!</v>
      </c>
      <c r="T1249" s="110" t="e">
        <f t="shared" si="141"/>
        <v>#DIV/0!</v>
      </c>
      <c r="U1249" s="116" t="e">
        <f t="shared" si="142"/>
        <v>#DIV/0!</v>
      </c>
      <c r="V1249" s="115">
        <v>0</v>
      </c>
      <c r="W1249" s="115">
        <f t="shared" si="143"/>
        <v>46900</v>
      </c>
      <c r="X1249" s="115"/>
      <c r="Y1249" s="117" t="s">
        <v>2317</v>
      </c>
      <c r="Z1249" s="108" t="s">
        <v>35</v>
      </c>
      <c r="AA1249" s="108" t="s">
        <v>35</v>
      </c>
      <c r="AB1249" s="108" t="s">
        <v>2318</v>
      </c>
      <c r="AC1249" s="108">
        <v>0</v>
      </c>
      <c r="AD1249" s="108">
        <v>1</v>
      </c>
      <c r="AE1249" s="108" t="s">
        <v>37</v>
      </c>
      <c r="AF1249" s="108" t="s">
        <v>43</v>
      </c>
      <c r="AG1249" s="108" t="s">
        <v>38</v>
      </c>
      <c r="AH1249" s="108" t="s">
        <v>2319</v>
      </c>
    </row>
    <row r="1250" spans="1:34" x14ac:dyDescent="0.3">
      <c r="A1250" s="107" t="s">
        <v>2318</v>
      </c>
      <c r="B1250" s="108" t="s">
        <v>2320</v>
      </c>
      <c r="C1250" s="108" t="s">
        <v>2321</v>
      </c>
      <c r="D1250" s="109">
        <v>45730</v>
      </c>
      <c r="E1250" s="110">
        <v>233500</v>
      </c>
      <c r="F1250" s="108" t="s">
        <v>32</v>
      </c>
      <c r="G1250" s="108" t="s">
        <v>33</v>
      </c>
      <c r="H1250" s="110">
        <v>233500</v>
      </c>
      <c r="I1250" s="110">
        <v>96600</v>
      </c>
      <c r="J1250" s="111">
        <f t="shared" si="138"/>
        <v>41.37044967880086</v>
      </c>
      <c r="K1250" s="110">
        <v>210594</v>
      </c>
      <c r="L1250" s="110">
        <f>H1250-190594</f>
        <v>42906</v>
      </c>
      <c r="M1250" s="110">
        <v>20000</v>
      </c>
      <c r="N1250" s="112">
        <f t="shared" si="139"/>
        <v>8.5653104925053528E-2</v>
      </c>
      <c r="O1250" s="113">
        <v>0</v>
      </c>
      <c r="P1250" s="114">
        <v>0</v>
      </c>
      <c r="Q1250" s="115">
        <v>0</v>
      </c>
      <c r="R1250" s="115">
        <v>0</v>
      </c>
      <c r="S1250" s="110" t="e">
        <f t="shared" si="140"/>
        <v>#DIV/0!</v>
      </c>
      <c r="T1250" s="110" t="e">
        <f t="shared" si="141"/>
        <v>#DIV/0!</v>
      </c>
      <c r="U1250" s="116" t="e">
        <f t="shared" si="142"/>
        <v>#DIV/0!</v>
      </c>
      <c r="V1250" s="115">
        <v>0</v>
      </c>
      <c r="W1250" s="115">
        <f t="shared" si="143"/>
        <v>46700</v>
      </c>
      <c r="X1250" s="115"/>
      <c r="Y1250" s="117" t="s">
        <v>2317</v>
      </c>
      <c r="Z1250" s="108" t="s">
        <v>35</v>
      </c>
      <c r="AA1250" s="108" t="s">
        <v>35</v>
      </c>
      <c r="AB1250" s="108" t="s">
        <v>2318</v>
      </c>
      <c r="AC1250" s="108">
        <v>0</v>
      </c>
      <c r="AD1250" s="108">
        <v>1</v>
      </c>
      <c r="AE1250" s="108" t="s">
        <v>412</v>
      </c>
      <c r="AF1250" s="108" t="s">
        <v>35</v>
      </c>
      <c r="AG1250" s="108" t="s">
        <v>38</v>
      </c>
      <c r="AH1250" s="108" t="s">
        <v>2319</v>
      </c>
    </row>
    <row r="1251" spans="1:34" x14ac:dyDescent="0.3">
      <c r="A1251" s="107" t="s">
        <v>2318</v>
      </c>
      <c r="B1251" s="108" t="s">
        <v>2315</v>
      </c>
      <c r="C1251" s="108" t="s">
        <v>2316</v>
      </c>
      <c r="D1251" s="109">
        <v>45434</v>
      </c>
      <c r="E1251" s="110">
        <v>220000</v>
      </c>
      <c r="F1251" s="108" t="s">
        <v>32</v>
      </c>
      <c r="G1251" s="108" t="s">
        <v>33</v>
      </c>
      <c r="H1251" s="110">
        <v>220000</v>
      </c>
      <c r="I1251" s="110">
        <v>96800</v>
      </c>
      <c r="J1251" s="111">
        <f t="shared" si="138"/>
        <v>44</v>
      </c>
      <c r="K1251" s="110">
        <v>211058</v>
      </c>
      <c r="L1251" s="110">
        <f>H1251-191058</f>
        <v>28942</v>
      </c>
      <c r="M1251" s="110">
        <v>20000</v>
      </c>
      <c r="N1251" s="112">
        <f t="shared" si="139"/>
        <v>9.0909090909090912E-2</v>
      </c>
      <c r="O1251" s="113">
        <v>0</v>
      </c>
      <c r="P1251" s="114">
        <v>0</v>
      </c>
      <c r="Q1251" s="115">
        <v>1</v>
      </c>
      <c r="R1251" s="115">
        <v>0</v>
      </c>
      <c r="S1251" s="110" t="e">
        <f t="shared" si="140"/>
        <v>#DIV/0!</v>
      </c>
      <c r="T1251" s="110">
        <f t="shared" si="141"/>
        <v>28942</v>
      </c>
      <c r="U1251" s="116">
        <f t="shared" si="142"/>
        <v>0.66441689623507805</v>
      </c>
      <c r="V1251" s="115">
        <v>0</v>
      </c>
      <c r="W1251" s="115">
        <f t="shared" si="143"/>
        <v>44000</v>
      </c>
      <c r="X1251" s="115"/>
      <c r="Y1251" s="117" t="s">
        <v>2317</v>
      </c>
      <c r="Z1251" s="108" t="s">
        <v>35</v>
      </c>
      <c r="AA1251" s="108" t="s">
        <v>35</v>
      </c>
      <c r="AB1251" s="108" t="s">
        <v>2318</v>
      </c>
      <c r="AC1251" s="108">
        <v>0</v>
      </c>
      <c r="AD1251" s="108">
        <v>1</v>
      </c>
      <c r="AE1251" s="108" t="s">
        <v>412</v>
      </c>
      <c r="AF1251" s="108" t="s">
        <v>43</v>
      </c>
      <c r="AG1251" s="108" t="s">
        <v>38</v>
      </c>
      <c r="AH1251" s="108" t="s">
        <v>2319</v>
      </c>
    </row>
    <row r="1252" spans="1:34" x14ac:dyDescent="0.3">
      <c r="A1252" s="107" t="s">
        <v>2318</v>
      </c>
      <c r="B1252" s="108" t="s">
        <v>2326</v>
      </c>
      <c r="C1252" s="108" t="s">
        <v>2327</v>
      </c>
      <c r="D1252" s="109">
        <v>45583</v>
      </c>
      <c r="E1252" s="110">
        <v>175000</v>
      </c>
      <c r="F1252" s="108" t="s">
        <v>81</v>
      </c>
      <c r="G1252" s="108" t="s">
        <v>33</v>
      </c>
      <c r="H1252" s="110">
        <v>175000</v>
      </c>
      <c r="I1252" s="110">
        <v>99800</v>
      </c>
      <c r="J1252" s="111">
        <f t="shared" si="138"/>
        <v>57.028571428571425</v>
      </c>
      <c r="K1252" s="110">
        <v>217736</v>
      </c>
      <c r="L1252" s="110">
        <f>H1252-197736</f>
        <v>-22736</v>
      </c>
      <c r="M1252" s="110">
        <v>20000</v>
      </c>
      <c r="N1252" s="112">
        <f t="shared" si="139"/>
        <v>0.11428571428571428</v>
      </c>
      <c r="O1252" s="113">
        <v>0</v>
      </c>
      <c r="P1252" s="114">
        <v>0</v>
      </c>
      <c r="Q1252" s="115">
        <v>0</v>
      </c>
      <c r="R1252" s="115">
        <v>0</v>
      </c>
      <c r="S1252" s="110" t="e">
        <f t="shared" si="140"/>
        <v>#DIV/0!</v>
      </c>
      <c r="T1252" s="110" t="e">
        <f t="shared" si="141"/>
        <v>#DIV/0!</v>
      </c>
      <c r="U1252" s="116" t="e">
        <f t="shared" si="142"/>
        <v>#DIV/0!</v>
      </c>
      <c r="V1252" s="115">
        <v>0</v>
      </c>
      <c r="W1252" s="115">
        <f t="shared" si="143"/>
        <v>35000</v>
      </c>
      <c r="X1252" s="115"/>
      <c r="Y1252" s="117" t="s">
        <v>2317</v>
      </c>
      <c r="Z1252" s="108" t="s">
        <v>35</v>
      </c>
      <c r="AA1252" s="108" t="s">
        <v>35</v>
      </c>
      <c r="AB1252" s="108" t="s">
        <v>2318</v>
      </c>
      <c r="AC1252" s="108">
        <v>0</v>
      </c>
      <c r="AD1252" s="108">
        <v>1</v>
      </c>
      <c r="AE1252" s="108" t="s">
        <v>37</v>
      </c>
      <c r="AF1252" s="108" t="s">
        <v>35</v>
      </c>
      <c r="AG1252" s="108" t="s">
        <v>38</v>
      </c>
      <c r="AH1252" s="108" t="s">
        <v>2319</v>
      </c>
    </row>
    <row r="1253" spans="1:34" x14ac:dyDescent="0.3">
      <c r="A1253" s="118" t="s">
        <v>2249</v>
      </c>
      <c r="B1253" s="119" t="s">
        <v>2258</v>
      </c>
      <c r="C1253" s="119" t="s">
        <v>2259</v>
      </c>
      <c r="D1253" s="120">
        <v>45170</v>
      </c>
      <c r="E1253" s="121">
        <v>280000</v>
      </c>
      <c r="F1253" s="119" t="s">
        <v>32</v>
      </c>
      <c r="G1253" s="119" t="s">
        <v>33</v>
      </c>
      <c r="H1253" s="121">
        <v>280000</v>
      </c>
      <c r="I1253" s="121">
        <v>112300</v>
      </c>
      <c r="J1253" s="122">
        <f t="shared" si="138"/>
        <v>40.107142857142861</v>
      </c>
      <c r="K1253" s="121">
        <v>258538</v>
      </c>
      <c r="L1253" s="121">
        <f>H1253-227084</f>
        <v>52916</v>
      </c>
      <c r="M1253" s="121">
        <v>31454</v>
      </c>
      <c r="N1253" s="123">
        <f t="shared" si="139"/>
        <v>0.11233571428571429</v>
      </c>
      <c r="O1253" s="124">
        <v>144.28</v>
      </c>
      <c r="P1253" s="125">
        <v>722.27</v>
      </c>
      <c r="Q1253" s="126">
        <v>1.665</v>
      </c>
      <c r="R1253" s="126">
        <v>1.665</v>
      </c>
      <c r="S1253" s="121">
        <f t="shared" si="140"/>
        <v>366.75907956750763</v>
      </c>
      <c r="T1253" s="121">
        <f t="shared" si="141"/>
        <v>31781.381381381379</v>
      </c>
      <c r="U1253" s="127">
        <f t="shared" si="142"/>
        <v>0.72960012353951742</v>
      </c>
      <c r="V1253" s="126">
        <v>100.44</v>
      </c>
      <c r="W1253" s="126">
        <f t="shared" si="143"/>
        <v>56000</v>
      </c>
      <c r="X1253" s="126">
        <f>W1253/V1253</f>
        <v>557.54679410593394</v>
      </c>
      <c r="Y1253" s="128" t="s">
        <v>2248</v>
      </c>
      <c r="Z1253" s="119" t="s">
        <v>35</v>
      </c>
      <c r="AA1253" s="119" t="s">
        <v>35</v>
      </c>
      <c r="AB1253" s="119" t="s">
        <v>2249</v>
      </c>
      <c r="AC1253" s="119">
        <v>0</v>
      </c>
      <c r="AD1253" s="119">
        <v>1</v>
      </c>
      <c r="AE1253" s="119" t="s">
        <v>37</v>
      </c>
      <c r="AF1253" s="119" t="s">
        <v>43</v>
      </c>
      <c r="AG1253" s="119" t="s">
        <v>38</v>
      </c>
      <c r="AH1253" s="119" t="s">
        <v>92</v>
      </c>
    </row>
    <row r="1254" spans="1:34" x14ac:dyDescent="0.3">
      <c r="A1254" s="118" t="s">
        <v>2249</v>
      </c>
      <c r="B1254" s="119" t="s">
        <v>2256</v>
      </c>
      <c r="C1254" s="119" t="s">
        <v>2257</v>
      </c>
      <c r="D1254" s="120">
        <v>45567</v>
      </c>
      <c r="E1254" s="121">
        <v>310000</v>
      </c>
      <c r="F1254" s="119" t="s">
        <v>32</v>
      </c>
      <c r="G1254" s="119" t="s">
        <v>33</v>
      </c>
      <c r="H1254" s="121">
        <v>310000</v>
      </c>
      <c r="I1254" s="121">
        <v>144700</v>
      </c>
      <c r="J1254" s="122">
        <f t="shared" si="138"/>
        <v>46.677419354838712</v>
      </c>
      <c r="K1254" s="121">
        <v>295212</v>
      </c>
      <c r="L1254" s="121">
        <f>H1254-275368</f>
        <v>34632</v>
      </c>
      <c r="M1254" s="121">
        <v>19844</v>
      </c>
      <c r="N1254" s="123">
        <f t="shared" si="139"/>
        <v>6.4012903225806453E-2</v>
      </c>
      <c r="O1254" s="124">
        <v>91.02</v>
      </c>
      <c r="P1254" s="125">
        <v>290</v>
      </c>
      <c r="Q1254" s="126">
        <v>0.66600000000000004</v>
      </c>
      <c r="R1254" s="126">
        <v>0.66600000000000004</v>
      </c>
      <c r="S1254" s="121">
        <f t="shared" si="140"/>
        <v>380.48780487804879</v>
      </c>
      <c r="T1254" s="121">
        <f t="shared" si="141"/>
        <v>52000</v>
      </c>
      <c r="U1254" s="127">
        <f t="shared" si="142"/>
        <v>1.1937557392102847</v>
      </c>
      <c r="V1254" s="126">
        <v>100</v>
      </c>
      <c r="W1254" s="126">
        <f t="shared" si="143"/>
        <v>62000</v>
      </c>
      <c r="X1254" s="126">
        <f>W1254/V1254</f>
        <v>620</v>
      </c>
      <c r="Y1254" s="128" t="s">
        <v>2248</v>
      </c>
      <c r="Z1254" s="119" t="s">
        <v>35</v>
      </c>
      <c r="AA1254" s="119" t="s">
        <v>35</v>
      </c>
      <c r="AB1254" s="119" t="s">
        <v>2249</v>
      </c>
      <c r="AC1254" s="119">
        <v>0</v>
      </c>
      <c r="AD1254" s="119">
        <v>1</v>
      </c>
      <c r="AE1254" s="119" t="s">
        <v>37</v>
      </c>
      <c r="AF1254" s="119" t="s">
        <v>43</v>
      </c>
      <c r="AG1254" s="119" t="s">
        <v>38</v>
      </c>
      <c r="AH1254" s="119" t="s">
        <v>92</v>
      </c>
    </row>
    <row r="1255" spans="1:34" x14ac:dyDescent="0.3">
      <c r="A1255" s="118" t="s">
        <v>2249</v>
      </c>
      <c r="B1255" s="119" t="s">
        <v>2246</v>
      </c>
      <c r="C1255" s="119" t="s">
        <v>2247</v>
      </c>
      <c r="D1255" s="120">
        <v>45105</v>
      </c>
      <c r="E1255" s="121">
        <v>430000</v>
      </c>
      <c r="F1255" s="119" t="s">
        <v>32</v>
      </c>
      <c r="G1255" s="119" t="s">
        <v>33</v>
      </c>
      <c r="H1255" s="121">
        <v>430000</v>
      </c>
      <c r="I1255" s="121">
        <v>205400</v>
      </c>
      <c r="J1255" s="122">
        <f t="shared" si="138"/>
        <v>47.767441860465112</v>
      </c>
      <c r="K1255" s="121">
        <v>483960</v>
      </c>
      <c r="L1255" s="121">
        <f>H1255-417920</f>
        <v>12080</v>
      </c>
      <c r="M1255" s="121">
        <v>66040</v>
      </c>
      <c r="N1255" s="123">
        <f t="shared" si="139"/>
        <v>0.15358139534883722</v>
      </c>
      <c r="O1255" s="124">
        <v>0</v>
      </c>
      <c r="P1255" s="125">
        <v>0</v>
      </c>
      <c r="Q1255" s="126">
        <v>3.302</v>
      </c>
      <c r="R1255" s="126">
        <v>3.302</v>
      </c>
      <c r="S1255" s="121" t="e">
        <f t="shared" si="140"/>
        <v>#DIV/0!</v>
      </c>
      <c r="T1255" s="121">
        <f t="shared" si="141"/>
        <v>3658.3888552392491</v>
      </c>
      <c r="U1255" s="127">
        <f t="shared" si="142"/>
        <v>8.3985051773169173E-2</v>
      </c>
      <c r="V1255" s="126">
        <v>0</v>
      </c>
      <c r="W1255" s="126">
        <f t="shared" si="143"/>
        <v>86000</v>
      </c>
      <c r="X1255" s="126"/>
      <c r="Y1255" s="128" t="s">
        <v>2248</v>
      </c>
      <c r="Z1255" s="119" t="s">
        <v>35</v>
      </c>
      <c r="AA1255" s="119" t="s">
        <v>35</v>
      </c>
      <c r="AB1255" s="119" t="s">
        <v>2249</v>
      </c>
      <c r="AC1255" s="119">
        <v>0</v>
      </c>
      <c r="AD1255" s="119">
        <v>1</v>
      </c>
      <c r="AE1255" s="119" t="s">
        <v>37</v>
      </c>
      <c r="AF1255" s="119" t="s">
        <v>43</v>
      </c>
      <c r="AG1255" s="119" t="s">
        <v>38</v>
      </c>
      <c r="AH1255" s="119"/>
    </row>
    <row r="1256" spans="1:34" x14ac:dyDescent="0.3">
      <c r="A1256" s="107" t="s">
        <v>2253</v>
      </c>
      <c r="B1256" s="108" t="s">
        <v>2250</v>
      </c>
      <c r="C1256" s="108" t="s">
        <v>2251</v>
      </c>
      <c r="D1256" s="109">
        <v>45616</v>
      </c>
      <c r="E1256" s="110">
        <v>250000</v>
      </c>
      <c r="F1256" s="108" t="s">
        <v>32</v>
      </c>
      <c r="G1256" s="108" t="s">
        <v>33</v>
      </c>
      <c r="H1256" s="110">
        <v>250000</v>
      </c>
      <c r="I1256" s="110">
        <v>204700</v>
      </c>
      <c r="J1256" s="111">
        <f t="shared" si="138"/>
        <v>81.88</v>
      </c>
      <c r="K1256" s="110">
        <v>430113</v>
      </c>
      <c r="L1256" s="110">
        <f>H1256-407431</f>
        <v>-157431</v>
      </c>
      <c r="M1256" s="110">
        <v>22682</v>
      </c>
      <c r="N1256" s="112">
        <f t="shared" si="139"/>
        <v>9.0728000000000003E-2</v>
      </c>
      <c r="O1256" s="113">
        <v>82.48</v>
      </c>
      <c r="P1256" s="114">
        <v>143.5</v>
      </c>
      <c r="Q1256" s="115">
        <v>0.26400000000000001</v>
      </c>
      <c r="R1256" s="115">
        <v>0.26400000000000001</v>
      </c>
      <c r="S1256" s="110">
        <f t="shared" si="140"/>
        <v>-1908.7172647914645</v>
      </c>
      <c r="T1256" s="110">
        <f t="shared" si="141"/>
        <v>-596329.54545454541</v>
      </c>
      <c r="U1256" s="116">
        <f t="shared" si="142"/>
        <v>-13.689842641288921</v>
      </c>
      <c r="V1256" s="115">
        <v>80</v>
      </c>
      <c r="W1256" s="115">
        <f t="shared" si="143"/>
        <v>50000</v>
      </c>
      <c r="X1256" s="115">
        <f t="shared" ref="X1256:X1262" si="144">W1256/V1256</f>
        <v>625</v>
      </c>
      <c r="Y1256" s="117" t="s">
        <v>2252</v>
      </c>
      <c r="Z1256" s="108" t="s">
        <v>35</v>
      </c>
      <c r="AA1256" s="108" t="s">
        <v>35</v>
      </c>
      <c r="AB1256" s="108" t="s">
        <v>2253</v>
      </c>
      <c r="AC1256" s="108">
        <v>0</v>
      </c>
      <c r="AD1256" s="108">
        <v>1</v>
      </c>
      <c r="AE1256" s="108" t="s">
        <v>37</v>
      </c>
      <c r="AF1256" s="108" t="s">
        <v>35</v>
      </c>
      <c r="AG1256" s="108" t="s">
        <v>38</v>
      </c>
      <c r="AH1256" s="108" t="s">
        <v>92</v>
      </c>
    </row>
    <row r="1257" spans="1:34" x14ac:dyDescent="0.3">
      <c r="A1257" s="107" t="s">
        <v>2253</v>
      </c>
      <c r="B1257" s="108" t="s">
        <v>2254</v>
      </c>
      <c r="C1257" s="108" t="s">
        <v>2255</v>
      </c>
      <c r="D1257" s="109">
        <v>45481</v>
      </c>
      <c r="E1257" s="110">
        <v>410000</v>
      </c>
      <c r="F1257" s="108" t="s">
        <v>32</v>
      </c>
      <c r="G1257" s="108" t="s">
        <v>33</v>
      </c>
      <c r="H1257" s="110">
        <v>410000</v>
      </c>
      <c r="I1257" s="110">
        <v>217900</v>
      </c>
      <c r="J1257" s="111">
        <f t="shared" si="138"/>
        <v>53.146341463414636</v>
      </c>
      <c r="K1257" s="110">
        <v>457268</v>
      </c>
      <c r="L1257" s="110">
        <f>H1257-436682</f>
        <v>-26682</v>
      </c>
      <c r="M1257" s="110">
        <v>20586</v>
      </c>
      <c r="N1257" s="112">
        <f t="shared" si="139"/>
        <v>5.0209756097560974E-2</v>
      </c>
      <c r="O1257" s="113">
        <v>74.849999999999994</v>
      </c>
      <c r="P1257" s="114">
        <v>260.3</v>
      </c>
      <c r="Q1257" s="115">
        <v>0.32200000000000001</v>
      </c>
      <c r="R1257" s="115">
        <v>0.32200000000000001</v>
      </c>
      <c r="S1257" s="110">
        <f t="shared" si="140"/>
        <v>-356.47294589178358</v>
      </c>
      <c r="T1257" s="110">
        <f t="shared" si="141"/>
        <v>-82863.354037267083</v>
      </c>
      <c r="U1257" s="116">
        <f t="shared" si="142"/>
        <v>-1.902280854850025</v>
      </c>
      <c r="V1257" s="115">
        <v>53.91</v>
      </c>
      <c r="W1257" s="115">
        <f t="shared" si="143"/>
        <v>82000</v>
      </c>
      <c r="X1257" s="115">
        <f t="shared" si="144"/>
        <v>1521.0536078649602</v>
      </c>
      <c r="Y1257" s="117" t="s">
        <v>2252</v>
      </c>
      <c r="Z1257" s="108" t="s">
        <v>35</v>
      </c>
      <c r="AA1257" s="108" t="s">
        <v>35</v>
      </c>
      <c r="AB1257" s="108" t="s">
        <v>2253</v>
      </c>
      <c r="AC1257" s="108">
        <v>0</v>
      </c>
      <c r="AD1257" s="108">
        <v>1</v>
      </c>
      <c r="AE1257" s="108" t="s">
        <v>37</v>
      </c>
      <c r="AF1257" s="108" t="s">
        <v>43</v>
      </c>
      <c r="AG1257" s="108" t="s">
        <v>38</v>
      </c>
      <c r="AH1257" s="108" t="s">
        <v>92</v>
      </c>
    </row>
    <row r="1258" spans="1:34" x14ac:dyDescent="0.3">
      <c r="A1258" s="118" t="s">
        <v>1936</v>
      </c>
      <c r="B1258" s="119" t="s">
        <v>1937</v>
      </c>
      <c r="C1258" s="119" t="s">
        <v>1938</v>
      </c>
      <c r="D1258" s="120">
        <v>45177</v>
      </c>
      <c r="E1258" s="121">
        <v>400000</v>
      </c>
      <c r="F1258" s="119" t="s">
        <v>32</v>
      </c>
      <c r="G1258" s="119" t="s">
        <v>33</v>
      </c>
      <c r="H1258" s="121">
        <v>400000</v>
      </c>
      <c r="I1258" s="121">
        <v>188500</v>
      </c>
      <c r="J1258" s="122">
        <f t="shared" si="138"/>
        <v>47.125</v>
      </c>
      <c r="K1258" s="121">
        <v>387886</v>
      </c>
      <c r="L1258" s="121">
        <f>H1258-342162</f>
        <v>57838</v>
      </c>
      <c r="M1258" s="121">
        <v>45724</v>
      </c>
      <c r="N1258" s="123">
        <f t="shared" si="139"/>
        <v>0.11430999999999999</v>
      </c>
      <c r="O1258" s="124">
        <v>107.84</v>
      </c>
      <c r="P1258" s="125">
        <v>127.71</v>
      </c>
      <c r="Q1258" s="126">
        <v>0.51600000000000001</v>
      </c>
      <c r="R1258" s="126">
        <v>0.42099999999999999</v>
      </c>
      <c r="S1258" s="121">
        <f t="shared" si="140"/>
        <v>536.33160237388722</v>
      </c>
      <c r="T1258" s="121">
        <f t="shared" si="141"/>
        <v>112089.1472868217</v>
      </c>
      <c r="U1258" s="127">
        <f t="shared" si="142"/>
        <v>2.5732127476313522</v>
      </c>
      <c r="V1258" s="126">
        <v>63.68</v>
      </c>
      <c r="W1258" s="126">
        <f t="shared" si="143"/>
        <v>80000</v>
      </c>
      <c r="X1258" s="126">
        <f t="shared" si="144"/>
        <v>1256.2814070351758</v>
      </c>
      <c r="Y1258" s="128" t="s">
        <v>1935</v>
      </c>
      <c r="Z1258" s="119" t="s">
        <v>35</v>
      </c>
      <c r="AA1258" s="119" t="s">
        <v>35</v>
      </c>
      <c r="AB1258" s="119" t="s">
        <v>1936</v>
      </c>
      <c r="AC1258" s="119">
        <v>0</v>
      </c>
      <c r="AD1258" s="119">
        <v>1</v>
      </c>
      <c r="AE1258" s="119" t="s">
        <v>37</v>
      </c>
      <c r="AF1258" s="119" t="s">
        <v>43</v>
      </c>
      <c r="AG1258" s="119" t="s">
        <v>38</v>
      </c>
      <c r="AH1258" s="119" t="s">
        <v>92</v>
      </c>
    </row>
    <row r="1259" spans="1:34" x14ac:dyDescent="0.3">
      <c r="A1259" s="107" t="s">
        <v>1936</v>
      </c>
      <c r="B1259" s="108" t="s">
        <v>1933</v>
      </c>
      <c r="C1259" s="108" t="s">
        <v>1934</v>
      </c>
      <c r="D1259" s="109">
        <v>45401</v>
      </c>
      <c r="E1259" s="110">
        <v>420000</v>
      </c>
      <c r="F1259" s="108" t="s">
        <v>32</v>
      </c>
      <c r="G1259" s="108" t="s">
        <v>33</v>
      </c>
      <c r="H1259" s="110">
        <v>420000</v>
      </c>
      <c r="I1259" s="110">
        <v>187300</v>
      </c>
      <c r="J1259" s="111">
        <f t="shared" si="138"/>
        <v>44.595238095238095</v>
      </c>
      <c r="K1259" s="110">
        <v>386102</v>
      </c>
      <c r="L1259" s="110">
        <f>H1259-354055</f>
        <v>65945</v>
      </c>
      <c r="M1259" s="110">
        <v>32047</v>
      </c>
      <c r="N1259" s="112">
        <f t="shared" si="139"/>
        <v>7.6302380952380955E-2</v>
      </c>
      <c r="O1259" s="113">
        <v>75.58</v>
      </c>
      <c r="P1259" s="114">
        <v>140.34</v>
      </c>
      <c r="Q1259" s="115">
        <v>0.25700000000000001</v>
      </c>
      <c r="R1259" s="115">
        <v>0.309</v>
      </c>
      <c r="S1259" s="110">
        <f t="shared" si="140"/>
        <v>872.51918496956864</v>
      </c>
      <c r="T1259" s="110">
        <f t="shared" si="141"/>
        <v>256595.33073929959</v>
      </c>
      <c r="U1259" s="116">
        <f t="shared" si="142"/>
        <v>5.8906182447038473</v>
      </c>
      <c r="V1259" s="115">
        <v>42.74</v>
      </c>
      <c r="W1259" s="115">
        <f t="shared" si="143"/>
        <v>84000</v>
      </c>
      <c r="X1259" s="115">
        <f t="shared" si="144"/>
        <v>1965.3720168460459</v>
      </c>
      <c r="Y1259" s="117" t="s">
        <v>1935</v>
      </c>
      <c r="Z1259" s="108" t="s">
        <v>35</v>
      </c>
      <c r="AA1259" s="108" t="s">
        <v>35</v>
      </c>
      <c r="AB1259" s="108" t="s">
        <v>1936</v>
      </c>
      <c r="AC1259" s="108">
        <v>0</v>
      </c>
      <c r="AD1259" s="108">
        <v>1</v>
      </c>
      <c r="AE1259" s="108" t="s">
        <v>37</v>
      </c>
      <c r="AF1259" s="108" t="s">
        <v>43</v>
      </c>
      <c r="AG1259" s="108" t="s">
        <v>38</v>
      </c>
      <c r="AH1259" s="108" t="s">
        <v>92</v>
      </c>
    </row>
    <row r="1260" spans="1:34" x14ac:dyDescent="0.3">
      <c r="A1260" s="107" t="s">
        <v>2192</v>
      </c>
      <c r="B1260" s="108" t="s">
        <v>2190</v>
      </c>
      <c r="C1260" s="108" t="s">
        <v>2191</v>
      </c>
      <c r="D1260" s="109">
        <v>45456</v>
      </c>
      <c r="E1260" s="110">
        <v>125000</v>
      </c>
      <c r="F1260" s="108" t="s">
        <v>32</v>
      </c>
      <c r="G1260" s="108" t="s">
        <v>33</v>
      </c>
      <c r="H1260" s="110">
        <v>125000</v>
      </c>
      <c r="I1260" s="110">
        <v>122700</v>
      </c>
      <c r="J1260" s="111">
        <f t="shared" si="138"/>
        <v>98.16</v>
      </c>
      <c r="K1260" s="110">
        <v>271955</v>
      </c>
      <c r="L1260" s="110">
        <f>H1260-255125</f>
        <v>-130125</v>
      </c>
      <c r="M1260" s="110">
        <v>16830</v>
      </c>
      <c r="N1260" s="112">
        <f t="shared" si="139"/>
        <v>0.13464000000000001</v>
      </c>
      <c r="O1260" s="113">
        <v>66</v>
      </c>
      <c r="P1260" s="114">
        <v>302.10000000000002</v>
      </c>
      <c r="Q1260" s="115">
        <v>0.45800000000000002</v>
      </c>
      <c r="R1260" s="115">
        <v>0.45800000000000002</v>
      </c>
      <c r="S1260" s="110">
        <f t="shared" si="140"/>
        <v>-1971.590909090909</v>
      </c>
      <c r="T1260" s="110">
        <f t="shared" si="141"/>
        <v>-284115.72052401747</v>
      </c>
      <c r="U1260" s="116">
        <f t="shared" si="142"/>
        <v>-6.5223994610655982</v>
      </c>
      <c r="V1260" s="115">
        <v>66</v>
      </c>
      <c r="W1260" s="115">
        <f t="shared" si="143"/>
        <v>25000</v>
      </c>
      <c r="X1260" s="115">
        <f t="shared" si="144"/>
        <v>378.78787878787881</v>
      </c>
      <c r="Y1260" s="117" t="s">
        <v>1562</v>
      </c>
      <c r="Z1260" s="108" t="s">
        <v>35</v>
      </c>
      <c r="AA1260" s="108" t="s">
        <v>35</v>
      </c>
      <c r="AB1260" s="108" t="s">
        <v>2192</v>
      </c>
      <c r="AC1260" s="108">
        <v>0</v>
      </c>
      <c r="AD1260" s="108">
        <v>1</v>
      </c>
      <c r="AE1260" s="108" t="s">
        <v>42</v>
      </c>
      <c r="AF1260" s="108" t="s">
        <v>43</v>
      </c>
      <c r="AG1260" s="108" t="s">
        <v>38</v>
      </c>
      <c r="AH1260" s="108" t="s">
        <v>92</v>
      </c>
    </row>
    <row r="1261" spans="1:34" x14ac:dyDescent="0.3">
      <c r="A1261" s="107" t="s">
        <v>2192</v>
      </c>
      <c r="B1261" s="108" t="s">
        <v>2193</v>
      </c>
      <c r="C1261" s="108" t="s">
        <v>2194</v>
      </c>
      <c r="D1261" s="109">
        <v>45595</v>
      </c>
      <c r="E1261" s="110">
        <v>236610</v>
      </c>
      <c r="F1261" s="108" t="s">
        <v>32</v>
      </c>
      <c r="G1261" s="108" t="s">
        <v>33</v>
      </c>
      <c r="H1261" s="110">
        <v>236610</v>
      </c>
      <c r="I1261" s="110">
        <v>111300</v>
      </c>
      <c r="J1261" s="111">
        <f t="shared" si="138"/>
        <v>47.039431976670471</v>
      </c>
      <c r="K1261" s="110">
        <v>245421</v>
      </c>
      <c r="L1261" s="110">
        <f>H1261-221451</f>
        <v>15159</v>
      </c>
      <c r="M1261" s="110">
        <v>23970</v>
      </c>
      <c r="N1261" s="112">
        <f t="shared" si="139"/>
        <v>0.10130594649423101</v>
      </c>
      <c r="O1261" s="113">
        <v>94</v>
      </c>
      <c r="P1261" s="114">
        <v>190</v>
      </c>
      <c r="Q1261" s="115">
        <v>0.52900000000000003</v>
      </c>
      <c r="R1261" s="115">
        <v>0.41</v>
      </c>
      <c r="S1261" s="110">
        <f t="shared" si="140"/>
        <v>161.2659574468085</v>
      </c>
      <c r="T1261" s="110">
        <f t="shared" si="141"/>
        <v>28655.954631379962</v>
      </c>
      <c r="U1261" s="116">
        <f t="shared" si="142"/>
        <v>0.65785019814921863</v>
      </c>
      <c r="V1261" s="115">
        <v>94</v>
      </c>
      <c r="W1261" s="115">
        <f t="shared" si="143"/>
        <v>47322</v>
      </c>
      <c r="X1261" s="115">
        <f t="shared" si="144"/>
        <v>503.42553191489361</v>
      </c>
      <c r="Y1261" s="117" t="s">
        <v>1562</v>
      </c>
      <c r="Z1261" s="108" t="s">
        <v>35</v>
      </c>
      <c r="AA1261" s="108" t="s">
        <v>35</v>
      </c>
      <c r="AB1261" s="108" t="s">
        <v>2192</v>
      </c>
      <c r="AC1261" s="108">
        <v>0</v>
      </c>
      <c r="AD1261" s="108">
        <v>1</v>
      </c>
      <c r="AE1261" s="108" t="s">
        <v>205</v>
      </c>
      <c r="AF1261" s="108" t="s">
        <v>35</v>
      </c>
      <c r="AG1261" s="108" t="s">
        <v>38</v>
      </c>
      <c r="AH1261" s="108" t="s">
        <v>92</v>
      </c>
    </row>
    <row r="1262" spans="1:34" x14ac:dyDescent="0.3">
      <c r="A1262" s="118" t="s">
        <v>2192</v>
      </c>
      <c r="B1262" s="119" t="s">
        <v>2195</v>
      </c>
      <c r="C1262" s="119" t="s">
        <v>2196</v>
      </c>
      <c r="D1262" s="120">
        <v>45643</v>
      </c>
      <c r="E1262" s="121">
        <v>295000</v>
      </c>
      <c r="F1262" s="119" t="s">
        <v>32</v>
      </c>
      <c r="G1262" s="119" t="s">
        <v>33</v>
      </c>
      <c r="H1262" s="121">
        <v>295000</v>
      </c>
      <c r="I1262" s="121">
        <v>128600</v>
      </c>
      <c r="J1262" s="122">
        <f t="shared" si="138"/>
        <v>43.593220338983052</v>
      </c>
      <c r="K1262" s="121">
        <v>385246</v>
      </c>
      <c r="L1262" s="121">
        <f>H1262-368416</f>
        <v>-73416</v>
      </c>
      <c r="M1262" s="121">
        <v>16830</v>
      </c>
      <c r="N1262" s="123">
        <f t="shared" si="139"/>
        <v>5.7050847457627119E-2</v>
      </c>
      <c r="O1262" s="124">
        <v>66</v>
      </c>
      <c r="P1262" s="125">
        <v>300</v>
      </c>
      <c r="Q1262" s="126">
        <v>0.45500000000000002</v>
      </c>
      <c r="R1262" s="126">
        <v>0.45500000000000002</v>
      </c>
      <c r="S1262" s="121">
        <f t="shared" si="140"/>
        <v>-1112.3636363636363</v>
      </c>
      <c r="T1262" s="121">
        <f t="shared" si="141"/>
        <v>-161353.84615384616</v>
      </c>
      <c r="U1262" s="127">
        <f t="shared" si="142"/>
        <v>-3.7041746132655224</v>
      </c>
      <c r="V1262" s="126">
        <v>66</v>
      </c>
      <c r="W1262" s="126">
        <f t="shared" si="143"/>
        <v>59000</v>
      </c>
      <c r="X1262" s="126">
        <f t="shared" si="144"/>
        <v>893.93939393939399</v>
      </c>
      <c r="Y1262" s="128" t="s">
        <v>1562</v>
      </c>
      <c r="Z1262" s="119" t="s">
        <v>35</v>
      </c>
      <c r="AA1262" s="119" t="s">
        <v>35</v>
      </c>
      <c r="AB1262" s="119" t="s">
        <v>2192</v>
      </c>
      <c r="AC1262" s="119">
        <v>0</v>
      </c>
      <c r="AD1262" s="119">
        <v>1</v>
      </c>
      <c r="AE1262" s="119" t="s">
        <v>42</v>
      </c>
      <c r="AF1262" s="119" t="s">
        <v>35</v>
      </c>
      <c r="AG1262" s="119" t="s">
        <v>38</v>
      </c>
      <c r="AH1262" s="119" t="s">
        <v>92</v>
      </c>
    </row>
    <row r="1263" spans="1:34" x14ac:dyDescent="0.3">
      <c r="A1263" s="107" t="s">
        <v>1252</v>
      </c>
      <c r="B1263" s="108" t="s">
        <v>1727</v>
      </c>
      <c r="C1263" s="108" t="s">
        <v>1728</v>
      </c>
      <c r="D1263" s="109">
        <v>45405</v>
      </c>
      <c r="E1263" s="110">
        <v>160000</v>
      </c>
      <c r="F1263" s="108" t="s">
        <v>32</v>
      </c>
      <c r="G1263" s="108" t="s">
        <v>33</v>
      </c>
      <c r="H1263" s="110">
        <v>160000</v>
      </c>
      <c r="I1263" s="110">
        <v>62500</v>
      </c>
      <c r="J1263" s="111">
        <f t="shared" si="138"/>
        <v>39.0625</v>
      </c>
      <c r="K1263" s="110">
        <v>150833</v>
      </c>
      <c r="L1263" s="110">
        <f>H1263-140833</f>
        <v>19167</v>
      </c>
      <c r="M1263" s="110">
        <v>10000</v>
      </c>
      <c r="N1263" s="112">
        <f t="shared" si="139"/>
        <v>6.25E-2</v>
      </c>
      <c r="O1263" s="113">
        <v>0</v>
      </c>
      <c r="P1263" s="114">
        <v>0</v>
      </c>
      <c r="Q1263" s="115">
        <v>0</v>
      </c>
      <c r="R1263" s="115">
        <v>0</v>
      </c>
      <c r="S1263" s="110" t="e">
        <f t="shared" si="140"/>
        <v>#DIV/0!</v>
      </c>
      <c r="T1263" s="110" t="e">
        <f t="shared" si="141"/>
        <v>#DIV/0!</v>
      </c>
      <c r="U1263" s="116" t="e">
        <f t="shared" si="142"/>
        <v>#DIV/0!</v>
      </c>
      <c r="V1263" s="115">
        <v>0</v>
      </c>
      <c r="W1263" s="115">
        <f t="shared" si="143"/>
        <v>32000</v>
      </c>
      <c r="X1263" s="115"/>
      <c r="Y1263" s="117" t="s">
        <v>1717</v>
      </c>
      <c r="Z1263" s="108" t="s">
        <v>35</v>
      </c>
      <c r="AA1263" s="108" t="s">
        <v>35</v>
      </c>
      <c r="AB1263" s="108" t="s">
        <v>1252</v>
      </c>
      <c r="AC1263" s="108">
        <v>0</v>
      </c>
      <c r="AD1263" s="108">
        <v>1</v>
      </c>
      <c r="AE1263" s="108" t="s">
        <v>37</v>
      </c>
      <c r="AF1263" s="108" t="s">
        <v>43</v>
      </c>
      <c r="AG1263" s="108" t="s">
        <v>38</v>
      </c>
      <c r="AH1263" s="108" t="s">
        <v>1718</v>
      </c>
    </row>
    <row r="1264" spans="1:34" x14ac:dyDescent="0.3">
      <c r="A1264" s="107" t="s">
        <v>1252</v>
      </c>
      <c r="B1264" s="108" t="s">
        <v>1737</v>
      </c>
      <c r="C1264" s="108" t="s">
        <v>1738</v>
      </c>
      <c r="D1264" s="109">
        <v>45628</v>
      </c>
      <c r="E1264" s="110">
        <v>270000</v>
      </c>
      <c r="F1264" s="108" t="s">
        <v>32</v>
      </c>
      <c r="G1264" s="108" t="s">
        <v>33</v>
      </c>
      <c r="H1264" s="110">
        <v>270000</v>
      </c>
      <c r="I1264" s="110">
        <v>97400</v>
      </c>
      <c r="J1264" s="111">
        <f t="shared" si="138"/>
        <v>36.074074074074076</v>
      </c>
      <c r="K1264" s="110">
        <v>234879</v>
      </c>
      <c r="L1264" s="110">
        <f>H1264-217379</f>
        <v>52621</v>
      </c>
      <c r="M1264" s="110">
        <v>17500</v>
      </c>
      <c r="N1264" s="112">
        <f t="shared" si="139"/>
        <v>6.4814814814814811E-2</v>
      </c>
      <c r="O1264" s="113">
        <v>0</v>
      </c>
      <c r="P1264" s="114">
        <v>0</v>
      </c>
      <c r="Q1264" s="115">
        <v>0</v>
      </c>
      <c r="R1264" s="115">
        <v>0</v>
      </c>
      <c r="S1264" s="110" t="e">
        <f t="shared" si="140"/>
        <v>#DIV/0!</v>
      </c>
      <c r="T1264" s="110" t="e">
        <f t="shared" si="141"/>
        <v>#DIV/0!</v>
      </c>
      <c r="U1264" s="116" t="e">
        <f t="shared" si="142"/>
        <v>#DIV/0!</v>
      </c>
      <c r="V1264" s="115">
        <v>0</v>
      </c>
      <c r="W1264" s="115">
        <f t="shared" si="143"/>
        <v>54000</v>
      </c>
      <c r="X1264" s="115"/>
      <c r="Y1264" s="117" t="s">
        <v>1733</v>
      </c>
      <c r="Z1264" s="108" t="s">
        <v>35</v>
      </c>
      <c r="AA1264" s="108" t="s">
        <v>35</v>
      </c>
      <c r="AB1264" s="108" t="s">
        <v>1252</v>
      </c>
      <c r="AC1264" s="108">
        <v>0</v>
      </c>
      <c r="AD1264" s="108">
        <v>1</v>
      </c>
      <c r="AE1264" s="108" t="s">
        <v>37</v>
      </c>
      <c r="AF1264" s="108" t="s">
        <v>35</v>
      </c>
      <c r="AG1264" s="108" t="s">
        <v>38</v>
      </c>
      <c r="AH1264" s="108" t="s">
        <v>1734</v>
      </c>
    </row>
    <row r="1265" spans="1:34" x14ac:dyDescent="0.3">
      <c r="A1265" s="118" t="s">
        <v>1252</v>
      </c>
      <c r="B1265" s="119" t="s">
        <v>1739</v>
      </c>
      <c r="C1265" s="119" t="s">
        <v>1740</v>
      </c>
      <c r="D1265" s="120">
        <v>45296</v>
      </c>
      <c r="E1265" s="121">
        <v>266000</v>
      </c>
      <c r="F1265" s="119" t="s">
        <v>32</v>
      </c>
      <c r="G1265" s="119" t="s">
        <v>33</v>
      </c>
      <c r="H1265" s="121">
        <v>266000</v>
      </c>
      <c r="I1265" s="121">
        <v>79200</v>
      </c>
      <c r="J1265" s="122">
        <f t="shared" si="138"/>
        <v>29.774436090225564</v>
      </c>
      <c r="K1265" s="121">
        <v>206620</v>
      </c>
      <c r="L1265" s="121">
        <f>H1265-189120</f>
        <v>76880</v>
      </c>
      <c r="M1265" s="121">
        <v>17500</v>
      </c>
      <c r="N1265" s="123">
        <f t="shared" si="139"/>
        <v>6.5789473684210523E-2</v>
      </c>
      <c r="O1265" s="124">
        <v>0</v>
      </c>
      <c r="P1265" s="125">
        <v>0</v>
      </c>
      <c r="Q1265" s="126">
        <v>0</v>
      </c>
      <c r="R1265" s="126">
        <v>0</v>
      </c>
      <c r="S1265" s="121" t="e">
        <f t="shared" si="140"/>
        <v>#DIV/0!</v>
      </c>
      <c r="T1265" s="121" t="e">
        <f t="shared" si="141"/>
        <v>#DIV/0!</v>
      </c>
      <c r="U1265" s="127" t="e">
        <f t="shared" si="142"/>
        <v>#DIV/0!</v>
      </c>
      <c r="V1265" s="126">
        <v>0</v>
      </c>
      <c r="W1265" s="126">
        <f t="shared" si="143"/>
        <v>53200</v>
      </c>
      <c r="X1265" s="126"/>
      <c r="Y1265" s="128" t="s">
        <v>1733</v>
      </c>
      <c r="Z1265" s="119" t="s">
        <v>35</v>
      </c>
      <c r="AA1265" s="119" t="s">
        <v>35</v>
      </c>
      <c r="AB1265" s="119" t="s">
        <v>1252</v>
      </c>
      <c r="AC1265" s="119">
        <v>0</v>
      </c>
      <c r="AD1265" s="119">
        <v>1</v>
      </c>
      <c r="AE1265" s="119" t="s">
        <v>1741</v>
      </c>
      <c r="AF1265" s="119" t="s">
        <v>43</v>
      </c>
      <c r="AG1265" s="119" t="s">
        <v>38</v>
      </c>
      <c r="AH1265" s="119" t="s">
        <v>1734</v>
      </c>
    </row>
    <row r="1266" spans="1:34" x14ac:dyDescent="0.3">
      <c r="A1266" s="107" t="s">
        <v>1252</v>
      </c>
      <c r="B1266" s="108" t="s">
        <v>1719</v>
      </c>
      <c r="C1266" s="108" t="s">
        <v>1720</v>
      </c>
      <c r="D1266" s="109">
        <v>45308</v>
      </c>
      <c r="E1266" s="110">
        <v>145000</v>
      </c>
      <c r="F1266" s="108" t="s">
        <v>32</v>
      </c>
      <c r="G1266" s="108" t="s">
        <v>33</v>
      </c>
      <c r="H1266" s="110">
        <v>145000</v>
      </c>
      <c r="I1266" s="110">
        <v>56100</v>
      </c>
      <c r="J1266" s="111">
        <f t="shared" si="138"/>
        <v>38.689655172413794</v>
      </c>
      <c r="K1266" s="110">
        <v>152736</v>
      </c>
      <c r="L1266" s="110">
        <f>H1266-142736</f>
        <v>2264</v>
      </c>
      <c r="M1266" s="110">
        <v>10000</v>
      </c>
      <c r="N1266" s="112">
        <f t="shared" si="139"/>
        <v>6.8965517241379309E-2</v>
      </c>
      <c r="O1266" s="113">
        <v>0</v>
      </c>
      <c r="P1266" s="114">
        <v>0</v>
      </c>
      <c r="Q1266" s="115">
        <v>0</v>
      </c>
      <c r="R1266" s="115">
        <v>0</v>
      </c>
      <c r="S1266" s="110" t="e">
        <f t="shared" si="140"/>
        <v>#DIV/0!</v>
      </c>
      <c r="T1266" s="110" t="e">
        <f t="shared" si="141"/>
        <v>#DIV/0!</v>
      </c>
      <c r="U1266" s="116" t="e">
        <f t="shared" si="142"/>
        <v>#DIV/0!</v>
      </c>
      <c r="V1266" s="115">
        <v>0</v>
      </c>
      <c r="W1266" s="115">
        <f t="shared" si="143"/>
        <v>29000</v>
      </c>
      <c r="X1266" s="115"/>
      <c r="Y1266" s="117" t="s">
        <v>1717</v>
      </c>
      <c r="Z1266" s="108" t="s">
        <v>35</v>
      </c>
      <c r="AA1266" s="108" t="s">
        <v>35</v>
      </c>
      <c r="AB1266" s="108" t="s">
        <v>1252</v>
      </c>
      <c r="AC1266" s="108">
        <v>0</v>
      </c>
      <c r="AD1266" s="108">
        <v>1</v>
      </c>
      <c r="AE1266" s="108" t="s">
        <v>37</v>
      </c>
      <c r="AF1266" s="108" t="s">
        <v>43</v>
      </c>
      <c r="AG1266" s="108" t="s">
        <v>38</v>
      </c>
      <c r="AH1266" s="108" t="s">
        <v>1718</v>
      </c>
    </row>
    <row r="1267" spans="1:34" x14ac:dyDescent="0.3">
      <c r="A1267" s="107" t="s">
        <v>1252</v>
      </c>
      <c r="B1267" s="108" t="s">
        <v>1725</v>
      </c>
      <c r="C1267" s="108" t="s">
        <v>1726</v>
      </c>
      <c r="D1267" s="109">
        <v>45177</v>
      </c>
      <c r="E1267" s="110">
        <v>145000</v>
      </c>
      <c r="F1267" s="108" t="s">
        <v>32</v>
      </c>
      <c r="G1267" s="108" t="s">
        <v>33</v>
      </c>
      <c r="H1267" s="110">
        <v>145000</v>
      </c>
      <c r="I1267" s="110">
        <v>53400</v>
      </c>
      <c r="J1267" s="111">
        <f t="shared" si="138"/>
        <v>36.827586206896548</v>
      </c>
      <c r="K1267" s="110">
        <v>145317</v>
      </c>
      <c r="L1267" s="110">
        <f>H1267-135317</f>
        <v>9683</v>
      </c>
      <c r="M1267" s="110">
        <v>10000</v>
      </c>
      <c r="N1267" s="112">
        <f t="shared" si="139"/>
        <v>6.8965517241379309E-2</v>
      </c>
      <c r="O1267" s="113">
        <v>0</v>
      </c>
      <c r="P1267" s="114">
        <v>0</v>
      </c>
      <c r="Q1267" s="115">
        <v>0</v>
      </c>
      <c r="R1267" s="115">
        <v>0</v>
      </c>
      <c r="S1267" s="110" t="e">
        <f t="shared" si="140"/>
        <v>#DIV/0!</v>
      </c>
      <c r="T1267" s="110" t="e">
        <f t="shared" si="141"/>
        <v>#DIV/0!</v>
      </c>
      <c r="U1267" s="116" t="e">
        <f t="shared" si="142"/>
        <v>#DIV/0!</v>
      </c>
      <c r="V1267" s="115">
        <v>0</v>
      </c>
      <c r="W1267" s="115">
        <f t="shared" si="143"/>
        <v>29000</v>
      </c>
      <c r="X1267" s="115"/>
      <c r="Y1267" s="117" t="s">
        <v>1717</v>
      </c>
      <c r="Z1267" s="108" t="s">
        <v>35</v>
      </c>
      <c r="AA1267" s="108" t="s">
        <v>35</v>
      </c>
      <c r="AB1267" s="108" t="s">
        <v>1252</v>
      </c>
      <c r="AC1267" s="108">
        <v>0</v>
      </c>
      <c r="AD1267" s="108">
        <v>1</v>
      </c>
      <c r="AE1267" s="108" t="s">
        <v>37</v>
      </c>
      <c r="AF1267" s="108" t="s">
        <v>43</v>
      </c>
      <c r="AG1267" s="108" t="s">
        <v>38</v>
      </c>
      <c r="AH1267" s="108" t="s">
        <v>1718</v>
      </c>
    </row>
    <row r="1268" spans="1:34" x14ac:dyDescent="0.3">
      <c r="A1268" s="118" t="s">
        <v>1252</v>
      </c>
      <c r="B1268" s="119" t="s">
        <v>1721</v>
      </c>
      <c r="C1268" s="119" t="s">
        <v>1722</v>
      </c>
      <c r="D1268" s="120">
        <v>45218</v>
      </c>
      <c r="E1268" s="121">
        <v>143000</v>
      </c>
      <c r="F1268" s="119" t="s">
        <v>32</v>
      </c>
      <c r="G1268" s="119" t="s">
        <v>33</v>
      </c>
      <c r="H1268" s="121">
        <v>143000</v>
      </c>
      <c r="I1268" s="121">
        <v>55400</v>
      </c>
      <c r="J1268" s="122">
        <f t="shared" si="138"/>
        <v>38.741258741258747</v>
      </c>
      <c r="K1268" s="121">
        <v>150833</v>
      </c>
      <c r="L1268" s="121">
        <f>H1268-140833</f>
        <v>2167</v>
      </c>
      <c r="M1268" s="121">
        <v>10000</v>
      </c>
      <c r="N1268" s="123">
        <f t="shared" si="139"/>
        <v>6.9930069930069935E-2</v>
      </c>
      <c r="O1268" s="124">
        <v>0</v>
      </c>
      <c r="P1268" s="125">
        <v>0</v>
      </c>
      <c r="Q1268" s="126">
        <v>0</v>
      </c>
      <c r="R1268" s="126">
        <v>0</v>
      </c>
      <c r="S1268" s="121" t="e">
        <f t="shared" si="140"/>
        <v>#DIV/0!</v>
      </c>
      <c r="T1268" s="121" t="e">
        <f t="shared" si="141"/>
        <v>#DIV/0!</v>
      </c>
      <c r="U1268" s="127" t="e">
        <f t="shared" si="142"/>
        <v>#DIV/0!</v>
      </c>
      <c r="V1268" s="126">
        <v>0</v>
      </c>
      <c r="W1268" s="126">
        <f t="shared" si="143"/>
        <v>28600</v>
      </c>
      <c r="X1268" s="126"/>
      <c r="Y1268" s="128" t="s">
        <v>1717</v>
      </c>
      <c r="Z1268" s="119" t="s">
        <v>35</v>
      </c>
      <c r="AA1268" s="119" t="s">
        <v>35</v>
      </c>
      <c r="AB1268" s="119" t="s">
        <v>1252</v>
      </c>
      <c r="AC1268" s="119">
        <v>0</v>
      </c>
      <c r="AD1268" s="119">
        <v>1</v>
      </c>
      <c r="AE1268" s="119" t="s">
        <v>37</v>
      </c>
      <c r="AF1268" s="119" t="s">
        <v>43</v>
      </c>
      <c r="AG1268" s="119" t="s">
        <v>38</v>
      </c>
      <c r="AH1268" s="119" t="s">
        <v>1718</v>
      </c>
    </row>
    <row r="1269" spans="1:34" x14ac:dyDescent="0.3">
      <c r="A1269" s="118" t="s">
        <v>1252</v>
      </c>
      <c r="B1269" s="119" t="s">
        <v>1723</v>
      </c>
      <c r="C1269" s="119" t="s">
        <v>1724</v>
      </c>
      <c r="D1269" s="120">
        <v>45576</v>
      </c>
      <c r="E1269" s="121">
        <v>143000</v>
      </c>
      <c r="F1269" s="119" t="s">
        <v>32</v>
      </c>
      <c r="G1269" s="119" t="s">
        <v>33</v>
      </c>
      <c r="H1269" s="121">
        <v>143000</v>
      </c>
      <c r="I1269" s="121">
        <v>63300</v>
      </c>
      <c r="J1269" s="122">
        <f t="shared" si="138"/>
        <v>44.265734265734267</v>
      </c>
      <c r="K1269" s="121">
        <v>152758</v>
      </c>
      <c r="L1269" s="121">
        <f>H1269-142758</f>
        <v>242</v>
      </c>
      <c r="M1269" s="121">
        <v>10000</v>
      </c>
      <c r="N1269" s="123">
        <f t="shared" si="139"/>
        <v>6.9930069930069935E-2</v>
      </c>
      <c r="O1269" s="124">
        <v>0</v>
      </c>
      <c r="P1269" s="125">
        <v>0</v>
      </c>
      <c r="Q1269" s="126">
        <v>0</v>
      </c>
      <c r="R1269" s="126">
        <v>0</v>
      </c>
      <c r="S1269" s="121" t="e">
        <f t="shared" si="140"/>
        <v>#DIV/0!</v>
      </c>
      <c r="T1269" s="121" t="e">
        <f t="shared" si="141"/>
        <v>#DIV/0!</v>
      </c>
      <c r="U1269" s="127" t="e">
        <f t="shared" si="142"/>
        <v>#DIV/0!</v>
      </c>
      <c r="V1269" s="126">
        <v>0</v>
      </c>
      <c r="W1269" s="126">
        <f t="shared" si="143"/>
        <v>28600</v>
      </c>
      <c r="X1269" s="126"/>
      <c r="Y1269" s="128" t="s">
        <v>1717</v>
      </c>
      <c r="Z1269" s="119" t="s">
        <v>35</v>
      </c>
      <c r="AA1269" s="119" t="s">
        <v>35</v>
      </c>
      <c r="AB1269" s="119" t="s">
        <v>1252</v>
      </c>
      <c r="AC1269" s="119">
        <v>0</v>
      </c>
      <c r="AD1269" s="119">
        <v>1</v>
      </c>
      <c r="AE1269" s="119" t="s">
        <v>37</v>
      </c>
      <c r="AF1269" s="119" t="s">
        <v>35</v>
      </c>
      <c r="AG1269" s="119" t="s">
        <v>38</v>
      </c>
      <c r="AH1269" s="119" t="s">
        <v>1718</v>
      </c>
    </row>
    <row r="1270" spans="1:34" x14ac:dyDescent="0.3">
      <c r="A1270" s="107" t="s">
        <v>1252</v>
      </c>
      <c r="B1270" s="108" t="s">
        <v>1715</v>
      </c>
      <c r="C1270" s="108" t="s">
        <v>1716</v>
      </c>
      <c r="D1270" s="109">
        <v>45247</v>
      </c>
      <c r="E1270" s="110">
        <v>140000</v>
      </c>
      <c r="F1270" s="108" t="s">
        <v>32</v>
      </c>
      <c r="G1270" s="108" t="s">
        <v>33</v>
      </c>
      <c r="H1270" s="110">
        <v>140000</v>
      </c>
      <c r="I1270" s="110">
        <v>53400</v>
      </c>
      <c r="J1270" s="111">
        <f t="shared" si="138"/>
        <v>38.142857142857146</v>
      </c>
      <c r="K1270" s="110">
        <v>145317</v>
      </c>
      <c r="L1270" s="110">
        <f>H1270-135317</f>
        <v>4683</v>
      </c>
      <c r="M1270" s="110">
        <v>10000</v>
      </c>
      <c r="N1270" s="112">
        <f t="shared" si="139"/>
        <v>7.1428571428571425E-2</v>
      </c>
      <c r="O1270" s="113">
        <v>0</v>
      </c>
      <c r="P1270" s="114">
        <v>0</v>
      </c>
      <c r="Q1270" s="115">
        <v>0</v>
      </c>
      <c r="R1270" s="115">
        <v>0</v>
      </c>
      <c r="S1270" s="110" t="e">
        <f t="shared" si="140"/>
        <v>#DIV/0!</v>
      </c>
      <c r="T1270" s="110" t="e">
        <f t="shared" si="141"/>
        <v>#DIV/0!</v>
      </c>
      <c r="U1270" s="116" t="e">
        <f t="shared" si="142"/>
        <v>#DIV/0!</v>
      </c>
      <c r="V1270" s="115">
        <v>0</v>
      </c>
      <c r="W1270" s="115">
        <f t="shared" si="143"/>
        <v>28000</v>
      </c>
      <c r="X1270" s="115"/>
      <c r="Y1270" s="117" t="s">
        <v>1717</v>
      </c>
      <c r="Z1270" s="108" t="s">
        <v>35</v>
      </c>
      <c r="AA1270" s="108" t="s">
        <v>35</v>
      </c>
      <c r="AB1270" s="108" t="s">
        <v>1252</v>
      </c>
      <c r="AC1270" s="108">
        <v>0</v>
      </c>
      <c r="AD1270" s="108">
        <v>1</v>
      </c>
      <c r="AE1270" s="108" t="s">
        <v>37</v>
      </c>
      <c r="AF1270" s="108" t="s">
        <v>43</v>
      </c>
      <c r="AG1270" s="108" t="s">
        <v>38</v>
      </c>
      <c r="AH1270" s="108" t="s">
        <v>1718</v>
      </c>
    </row>
    <row r="1271" spans="1:34" x14ac:dyDescent="0.3">
      <c r="A1271" s="107" t="s">
        <v>1252</v>
      </c>
      <c r="B1271" s="108" t="s">
        <v>1735</v>
      </c>
      <c r="C1271" s="108" t="s">
        <v>1736</v>
      </c>
      <c r="D1271" s="109">
        <v>45674</v>
      </c>
      <c r="E1271" s="110">
        <v>245000</v>
      </c>
      <c r="F1271" s="108" t="s">
        <v>32</v>
      </c>
      <c r="G1271" s="108" t="s">
        <v>33</v>
      </c>
      <c r="H1271" s="110">
        <v>245000</v>
      </c>
      <c r="I1271" s="110">
        <v>93600</v>
      </c>
      <c r="J1271" s="111">
        <f t="shared" si="138"/>
        <v>38.204081632653057</v>
      </c>
      <c r="K1271" s="110">
        <v>225882</v>
      </c>
      <c r="L1271" s="110">
        <f>H1271-208382</f>
        <v>36618</v>
      </c>
      <c r="M1271" s="110">
        <v>17500</v>
      </c>
      <c r="N1271" s="112">
        <f t="shared" si="139"/>
        <v>7.1428571428571425E-2</v>
      </c>
      <c r="O1271" s="113">
        <v>0</v>
      </c>
      <c r="P1271" s="114">
        <v>0</v>
      </c>
      <c r="Q1271" s="115">
        <v>0</v>
      </c>
      <c r="R1271" s="115">
        <v>0</v>
      </c>
      <c r="S1271" s="110" t="e">
        <f t="shared" si="140"/>
        <v>#DIV/0!</v>
      </c>
      <c r="T1271" s="110" t="e">
        <f t="shared" si="141"/>
        <v>#DIV/0!</v>
      </c>
      <c r="U1271" s="116" t="e">
        <f t="shared" si="142"/>
        <v>#DIV/0!</v>
      </c>
      <c r="V1271" s="115">
        <v>0</v>
      </c>
      <c r="W1271" s="115">
        <f t="shared" si="143"/>
        <v>49000</v>
      </c>
      <c r="X1271" s="115"/>
      <c r="Y1271" s="117" t="s">
        <v>1733</v>
      </c>
      <c r="Z1271" s="108" t="s">
        <v>35</v>
      </c>
      <c r="AA1271" s="108" t="s">
        <v>35</v>
      </c>
      <c r="AB1271" s="108" t="s">
        <v>1252</v>
      </c>
      <c r="AC1271" s="108">
        <v>0</v>
      </c>
      <c r="AD1271" s="108">
        <v>1</v>
      </c>
      <c r="AE1271" s="108" t="s">
        <v>37</v>
      </c>
      <c r="AF1271" s="108" t="s">
        <v>35</v>
      </c>
      <c r="AG1271" s="108" t="s">
        <v>38</v>
      </c>
      <c r="AH1271" s="108" t="s">
        <v>1734</v>
      </c>
    </row>
    <row r="1272" spans="1:34" x14ac:dyDescent="0.3">
      <c r="A1272" s="107" t="s">
        <v>1252</v>
      </c>
      <c r="B1272" s="108" t="s">
        <v>1744</v>
      </c>
      <c r="C1272" s="108" t="s">
        <v>1745</v>
      </c>
      <c r="D1272" s="109">
        <v>45447</v>
      </c>
      <c r="E1272" s="110">
        <v>235000</v>
      </c>
      <c r="F1272" s="108" t="s">
        <v>32</v>
      </c>
      <c r="G1272" s="108" t="s">
        <v>33</v>
      </c>
      <c r="H1272" s="110">
        <v>235000</v>
      </c>
      <c r="I1272" s="110">
        <v>92900</v>
      </c>
      <c r="J1272" s="111">
        <f t="shared" si="138"/>
        <v>39.531914893617021</v>
      </c>
      <c r="K1272" s="110">
        <v>224119</v>
      </c>
      <c r="L1272" s="110">
        <f>H1272-206619</f>
        <v>28381</v>
      </c>
      <c r="M1272" s="110">
        <v>17500</v>
      </c>
      <c r="N1272" s="112">
        <f t="shared" si="139"/>
        <v>7.4468085106382975E-2</v>
      </c>
      <c r="O1272" s="113">
        <v>0</v>
      </c>
      <c r="P1272" s="114">
        <v>0</v>
      </c>
      <c r="Q1272" s="115">
        <v>0</v>
      </c>
      <c r="R1272" s="115">
        <v>0</v>
      </c>
      <c r="S1272" s="110" t="e">
        <f t="shared" si="140"/>
        <v>#DIV/0!</v>
      </c>
      <c r="T1272" s="110" t="e">
        <f t="shared" si="141"/>
        <v>#DIV/0!</v>
      </c>
      <c r="U1272" s="116" t="e">
        <f t="shared" si="142"/>
        <v>#DIV/0!</v>
      </c>
      <c r="V1272" s="115">
        <v>0</v>
      </c>
      <c r="W1272" s="115">
        <f t="shared" si="143"/>
        <v>47000</v>
      </c>
      <c r="X1272" s="115"/>
      <c r="Y1272" s="117" t="s">
        <v>1733</v>
      </c>
      <c r="Z1272" s="108" t="s">
        <v>35</v>
      </c>
      <c r="AA1272" s="108" t="s">
        <v>35</v>
      </c>
      <c r="AB1272" s="108" t="s">
        <v>1252</v>
      </c>
      <c r="AC1272" s="108">
        <v>0</v>
      </c>
      <c r="AD1272" s="108">
        <v>1</v>
      </c>
      <c r="AE1272" s="108" t="s">
        <v>37</v>
      </c>
      <c r="AF1272" s="108" t="s">
        <v>43</v>
      </c>
      <c r="AG1272" s="108" t="s">
        <v>38</v>
      </c>
      <c r="AH1272" s="108" t="s">
        <v>1734</v>
      </c>
    </row>
    <row r="1273" spans="1:34" x14ac:dyDescent="0.3">
      <c r="A1273" s="107" t="s">
        <v>1252</v>
      </c>
      <c r="B1273" s="108" t="s">
        <v>1752</v>
      </c>
      <c r="C1273" s="108" t="s">
        <v>1753</v>
      </c>
      <c r="D1273" s="109">
        <v>45674</v>
      </c>
      <c r="E1273" s="110">
        <v>235000</v>
      </c>
      <c r="F1273" s="108" t="s">
        <v>32</v>
      </c>
      <c r="G1273" s="108" t="s">
        <v>33</v>
      </c>
      <c r="H1273" s="110">
        <v>235000</v>
      </c>
      <c r="I1273" s="110">
        <v>93200</v>
      </c>
      <c r="J1273" s="111">
        <f t="shared" si="138"/>
        <v>39.659574468085104</v>
      </c>
      <c r="K1273" s="110">
        <v>224939</v>
      </c>
      <c r="L1273" s="110">
        <f>H1273-207439</f>
        <v>27561</v>
      </c>
      <c r="M1273" s="110">
        <v>17500</v>
      </c>
      <c r="N1273" s="112">
        <f t="shared" si="139"/>
        <v>7.4468085106382975E-2</v>
      </c>
      <c r="O1273" s="113">
        <v>0</v>
      </c>
      <c r="P1273" s="114">
        <v>0</v>
      </c>
      <c r="Q1273" s="115">
        <v>0</v>
      </c>
      <c r="R1273" s="115">
        <v>0</v>
      </c>
      <c r="S1273" s="110" t="e">
        <f t="shared" si="140"/>
        <v>#DIV/0!</v>
      </c>
      <c r="T1273" s="110" t="e">
        <f t="shared" si="141"/>
        <v>#DIV/0!</v>
      </c>
      <c r="U1273" s="116" t="e">
        <f t="shared" si="142"/>
        <v>#DIV/0!</v>
      </c>
      <c r="V1273" s="115">
        <v>0</v>
      </c>
      <c r="W1273" s="115">
        <f t="shared" si="143"/>
        <v>47000</v>
      </c>
      <c r="X1273" s="115"/>
      <c r="Y1273" s="117" t="s">
        <v>1733</v>
      </c>
      <c r="Z1273" s="108" t="s">
        <v>35</v>
      </c>
      <c r="AA1273" s="108" t="s">
        <v>35</v>
      </c>
      <c r="AB1273" s="108" t="s">
        <v>1252</v>
      </c>
      <c r="AC1273" s="108">
        <v>0</v>
      </c>
      <c r="AD1273" s="108">
        <v>1</v>
      </c>
      <c r="AE1273" s="108" t="s">
        <v>37</v>
      </c>
      <c r="AF1273" s="108" t="s">
        <v>35</v>
      </c>
      <c r="AG1273" s="108" t="s">
        <v>38</v>
      </c>
      <c r="AH1273" s="108" t="s">
        <v>1734</v>
      </c>
    </row>
    <row r="1274" spans="1:34" x14ac:dyDescent="0.3">
      <c r="A1274" s="118" t="s">
        <v>1252</v>
      </c>
      <c r="B1274" s="119" t="s">
        <v>1750</v>
      </c>
      <c r="C1274" s="119" t="s">
        <v>1751</v>
      </c>
      <c r="D1274" s="120">
        <v>45077</v>
      </c>
      <c r="E1274" s="121">
        <v>230000</v>
      </c>
      <c r="F1274" s="119" t="s">
        <v>32</v>
      </c>
      <c r="G1274" s="119" t="s">
        <v>33</v>
      </c>
      <c r="H1274" s="121">
        <v>230000</v>
      </c>
      <c r="I1274" s="121">
        <v>86900</v>
      </c>
      <c r="J1274" s="122">
        <f t="shared" si="138"/>
        <v>37.782608695652172</v>
      </c>
      <c r="K1274" s="121">
        <v>227301</v>
      </c>
      <c r="L1274" s="121">
        <f>H1274-209801</f>
        <v>20199</v>
      </c>
      <c r="M1274" s="121">
        <v>17500</v>
      </c>
      <c r="N1274" s="123">
        <f t="shared" si="139"/>
        <v>7.6086956521739135E-2</v>
      </c>
      <c r="O1274" s="124">
        <v>0</v>
      </c>
      <c r="P1274" s="125">
        <v>0</v>
      </c>
      <c r="Q1274" s="126">
        <v>0</v>
      </c>
      <c r="R1274" s="126">
        <v>0</v>
      </c>
      <c r="S1274" s="121" t="e">
        <f t="shared" si="140"/>
        <v>#DIV/0!</v>
      </c>
      <c r="T1274" s="121" t="e">
        <f t="shared" si="141"/>
        <v>#DIV/0!</v>
      </c>
      <c r="U1274" s="127" t="e">
        <f t="shared" si="142"/>
        <v>#DIV/0!</v>
      </c>
      <c r="V1274" s="126">
        <v>0</v>
      </c>
      <c r="W1274" s="126">
        <f t="shared" si="143"/>
        <v>46000</v>
      </c>
      <c r="X1274" s="126"/>
      <c r="Y1274" s="128" t="s">
        <v>1733</v>
      </c>
      <c r="Z1274" s="119" t="s">
        <v>35</v>
      </c>
      <c r="AA1274" s="119" t="s">
        <v>35</v>
      </c>
      <c r="AB1274" s="119" t="s">
        <v>1252</v>
      </c>
      <c r="AC1274" s="119">
        <v>0</v>
      </c>
      <c r="AD1274" s="119">
        <v>1</v>
      </c>
      <c r="AE1274" s="119" t="s">
        <v>37</v>
      </c>
      <c r="AF1274" s="119" t="s">
        <v>43</v>
      </c>
      <c r="AG1274" s="119" t="s">
        <v>38</v>
      </c>
      <c r="AH1274" s="119" t="s">
        <v>1734</v>
      </c>
    </row>
    <row r="1275" spans="1:34" x14ac:dyDescent="0.3">
      <c r="A1275" s="118" t="s">
        <v>1252</v>
      </c>
      <c r="B1275" s="119" t="s">
        <v>1729</v>
      </c>
      <c r="C1275" s="119" t="s">
        <v>1730</v>
      </c>
      <c r="D1275" s="120">
        <v>45481</v>
      </c>
      <c r="E1275" s="121">
        <v>130000</v>
      </c>
      <c r="F1275" s="119" t="s">
        <v>81</v>
      </c>
      <c r="G1275" s="119" t="s">
        <v>33</v>
      </c>
      <c r="H1275" s="121">
        <v>130000</v>
      </c>
      <c r="I1275" s="121">
        <v>52400</v>
      </c>
      <c r="J1275" s="122">
        <f t="shared" si="138"/>
        <v>40.307692307692307</v>
      </c>
      <c r="K1275" s="121">
        <v>132221</v>
      </c>
      <c r="L1275" s="121">
        <f>H1275-122221</f>
        <v>7779</v>
      </c>
      <c r="M1275" s="121">
        <v>10000</v>
      </c>
      <c r="N1275" s="123">
        <f t="shared" si="139"/>
        <v>7.6923076923076927E-2</v>
      </c>
      <c r="O1275" s="124">
        <v>0</v>
      </c>
      <c r="P1275" s="125">
        <v>0</v>
      </c>
      <c r="Q1275" s="126">
        <v>0</v>
      </c>
      <c r="R1275" s="126">
        <v>0</v>
      </c>
      <c r="S1275" s="121" t="e">
        <f t="shared" si="140"/>
        <v>#DIV/0!</v>
      </c>
      <c r="T1275" s="121" t="e">
        <f t="shared" si="141"/>
        <v>#DIV/0!</v>
      </c>
      <c r="U1275" s="127" t="e">
        <f t="shared" si="142"/>
        <v>#DIV/0!</v>
      </c>
      <c r="V1275" s="126">
        <v>0</v>
      </c>
      <c r="W1275" s="126">
        <f t="shared" si="143"/>
        <v>26000</v>
      </c>
      <c r="X1275" s="126"/>
      <c r="Y1275" s="128" t="s">
        <v>1717</v>
      </c>
      <c r="Z1275" s="119" t="s">
        <v>35</v>
      </c>
      <c r="AA1275" s="119" t="s">
        <v>35</v>
      </c>
      <c r="AB1275" s="119" t="s">
        <v>1252</v>
      </c>
      <c r="AC1275" s="119">
        <v>0</v>
      </c>
      <c r="AD1275" s="119">
        <v>1</v>
      </c>
      <c r="AE1275" s="119" t="s">
        <v>37</v>
      </c>
      <c r="AF1275" s="119" t="s">
        <v>43</v>
      </c>
      <c r="AG1275" s="119" t="s">
        <v>38</v>
      </c>
      <c r="AH1275" s="119" t="s">
        <v>1718</v>
      </c>
    </row>
    <row r="1276" spans="1:34" x14ac:dyDescent="0.3">
      <c r="A1276" s="118" t="s">
        <v>1252</v>
      </c>
      <c r="B1276" s="119" t="s">
        <v>1731</v>
      </c>
      <c r="C1276" s="119" t="s">
        <v>1732</v>
      </c>
      <c r="D1276" s="120">
        <v>45321</v>
      </c>
      <c r="E1276" s="121">
        <v>225000</v>
      </c>
      <c r="F1276" s="119" t="s">
        <v>32</v>
      </c>
      <c r="G1276" s="119" t="s">
        <v>33</v>
      </c>
      <c r="H1276" s="121">
        <v>225000</v>
      </c>
      <c r="I1276" s="121">
        <v>86200</v>
      </c>
      <c r="J1276" s="122">
        <f t="shared" si="138"/>
        <v>38.31111111111111</v>
      </c>
      <c r="K1276" s="121">
        <v>225071</v>
      </c>
      <c r="L1276" s="121">
        <f>H1276-207571</f>
        <v>17429</v>
      </c>
      <c r="M1276" s="121">
        <v>17500</v>
      </c>
      <c r="N1276" s="123">
        <f t="shared" si="139"/>
        <v>7.7777777777777779E-2</v>
      </c>
      <c r="O1276" s="124">
        <v>0</v>
      </c>
      <c r="P1276" s="125">
        <v>0</v>
      </c>
      <c r="Q1276" s="126">
        <v>0</v>
      </c>
      <c r="R1276" s="126">
        <v>0</v>
      </c>
      <c r="S1276" s="121" t="e">
        <f t="shared" si="140"/>
        <v>#DIV/0!</v>
      </c>
      <c r="T1276" s="121" t="e">
        <f t="shared" si="141"/>
        <v>#DIV/0!</v>
      </c>
      <c r="U1276" s="127" t="e">
        <f t="shared" si="142"/>
        <v>#DIV/0!</v>
      </c>
      <c r="V1276" s="126">
        <v>0</v>
      </c>
      <c r="W1276" s="126">
        <f t="shared" si="143"/>
        <v>45000</v>
      </c>
      <c r="X1276" s="126"/>
      <c r="Y1276" s="128" t="s">
        <v>1733</v>
      </c>
      <c r="Z1276" s="119" t="s">
        <v>35</v>
      </c>
      <c r="AA1276" s="119" t="s">
        <v>35</v>
      </c>
      <c r="AB1276" s="119" t="s">
        <v>1252</v>
      </c>
      <c r="AC1276" s="119">
        <v>0</v>
      </c>
      <c r="AD1276" s="119">
        <v>1</v>
      </c>
      <c r="AE1276" s="119" t="s">
        <v>37</v>
      </c>
      <c r="AF1276" s="119" t="s">
        <v>43</v>
      </c>
      <c r="AG1276" s="119" t="s">
        <v>38</v>
      </c>
      <c r="AH1276" s="119" t="s">
        <v>1734</v>
      </c>
    </row>
    <row r="1277" spans="1:34" x14ac:dyDescent="0.3">
      <c r="A1277" s="118" t="s">
        <v>1252</v>
      </c>
      <c r="B1277" s="119" t="s">
        <v>1249</v>
      </c>
      <c r="C1277" s="119" t="s">
        <v>1250</v>
      </c>
      <c r="D1277" s="120">
        <v>45212</v>
      </c>
      <c r="E1277" s="121">
        <v>231000</v>
      </c>
      <c r="F1277" s="119" t="s">
        <v>32</v>
      </c>
      <c r="G1277" s="119" t="s">
        <v>33</v>
      </c>
      <c r="H1277" s="121">
        <v>231000</v>
      </c>
      <c r="I1277" s="121">
        <v>92900</v>
      </c>
      <c r="J1277" s="122">
        <f t="shared" si="138"/>
        <v>40.21645021645022</v>
      </c>
      <c r="K1277" s="121">
        <v>247831</v>
      </c>
      <c r="L1277" s="121">
        <f>H1277-227831</f>
        <v>3169</v>
      </c>
      <c r="M1277" s="121">
        <v>20000</v>
      </c>
      <c r="N1277" s="123">
        <f t="shared" si="139"/>
        <v>8.6580086580086577E-2</v>
      </c>
      <c r="O1277" s="124">
        <v>0</v>
      </c>
      <c r="P1277" s="125">
        <v>0</v>
      </c>
      <c r="Q1277" s="126">
        <v>0</v>
      </c>
      <c r="R1277" s="126">
        <v>0</v>
      </c>
      <c r="S1277" s="121" t="e">
        <f t="shared" si="140"/>
        <v>#DIV/0!</v>
      </c>
      <c r="T1277" s="121" t="e">
        <f t="shared" si="141"/>
        <v>#DIV/0!</v>
      </c>
      <c r="U1277" s="127" t="e">
        <f t="shared" si="142"/>
        <v>#DIV/0!</v>
      </c>
      <c r="V1277" s="126">
        <v>0</v>
      </c>
      <c r="W1277" s="126">
        <f t="shared" si="143"/>
        <v>46200</v>
      </c>
      <c r="X1277" s="126"/>
      <c r="Y1277" s="128" t="s">
        <v>1251</v>
      </c>
      <c r="Z1277" s="119" t="s">
        <v>35</v>
      </c>
      <c r="AA1277" s="119" t="s">
        <v>35</v>
      </c>
      <c r="AB1277" s="119" t="s">
        <v>1252</v>
      </c>
      <c r="AC1277" s="119">
        <v>0</v>
      </c>
      <c r="AD1277" s="119">
        <v>1</v>
      </c>
      <c r="AE1277" s="119" t="s">
        <v>37</v>
      </c>
      <c r="AF1277" s="119" t="s">
        <v>43</v>
      </c>
      <c r="AG1277" s="119" t="s">
        <v>38</v>
      </c>
      <c r="AH1277" s="119" t="s">
        <v>1253</v>
      </c>
    </row>
    <row r="1278" spans="1:34" x14ac:dyDescent="0.3">
      <c r="A1278" s="107" t="s">
        <v>1252</v>
      </c>
      <c r="B1278" s="108" t="s">
        <v>1746</v>
      </c>
      <c r="C1278" s="108" t="s">
        <v>1747</v>
      </c>
      <c r="D1278" s="109">
        <v>45174</v>
      </c>
      <c r="E1278" s="110">
        <v>200000</v>
      </c>
      <c r="F1278" s="108" t="s">
        <v>32</v>
      </c>
      <c r="G1278" s="108" t="s">
        <v>33</v>
      </c>
      <c r="H1278" s="110">
        <v>200000</v>
      </c>
      <c r="I1278" s="110">
        <v>88500</v>
      </c>
      <c r="J1278" s="111">
        <f t="shared" si="138"/>
        <v>44.25</v>
      </c>
      <c r="K1278" s="110">
        <v>231800</v>
      </c>
      <c r="L1278" s="110">
        <f>H1278-214300</f>
        <v>-14300</v>
      </c>
      <c r="M1278" s="110">
        <v>17500</v>
      </c>
      <c r="N1278" s="112">
        <f t="shared" si="139"/>
        <v>8.7499999999999994E-2</v>
      </c>
      <c r="O1278" s="113">
        <v>0</v>
      </c>
      <c r="P1278" s="114">
        <v>0</v>
      </c>
      <c r="Q1278" s="115">
        <v>0</v>
      </c>
      <c r="R1278" s="115">
        <v>0</v>
      </c>
      <c r="S1278" s="110" t="e">
        <f t="shared" si="140"/>
        <v>#DIV/0!</v>
      </c>
      <c r="T1278" s="110" t="e">
        <f t="shared" si="141"/>
        <v>#DIV/0!</v>
      </c>
      <c r="U1278" s="116" t="e">
        <f t="shared" si="142"/>
        <v>#DIV/0!</v>
      </c>
      <c r="V1278" s="115">
        <v>0</v>
      </c>
      <c r="W1278" s="115">
        <f t="shared" si="143"/>
        <v>40000</v>
      </c>
      <c r="X1278" s="115"/>
      <c r="Y1278" s="117" t="s">
        <v>1733</v>
      </c>
      <c r="Z1278" s="108" t="s">
        <v>35</v>
      </c>
      <c r="AA1278" s="108" t="s">
        <v>35</v>
      </c>
      <c r="AB1278" s="108" t="s">
        <v>1252</v>
      </c>
      <c r="AC1278" s="108">
        <v>0</v>
      </c>
      <c r="AD1278" s="108">
        <v>1</v>
      </c>
      <c r="AE1278" s="108" t="s">
        <v>37</v>
      </c>
      <c r="AF1278" s="108" t="s">
        <v>43</v>
      </c>
      <c r="AG1278" s="108" t="s">
        <v>38</v>
      </c>
      <c r="AH1278" s="108" t="s">
        <v>1734</v>
      </c>
    </row>
    <row r="1279" spans="1:34" x14ac:dyDescent="0.3">
      <c r="A1279" s="118" t="s">
        <v>1252</v>
      </c>
      <c r="B1279" s="119" t="s">
        <v>1742</v>
      </c>
      <c r="C1279" s="119" t="s">
        <v>1743</v>
      </c>
      <c r="D1279" s="120">
        <v>45093</v>
      </c>
      <c r="E1279" s="121">
        <v>196000</v>
      </c>
      <c r="F1279" s="119" t="s">
        <v>32</v>
      </c>
      <c r="G1279" s="119" t="s">
        <v>33</v>
      </c>
      <c r="H1279" s="121">
        <v>196000</v>
      </c>
      <c r="I1279" s="121">
        <v>83100</v>
      </c>
      <c r="J1279" s="122">
        <f t="shared" si="138"/>
        <v>42.397959183673464</v>
      </c>
      <c r="K1279" s="121">
        <v>217478</v>
      </c>
      <c r="L1279" s="121">
        <f>H1279-199978</f>
        <v>-3978</v>
      </c>
      <c r="M1279" s="121">
        <v>17500</v>
      </c>
      <c r="N1279" s="123">
        <f t="shared" si="139"/>
        <v>8.9285714285714288E-2</v>
      </c>
      <c r="O1279" s="124">
        <v>0</v>
      </c>
      <c r="P1279" s="125">
        <v>0</v>
      </c>
      <c r="Q1279" s="126">
        <v>0</v>
      </c>
      <c r="R1279" s="126">
        <v>0</v>
      </c>
      <c r="S1279" s="121" t="e">
        <f t="shared" si="140"/>
        <v>#DIV/0!</v>
      </c>
      <c r="T1279" s="121" t="e">
        <f t="shared" si="141"/>
        <v>#DIV/0!</v>
      </c>
      <c r="U1279" s="127" t="e">
        <f t="shared" si="142"/>
        <v>#DIV/0!</v>
      </c>
      <c r="V1279" s="126">
        <v>0</v>
      </c>
      <c r="W1279" s="126">
        <f t="shared" si="143"/>
        <v>39200</v>
      </c>
      <c r="X1279" s="126"/>
      <c r="Y1279" s="128" t="s">
        <v>1733</v>
      </c>
      <c r="Z1279" s="119" t="s">
        <v>35</v>
      </c>
      <c r="AA1279" s="119" t="s">
        <v>35</v>
      </c>
      <c r="AB1279" s="119" t="s">
        <v>1252</v>
      </c>
      <c r="AC1279" s="119">
        <v>0</v>
      </c>
      <c r="AD1279" s="119">
        <v>1</v>
      </c>
      <c r="AE1279" s="119" t="s">
        <v>37</v>
      </c>
      <c r="AF1279" s="119" t="s">
        <v>43</v>
      </c>
      <c r="AG1279" s="119" t="s">
        <v>38</v>
      </c>
      <c r="AH1279" s="119" t="s">
        <v>1734</v>
      </c>
    </row>
    <row r="1280" spans="1:34" x14ac:dyDescent="0.3">
      <c r="A1280" s="118" t="s">
        <v>1252</v>
      </c>
      <c r="B1280" s="119" t="s">
        <v>1748</v>
      </c>
      <c r="C1280" s="119" t="s">
        <v>1749</v>
      </c>
      <c r="D1280" s="120">
        <v>45265</v>
      </c>
      <c r="E1280" s="121">
        <v>184267</v>
      </c>
      <c r="F1280" s="119" t="s">
        <v>32</v>
      </c>
      <c r="G1280" s="119" t="s">
        <v>33</v>
      </c>
      <c r="H1280" s="121">
        <v>184267</v>
      </c>
      <c r="I1280" s="121">
        <v>84000</v>
      </c>
      <c r="J1280" s="122">
        <f t="shared" si="138"/>
        <v>45.586024627307111</v>
      </c>
      <c r="K1280" s="121">
        <v>220019</v>
      </c>
      <c r="L1280" s="121">
        <f>H1280-202519</f>
        <v>-18252</v>
      </c>
      <c r="M1280" s="121">
        <v>17500</v>
      </c>
      <c r="N1280" s="123">
        <f t="shared" si="139"/>
        <v>9.4970884640223158E-2</v>
      </c>
      <c r="O1280" s="124">
        <v>0</v>
      </c>
      <c r="P1280" s="125">
        <v>0</v>
      </c>
      <c r="Q1280" s="126">
        <v>0</v>
      </c>
      <c r="R1280" s="126">
        <v>0</v>
      </c>
      <c r="S1280" s="121" t="e">
        <f t="shared" si="140"/>
        <v>#DIV/0!</v>
      </c>
      <c r="T1280" s="121" t="e">
        <f t="shared" si="141"/>
        <v>#DIV/0!</v>
      </c>
      <c r="U1280" s="127" t="e">
        <f t="shared" si="142"/>
        <v>#DIV/0!</v>
      </c>
      <c r="V1280" s="126">
        <v>0</v>
      </c>
      <c r="W1280" s="126">
        <f t="shared" si="143"/>
        <v>36853.4</v>
      </c>
      <c r="X1280" s="126"/>
      <c r="Y1280" s="128" t="s">
        <v>1733</v>
      </c>
      <c r="Z1280" s="119" t="s">
        <v>35</v>
      </c>
      <c r="AA1280" s="119" t="s">
        <v>35</v>
      </c>
      <c r="AB1280" s="119" t="s">
        <v>1252</v>
      </c>
      <c r="AC1280" s="119">
        <v>0</v>
      </c>
      <c r="AD1280" s="119">
        <v>1</v>
      </c>
      <c r="AE1280" s="119" t="s">
        <v>37</v>
      </c>
      <c r="AF1280" s="119" t="s">
        <v>43</v>
      </c>
      <c r="AG1280" s="119" t="s">
        <v>38</v>
      </c>
      <c r="AH1280" s="119" t="s">
        <v>1734</v>
      </c>
    </row>
    <row r="1281" spans="1:34" x14ac:dyDescent="0.3">
      <c r="A1281" s="107" t="s">
        <v>2005</v>
      </c>
      <c r="B1281" s="108" t="s">
        <v>2698</v>
      </c>
      <c r="C1281" s="108" t="s">
        <v>2699</v>
      </c>
      <c r="D1281" s="109">
        <v>45744</v>
      </c>
      <c r="E1281" s="110">
        <v>165000</v>
      </c>
      <c r="F1281" s="108" t="s">
        <v>32</v>
      </c>
      <c r="G1281" s="108" t="s">
        <v>33</v>
      </c>
      <c r="H1281" s="110">
        <v>165000</v>
      </c>
      <c r="I1281" s="110">
        <v>53200</v>
      </c>
      <c r="J1281" s="111">
        <f t="shared" si="138"/>
        <v>32.242424242424242</v>
      </c>
      <c r="K1281" s="110">
        <v>126066</v>
      </c>
      <c r="L1281" s="110">
        <f>H1281-116066</f>
        <v>48934</v>
      </c>
      <c r="M1281" s="110">
        <v>10000</v>
      </c>
      <c r="N1281" s="112">
        <f t="shared" si="139"/>
        <v>6.0606060606060608E-2</v>
      </c>
      <c r="O1281" s="113">
        <v>0</v>
      </c>
      <c r="P1281" s="114">
        <v>0</v>
      </c>
      <c r="Q1281" s="115">
        <v>0</v>
      </c>
      <c r="R1281" s="115">
        <v>0</v>
      </c>
      <c r="S1281" s="110" t="e">
        <f t="shared" si="140"/>
        <v>#DIV/0!</v>
      </c>
      <c r="T1281" s="110" t="e">
        <f t="shared" si="141"/>
        <v>#DIV/0!</v>
      </c>
      <c r="U1281" s="116" t="e">
        <f t="shared" si="142"/>
        <v>#DIV/0!</v>
      </c>
      <c r="V1281" s="115">
        <v>0</v>
      </c>
      <c r="W1281" s="115">
        <f t="shared" si="143"/>
        <v>33000</v>
      </c>
      <c r="X1281" s="115"/>
      <c r="Y1281" s="117" t="s">
        <v>2669</v>
      </c>
      <c r="Z1281" s="108" t="s">
        <v>35</v>
      </c>
      <c r="AA1281" s="108" t="s">
        <v>35</v>
      </c>
      <c r="AB1281" s="108" t="s">
        <v>2005</v>
      </c>
      <c r="AC1281" s="108">
        <v>0</v>
      </c>
      <c r="AD1281" s="108">
        <v>1</v>
      </c>
      <c r="AE1281" s="108" t="s">
        <v>37</v>
      </c>
      <c r="AF1281" s="108" t="s">
        <v>35</v>
      </c>
      <c r="AG1281" s="108" t="s">
        <v>38</v>
      </c>
      <c r="AH1281" s="108" t="s">
        <v>2670</v>
      </c>
    </row>
    <row r="1282" spans="1:34" x14ac:dyDescent="0.3">
      <c r="A1282" s="118" t="s">
        <v>2005</v>
      </c>
      <c r="B1282" s="119" t="s">
        <v>2695</v>
      </c>
      <c r="C1282" s="119" t="s">
        <v>2696</v>
      </c>
      <c r="D1282" s="120">
        <v>45491</v>
      </c>
      <c r="E1282" s="121">
        <v>151000</v>
      </c>
      <c r="F1282" s="119" t="s">
        <v>32</v>
      </c>
      <c r="G1282" s="119" t="s">
        <v>33</v>
      </c>
      <c r="H1282" s="121">
        <v>151000</v>
      </c>
      <c r="I1282" s="121">
        <v>54700</v>
      </c>
      <c r="J1282" s="122">
        <f t="shared" ref="J1282:J1328" si="145">I1282/H1282*100</f>
        <v>36.225165562913908</v>
      </c>
      <c r="K1282" s="121">
        <v>129326</v>
      </c>
      <c r="L1282" s="121">
        <f>H1282-119326</f>
        <v>31674</v>
      </c>
      <c r="M1282" s="121">
        <v>10000</v>
      </c>
      <c r="N1282" s="123">
        <f t="shared" ref="N1282:N1328" si="146">M1282/E1282</f>
        <v>6.6225165562913912E-2</v>
      </c>
      <c r="O1282" s="124">
        <v>0</v>
      </c>
      <c r="P1282" s="125">
        <v>0</v>
      </c>
      <c r="Q1282" s="126">
        <v>0</v>
      </c>
      <c r="R1282" s="126">
        <v>0</v>
      </c>
      <c r="S1282" s="121" t="e">
        <f t="shared" ref="S1282:S1328" si="147">L1282/O1282</f>
        <v>#DIV/0!</v>
      </c>
      <c r="T1282" s="121" t="e">
        <f t="shared" ref="T1282:T1328" si="148">L1282/Q1282</f>
        <v>#DIV/0!</v>
      </c>
      <c r="U1282" s="127" t="e">
        <f t="shared" ref="U1282:U1328" si="149">L1282/Q1282/43560</f>
        <v>#DIV/0!</v>
      </c>
      <c r="V1282" s="126">
        <v>0</v>
      </c>
      <c r="W1282" s="126">
        <f t="shared" ref="W1282:W1328" si="150">0.2*E1282</f>
        <v>30200</v>
      </c>
      <c r="X1282" s="126"/>
      <c r="Y1282" s="128" t="s">
        <v>2669</v>
      </c>
      <c r="Z1282" s="119" t="s">
        <v>35</v>
      </c>
      <c r="AA1282" s="119" t="s">
        <v>35</v>
      </c>
      <c r="AB1282" s="119" t="s">
        <v>2005</v>
      </c>
      <c r="AC1282" s="119">
        <v>0</v>
      </c>
      <c r="AD1282" s="119">
        <v>1</v>
      </c>
      <c r="AE1282" s="119" t="s">
        <v>2697</v>
      </c>
      <c r="AF1282" s="119" t="s">
        <v>43</v>
      </c>
      <c r="AG1282" s="119" t="s">
        <v>38</v>
      </c>
      <c r="AH1282" s="119" t="s">
        <v>2670</v>
      </c>
    </row>
    <row r="1283" spans="1:34" x14ac:dyDescent="0.3">
      <c r="A1283" s="107" t="s">
        <v>2005</v>
      </c>
      <c r="B1283" s="108" t="s">
        <v>2689</v>
      </c>
      <c r="C1283" s="108" t="s">
        <v>2690</v>
      </c>
      <c r="D1283" s="109">
        <v>45436</v>
      </c>
      <c r="E1283" s="110">
        <v>145000</v>
      </c>
      <c r="F1283" s="108" t="s">
        <v>32</v>
      </c>
      <c r="G1283" s="108" t="s">
        <v>33</v>
      </c>
      <c r="H1283" s="110">
        <v>145000</v>
      </c>
      <c r="I1283" s="110">
        <v>54800</v>
      </c>
      <c r="J1283" s="111">
        <f t="shared" si="145"/>
        <v>37.793103448275858</v>
      </c>
      <c r="K1283" s="110">
        <v>129512</v>
      </c>
      <c r="L1283" s="110">
        <f>H1283-119512</f>
        <v>25488</v>
      </c>
      <c r="M1283" s="110">
        <v>10000</v>
      </c>
      <c r="N1283" s="112">
        <f t="shared" si="146"/>
        <v>6.8965517241379309E-2</v>
      </c>
      <c r="O1283" s="113">
        <v>0</v>
      </c>
      <c r="P1283" s="114">
        <v>0</v>
      </c>
      <c r="Q1283" s="115">
        <v>0</v>
      </c>
      <c r="R1283" s="115">
        <v>0</v>
      </c>
      <c r="S1283" s="110" t="e">
        <f t="shared" si="147"/>
        <v>#DIV/0!</v>
      </c>
      <c r="T1283" s="110" t="e">
        <f t="shared" si="148"/>
        <v>#DIV/0!</v>
      </c>
      <c r="U1283" s="116" t="e">
        <f t="shared" si="149"/>
        <v>#DIV/0!</v>
      </c>
      <c r="V1283" s="115">
        <v>0</v>
      </c>
      <c r="W1283" s="115">
        <f t="shared" si="150"/>
        <v>29000</v>
      </c>
      <c r="X1283" s="115"/>
      <c r="Y1283" s="117" t="s">
        <v>2669</v>
      </c>
      <c r="Z1283" s="108" t="s">
        <v>35</v>
      </c>
      <c r="AA1283" s="108" t="s">
        <v>35</v>
      </c>
      <c r="AB1283" s="108" t="s">
        <v>2005</v>
      </c>
      <c r="AC1283" s="108">
        <v>0</v>
      </c>
      <c r="AD1283" s="108">
        <v>1</v>
      </c>
      <c r="AE1283" s="108" t="s">
        <v>37</v>
      </c>
      <c r="AF1283" s="108" t="s">
        <v>43</v>
      </c>
      <c r="AG1283" s="108" t="s">
        <v>38</v>
      </c>
      <c r="AH1283" s="108" t="s">
        <v>2670</v>
      </c>
    </row>
    <row r="1284" spans="1:34" x14ac:dyDescent="0.3">
      <c r="A1284" s="107" t="s">
        <v>2005</v>
      </c>
      <c r="B1284" s="108" t="s">
        <v>2677</v>
      </c>
      <c r="C1284" s="108" t="s">
        <v>2678</v>
      </c>
      <c r="D1284" s="109">
        <v>45399</v>
      </c>
      <c r="E1284" s="110">
        <v>140000</v>
      </c>
      <c r="F1284" s="108" t="s">
        <v>32</v>
      </c>
      <c r="G1284" s="108" t="s">
        <v>33</v>
      </c>
      <c r="H1284" s="110">
        <v>140000</v>
      </c>
      <c r="I1284" s="110">
        <v>53400</v>
      </c>
      <c r="J1284" s="111">
        <f t="shared" si="145"/>
        <v>38.142857142857146</v>
      </c>
      <c r="K1284" s="110">
        <v>126252</v>
      </c>
      <c r="L1284" s="110">
        <f>H1284-116252</f>
        <v>23748</v>
      </c>
      <c r="M1284" s="110">
        <v>10000</v>
      </c>
      <c r="N1284" s="112">
        <f t="shared" si="146"/>
        <v>7.1428571428571425E-2</v>
      </c>
      <c r="O1284" s="113">
        <v>0</v>
      </c>
      <c r="P1284" s="114">
        <v>0</v>
      </c>
      <c r="Q1284" s="115">
        <v>0</v>
      </c>
      <c r="R1284" s="115">
        <v>0</v>
      </c>
      <c r="S1284" s="110" t="e">
        <f t="shared" si="147"/>
        <v>#DIV/0!</v>
      </c>
      <c r="T1284" s="110" t="e">
        <f t="shared" si="148"/>
        <v>#DIV/0!</v>
      </c>
      <c r="U1284" s="116" t="e">
        <f t="shared" si="149"/>
        <v>#DIV/0!</v>
      </c>
      <c r="V1284" s="115">
        <v>0</v>
      </c>
      <c r="W1284" s="115">
        <f t="shared" si="150"/>
        <v>28000</v>
      </c>
      <c r="X1284" s="115"/>
      <c r="Y1284" s="117" t="s">
        <v>2669</v>
      </c>
      <c r="Z1284" s="108" t="s">
        <v>35</v>
      </c>
      <c r="AA1284" s="108" t="s">
        <v>35</v>
      </c>
      <c r="AB1284" s="108" t="s">
        <v>2005</v>
      </c>
      <c r="AC1284" s="108">
        <v>0</v>
      </c>
      <c r="AD1284" s="108">
        <v>1</v>
      </c>
      <c r="AE1284" s="108" t="s">
        <v>37</v>
      </c>
      <c r="AF1284" s="108" t="s">
        <v>43</v>
      </c>
      <c r="AG1284" s="108" t="s">
        <v>38</v>
      </c>
      <c r="AH1284" s="108" t="s">
        <v>2670</v>
      </c>
    </row>
    <row r="1285" spans="1:34" x14ac:dyDescent="0.3">
      <c r="A1285" s="118" t="s">
        <v>2005</v>
      </c>
      <c r="B1285" s="119" t="s">
        <v>2687</v>
      </c>
      <c r="C1285" s="119" t="s">
        <v>2688</v>
      </c>
      <c r="D1285" s="120">
        <v>45366</v>
      </c>
      <c r="E1285" s="121">
        <v>139500</v>
      </c>
      <c r="F1285" s="119" t="s">
        <v>32</v>
      </c>
      <c r="G1285" s="119" t="s">
        <v>33</v>
      </c>
      <c r="H1285" s="121">
        <v>139500</v>
      </c>
      <c r="I1285" s="121">
        <v>44100</v>
      </c>
      <c r="J1285" s="122">
        <f t="shared" si="145"/>
        <v>31.612903225806448</v>
      </c>
      <c r="K1285" s="121">
        <v>129512</v>
      </c>
      <c r="L1285" s="121">
        <f>H1285-119512</f>
        <v>19988</v>
      </c>
      <c r="M1285" s="121">
        <v>10000</v>
      </c>
      <c r="N1285" s="123">
        <f t="shared" si="146"/>
        <v>7.1684587813620068E-2</v>
      </c>
      <c r="O1285" s="124">
        <v>0</v>
      </c>
      <c r="P1285" s="125">
        <v>0</v>
      </c>
      <c r="Q1285" s="126">
        <v>0</v>
      </c>
      <c r="R1285" s="126">
        <v>0</v>
      </c>
      <c r="S1285" s="121" t="e">
        <f t="shared" si="147"/>
        <v>#DIV/0!</v>
      </c>
      <c r="T1285" s="121" t="e">
        <f t="shared" si="148"/>
        <v>#DIV/0!</v>
      </c>
      <c r="U1285" s="127" t="e">
        <f t="shared" si="149"/>
        <v>#DIV/0!</v>
      </c>
      <c r="V1285" s="126">
        <v>0</v>
      </c>
      <c r="W1285" s="126">
        <f t="shared" si="150"/>
        <v>27900</v>
      </c>
      <c r="X1285" s="126"/>
      <c r="Y1285" s="128" t="s">
        <v>2669</v>
      </c>
      <c r="Z1285" s="119" t="s">
        <v>35</v>
      </c>
      <c r="AA1285" s="119" t="s">
        <v>35</v>
      </c>
      <c r="AB1285" s="119" t="s">
        <v>2005</v>
      </c>
      <c r="AC1285" s="119">
        <v>0</v>
      </c>
      <c r="AD1285" s="119">
        <v>1</v>
      </c>
      <c r="AE1285" s="119" t="s">
        <v>37</v>
      </c>
      <c r="AF1285" s="119" t="s">
        <v>43</v>
      </c>
      <c r="AG1285" s="119" t="s">
        <v>38</v>
      </c>
      <c r="AH1285" s="119" t="s">
        <v>2670</v>
      </c>
    </row>
    <row r="1286" spans="1:34" x14ac:dyDescent="0.3">
      <c r="A1286" s="118" t="s">
        <v>2005</v>
      </c>
      <c r="B1286" s="119" t="s">
        <v>2673</v>
      </c>
      <c r="C1286" s="119" t="s">
        <v>2674</v>
      </c>
      <c r="D1286" s="120">
        <v>45646</v>
      </c>
      <c r="E1286" s="121">
        <v>138000</v>
      </c>
      <c r="F1286" s="119" t="s">
        <v>32</v>
      </c>
      <c r="G1286" s="119" t="s">
        <v>33</v>
      </c>
      <c r="H1286" s="121">
        <v>138000</v>
      </c>
      <c r="I1286" s="121">
        <v>53400</v>
      </c>
      <c r="J1286" s="122">
        <f t="shared" si="145"/>
        <v>38.695652173913039</v>
      </c>
      <c r="K1286" s="121">
        <v>126252</v>
      </c>
      <c r="L1286" s="121">
        <f>H1286-116252</f>
        <v>21748</v>
      </c>
      <c r="M1286" s="121">
        <v>10000</v>
      </c>
      <c r="N1286" s="123">
        <f t="shared" si="146"/>
        <v>7.2463768115942032E-2</v>
      </c>
      <c r="O1286" s="124">
        <v>0</v>
      </c>
      <c r="P1286" s="125">
        <v>0</v>
      </c>
      <c r="Q1286" s="126">
        <v>0</v>
      </c>
      <c r="R1286" s="126">
        <v>0</v>
      </c>
      <c r="S1286" s="121" t="e">
        <f t="shared" si="147"/>
        <v>#DIV/0!</v>
      </c>
      <c r="T1286" s="121" t="e">
        <f t="shared" si="148"/>
        <v>#DIV/0!</v>
      </c>
      <c r="U1286" s="127" t="e">
        <f t="shared" si="149"/>
        <v>#DIV/0!</v>
      </c>
      <c r="V1286" s="126">
        <v>0</v>
      </c>
      <c r="W1286" s="126">
        <f t="shared" si="150"/>
        <v>27600</v>
      </c>
      <c r="X1286" s="126"/>
      <c r="Y1286" s="128" t="s">
        <v>2669</v>
      </c>
      <c r="Z1286" s="119" t="s">
        <v>35</v>
      </c>
      <c r="AA1286" s="119" t="s">
        <v>35</v>
      </c>
      <c r="AB1286" s="119" t="s">
        <v>2005</v>
      </c>
      <c r="AC1286" s="119">
        <v>0</v>
      </c>
      <c r="AD1286" s="119">
        <v>1</v>
      </c>
      <c r="AE1286" s="119" t="s">
        <v>37</v>
      </c>
      <c r="AF1286" s="119" t="s">
        <v>35</v>
      </c>
      <c r="AG1286" s="119" t="s">
        <v>38</v>
      </c>
      <c r="AH1286" s="119" t="s">
        <v>2670</v>
      </c>
    </row>
    <row r="1287" spans="1:34" x14ac:dyDescent="0.3">
      <c r="A1287" s="107" t="s">
        <v>2005</v>
      </c>
      <c r="B1287" s="108" t="s">
        <v>2675</v>
      </c>
      <c r="C1287" s="108" t="s">
        <v>2676</v>
      </c>
      <c r="D1287" s="109">
        <v>45351</v>
      </c>
      <c r="E1287" s="110">
        <v>135000</v>
      </c>
      <c r="F1287" s="108" t="s">
        <v>32</v>
      </c>
      <c r="G1287" s="108" t="s">
        <v>33</v>
      </c>
      <c r="H1287" s="110">
        <v>135000</v>
      </c>
      <c r="I1287" s="110">
        <v>44100</v>
      </c>
      <c r="J1287" s="111">
        <f t="shared" si="145"/>
        <v>32.666666666666664</v>
      </c>
      <c r="K1287" s="110">
        <v>126252</v>
      </c>
      <c r="L1287" s="110">
        <f>H1287-116252</f>
        <v>18748</v>
      </c>
      <c r="M1287" s="110">
        <v>10000</v>
      </c>
      <c r="N1287" s="112">
        <f t="shared" si="146"/>
        <v>7.407407407407407E-2</v>
      </c>
      <c r="O1287" s="113">
        <v>0</v>
      </c>
      <c r="P1287" s="114">
        <v>0</v>
      </c>
      <c r="Q1287" s="115">
        <v>0</v>
      </c>
      <c r="R1287" s="115">
        <v>0</v>
      </c>
      <c r="S1287" s="110" t="e">
        <f t="shared" si="147"/>
        <v>#DIV/0!</v>
      </c>
      <c r="T1287" s="110" t="e">
        <f t="shared" si="148"/>
        <v>#DIV/0!</v>
      </c>
      <c r="U1287" s="116" t="e">
        <f t="shared" si="149"/>
        <v>#DIV/0!</v>
      </c>
      <c r="V1287" s="115">
        <v>0</v>
      </c>
      <c r="W1287" s="115">
        <f t="shared" si="150"/>
        <v>27000</v>
      </c>
      <c r="X1287" s="115"/>
      <c r="Y1287" s="117" t="s">
        <v>2669</v>
      </c>
      <c r="Z1287" s="108" t="s">
        <v>35</v>
      </c>
      <c r="AA1287" s="108" t="s">
        <v>35</v>
      </c>
      <c r="AB1287" s="108" t="s">
        <v>2005</v>
      </c>
      <c r="AC1287" s="108">
        <v>0</v>
      </c>
      <c r="AD1287" s="108">
        <v>1</v>
      </c>
      <c r="AE1287" s="108" t="s">
        <v>37</v>
      </c>
      <c r="AF1287" s="108" t="s">
        <v>43</v>
      </c>
      <c r="AG1287" s="108" t="s">
        <v>38</v>
      </c>
      <c r="AH1287" s="108" t="s">
        <v>2670</v>
      </c>
    </row>
    <row r="1288" spans="1:34" x14ac:dyDescent="0.3">
      <c r="A1288" s="118" t="s">
        <v>2005</v>
      </c>
      <c r="B1288" s="119" t="s">
        <v>2681</v>
      </c>
      <c r="C1288" s="119" t="s">
        <v>2682</v>
      </c>
      <c r="D1288" s="120">
        <v>45323</v>
      </c>
      <c r="E1288" s="121">
        <v>135000</v>
      </c>
      <c r="F1288" s="119" t="s">
        <v>32</v>
      </c>
      <c r="G1288" s="119" t="s">
        <v>33</v>
      </c>
      <c r="H1288" s="121">
        <v>135000</v>
      </c>
      <c r="I1288" s="121">
        <v>44100</v>
      </c>
      <c r="J1288" s="122">
        <f t="shared" si="145"/>
        <v>32.666666666666664</v>
      </c>
      <c r="K1288" s="121">
        <v>126252</v>
      </c>
      <c r="L1288" s="121">
        <f>H1288-116252</f>
        <v>18748</v>
      </c>
      <c r="M1288" s="121">
        <v>10000</v>
      </c>
      <c r="N1288" s="123">
        <f t="shared" si="146"/>
        <v>7.407407407407407E-2</v>
      </c>
      <c r="O1288" s="124">
        <v>0</v>
      </c>
      <c r="P1288" s="125">
        <v>0</v>
      </c>
      <c r="Q1288" s="126">
        <v>0</v>
      </c>
      <c r="R1288" s="126">
        <v>0</v>
      </c>
      <c r="S1288" s="121" t="e">
        <f t="shared" si="147"/>
        <v>#DIV/0!</v>
      </c>
      <c r="T1288" s="121" t="e">
        <f t="shared" si="148"/>
        <v>#DIV/0!</v>
      </c>
      <c r="U1288" s="127" t="e">
        <f t="shared" si="149"/>
        <v>#DIV/0!</v>
      </c>
      <c r="V1288" s="126">
        <v>0</v>
      </c>
      <c r="W1288" s="126">
        <f t="shared" si="150"/>
        <v>27000</v>
      </c>
      <c r="X1288" s="126"/>
      <c r="Y1288" s="128" t="s">
        <v>2669</v>
      </c>
      <c r="Z1288" s="119" t="s">
        <v>35</v>
      </c>
      <c r="AA1288" s="119" t="s">
        <v>35</v>
      </c>
      <c r="AB1288" s="119" t="s">
        <v>2005</v>
      </c>
      <c r="AC1288" s="119">
        <v>0</v>
      </c>
      <c r="AD1288" s="119">
        <v>1</v>
      </c>
      <c r="AE1288" s="119" t="s">
        <v>37</v>
      </c>
      <c r="AF1288" s="119" t="s">
        <v>43</v>
      </c>
      <c r="AG1288" s="119" t="s">
        <v>38</v>
      </c>
      <c r="AH1288" s="119" t="s">
        <v>2670</v>
      </c>
    </row>
    <row r="1289" spans="1:34" x14ac:dyDescent="0.3">
      <c r="A1289" s="107" t="s">
        <v>2005</v>
      </c>
      <c r="B1289" s="108" t="s">
        <v>2698</v>
      </c>
      <c r="C1289" s="108" t="s">
        <v>2699</v>
      </c>
      <c r="D1289" s="109">
        <v>45051</v>
      </c>
      <c r="E1289" s="110">
        <v>132000</v>
      </c>
      <c r="F1289" s="108" t="s">
        <v>81</v>
      </c>
      <c r="G1289" s="108" t="s">
        <v>33</v>
      </c>
      <c r="H1289" s="110">
        <v>132000</v>
      </c>
      <c r="I1289" s="110">
        <v>44000</v>
      </c>
      <c r="J1289" s="111">
        <f t="shared" si="145"/>
        <v>33.333333333333329</v>
      </c>
      <c r="K1289" s="110">
        <v>126066</v>
      </c>
      <c r="L1289" s="110">
        <f>H1289-116066</f>
        <v>15934</v>
      </c>
      <c r="M1289" s="110">
        <v>10000</v>
      </c>
      <c r="N1289" s="112">
        <f t="shared" si="146"/>
        <v>7.575757575757576E-2</v>
      </c>
      <c r="O1289" s="113">
        <v>0</v>
      </c>
      <c r="P1289" s="114">
        <v>0</v>
      </c>
      <c r="Q1289" s="115">
        <v>0</v>
      </c>
      <c r="R1289" s="115">
        <v>0</v>
      </c>
      <c r="S1289" s="110" t="e">
        <f t="shared" si="147"/>
        <v>#DIV/0!</v>
      </c>
      <c r="T1289" s="110" t="e">
        <f t="shared" si="148"/>
        <v>#DIV/0!</v>
      </c>
      <c r="U1289" s="116" t="e">
        <f t="shared" si="149"/>
        <v>#DIV/0!</v>
      </c>
      <c r="V1289" s="115">
        <v>0</v>
      </c>
      <c r="W1289" s="115">
        <f t="shared" si="150"/>
        <v>26400</v>
      </c>
      <c r="X1289" s="115"/>
      <c r="Y1289" s="117" t="s">
        <v>2669</v>
      </c>
      <c r="Z1289" s="108" t="s">
        <v>35</v>
      </c>
      <c r="AA1289" s="108" t="s">
        <v>35</v>
      </c>
      <c r="AB1289" s="108" t="s">
        <v>2005</v>
      </c>
      <c r="AC1289" s="108">
        <v>0</v>
      </c>
      <c r="AD1289" s="108">
        <v>1</v>
      </c>
      <c r="AE1289" s="108" t="s">
        <v>37</v>
      </c>
      <c r="AF1289" s="108" t="s">
        <v>43</v>
      </c>
      <c r="AG1289" s="108" t="s">
        <v>38</v>
      </c>
      <c r="AH1289" s="108" t="s">
        <v>2670</v>
      </c>
    </row>
    <row r="1290" spans="1:34" x14ac:dyDescent="0.3">
      <c r="A1290" s="118" t="s">
        <v>2005</v>
      </c>
      <c r="B1290" s="119" t="s">
        <v>2685</v>
      </c>
      <c r="C1290" s="119" t="s">
        <v>2686</v>
      </c>
      <c r="D1290" s="120">
        <v>45394</v>
      </c>
      <c r="E1290" s="121">
        <v>125000</v>
      </c>
      <c r="F1290" s="119" t="s">
        <v>32</v>
      </c>
      <c r="G1290" s="119" t="s">
        <v>33</v>
      </c>
      <c r="H1290" s="121">
        <v>125000</v>
      </c>
      <c r="I1290" s="121">
        <v>40700</v>
      </c>
      <c r="J1290" s="122">
        <f t="shared" si="145"/>
        <v>32.56</v>
      </c>
      <c r="K1290" s="121">
        <v>95123</v>
      </c>
      <c r="L1290" s="121">
        <f>H1290-85123</f>
        <v>39877</v>
      </c>
      <c r="M1290" s="121">
        <v>10000</v>
      </c>
      <c r="N1290" s="123">
        <f t="shared" si="146"/>
        <v>0.08</v>
      </c>
      <c r="O1290" s="124">
        <v>0</v>
      </c>
      <c r="P1290" s="125">
        <v>0</v>
      </c>
      <c r="Q1290" s="126">
        <v>0</v>
      </c>
      <c r="R1290" s="126">
        <v>0</v>
      </c>
      <c r="S1290" s="121" t="e">
        <f t="shared" si="147"/>
        <v>#DIV/0!</v>
      </c>
      <c r="T1290" s="121" t="e">
        <f t="shared" si="148"/>
        <v>#DIV/0!</v>
      </c>
      <c r="U1290" s="127" t="e">
        <f t="shared" si="149"/>
        <v>#DIV/0!</v>
      </c>
      <c r="V1290" s="126">
        <v>0</v>
      </c>
      <c r="W1290" s="126">
        <f t="shared" si="150"/>
        <v>25000</v>
      </c>
      <c r="X1290" s="126"/>
      <c r="Y1290" s="128" t="s">
        <v>2669</v>
      </c>
      <c r="Z1290" s="119" t="s">
        <v>35</v>
      </c>
      <c r="AA1290" s="119" t="s">
        <v>35</v>
      </c>
      <c r="AB1290" s="119" t="s">
        <v>2005</v>
      </c>
      <c r="AC1290" s="119">
        <v>0</v>
      </c>
      <c r="AD1290" s="119">
        <v>1</v>
      </c>
      <c r="AE1290" s="119" t="s">
        <v>37</v>
      </c>
      <c r="AF1290" s="119" t="s">
        <v>43</v>
      </c>
      <c r="AG1290" s="119" t="s">
        <v>38</v>
      </c>
      <c r="AH1290" s="119" t="s">
        <v>2670</v>
      </c>
    </row>
    <row r="1291" spans="1:34" x14ac:dyDescent="0.3">
      <c r="A1291" s="107" t="s">
        <v>2005</v>
      </c>
      <c r="B1291" s="108" t="s">
        <v>2683</v>
      </c>
      <c r="C1291" s="108" t="s">
        <v>2684</v>
      </c>
      <c r="D1291" s="109">
        <v>45611</v>
      </c>
      <c r="E1291" s="110">
        <v>124555</v>
      </c>
      <c r="F1291" s="108" t="s">
        <v>81</v>
      </c>
      <c r="G1291" s="108" t="s">
        <v>33</v>
      </c>
      <c r="H1291" s="110">
        <v>124555</v>
      </c>
      <c r="I1291" s="110">
        <v>40200</v>
      </c>
      <c r="J1291" s="111">
        <f t="shared" si="145"/>
        <v>32.274898639155388</v>
      </c>
      <c r="K1291" s="110">
        <v>93925</v>
      </c>
      <c r="L1291" s="110">
        <f>H1291-83925</f>
        <v>40630</v>
      </c>
      <c r="M1291" s="110">
        <v>10000</v>
      </c>
      <c r="N1291" s="112">
        <f t="shared" si="146"/>
        <v>8.0285817510336796E-2</v>
      </c>
      <c r="O1291" s="113">
        <v>0</v>
      </c>
      <c r="P1291" s="114">
        <v>0</v>
      </c>
      <c r="Q1291" s="115">
        <v>0</v>
      </c>
      <c r="R1291" s="115">
        <v>0</v>
      </c>
      <c r="S1291" s="110" t="e">
        <f t="shared" si="147"/>
        <v>#DIV/0!</v>
      </c>
      <c r="T1291" s="110" t="e">
        <f t="shared" si="148"/>
        <v>#DIV/0!</v>
      </c>
      <c r="U1291" s="116" t="e">
        <f t="shared" si="149"/>
        <v>#DIV/0!</v>
      </c>
      <c r="V1291" s="115">
        <v>0</v>
      </c>
      <c r="W1291" s="115">
        <f t="shared" si="150"/>
        <v>24911</v>
      </c>
      <c r="X1291" s="115"/>
      <c r="Y1291" s="117" t="s">
        <v>2669</v>
      </c>
      <c r="Z1291" s="108" t="s">
        <v>35</v>
      </c>
      <c r="AA1291" s="108" t="s">
        <v>35</v>
      </c>
      <c r="AB1291" s="108" t="s">
        <v>2005</v>
      </c>
      <c r="AC1291" s="108">
        <v>0</v>
      </c>
      <c r="AD1291" s="108">
        <v>1</v>
      </c>
      <c r="AE1291" s="108" t="s">
        <v>37</v>
      </c>
      <c r="AF1291" s="108" t="s">
        <v>35</v>
      </c>
      <c r="AG1291" s="108" t="s">
        <v>38</v>
      </c>
      <c r="AH1291" s="108" t="s">
        <v>2670</v>
      </c>
    </row>
    <row r="1292" spans="1:34" x14ac:dyDescent="0.3">
      <c r="A1292" s="118" t="s">
        <v>2005</v>
      </c>
      <c r="B1292" s="119" t="s">
        <v>2426</v>
      </c>
      <c r="C1292" s="119" t="s">
        <v>2427</v>
      </c>
      <c r="D1292" s="120">
        <v>45744</v>
      </c>
      <c r="E1292" s="121">
        <v>248750</v>
      </c>
      <c r="F1292" s="119" t="s">
        <v>32</v>
      </c>
      <c r="G1292" s="119" t="s">
        <v>33</v>
      </c>
      <c r="H1292" s="121">
        <v>248750</v>
      </c>
      <c r="I1292" s="121">
        <v>100600</v>
      </c>
      <c r="J1292" s="122">
        <f t="shared" si="145"/>
        <v>40.442211055276381</v>
      </c>
      <c r="K1292" s="121">
        <v>228363</v>
      </c>
      <c r="L1292" s="121">
        <f>H1292-208363</f>
        <v>40387</v>
      </c>
      <c r="M1292" s="121">
        <v>20000</v>
      </c>
      <c r="N1292" s="123">
        <f t="shared" si="146"/>
        <v>8.0402010050251257E-2</v>
      </c>
      <c r="O1292" s="124">
        <v>0</v>
      </c>
      <c r="P1292" s="125">
        <v>0</v>
      </c>
      <c r="Q1292" s="126">
        <v>0</v>
      </c>
      <c r="R1292" s="126">
        <v>0</v>
      </c>
      <c r="S1292" s="121" t="e">
        <f t="shared" si="147"/>
        <v>#DIV/0!</v>
      </c>
      <c r="T1292" s="121" t="e">
        <f t="shared" si="148"/>
        <v>#DIV/0!</v>
      </c>
      <c r="U1292" s="127" t="e">
        <f t="shared" si="149"/>
        <v>#DIV/0!</v>
      </c>
      <c r="V1292" s="126">
        <v>0</v>
      </c>
      <c r="W1292" s="126">
        <f t="shared" si="150"/>
        <v>49750</v>
      </c>
      <c r="X1292" s="126"/>
      <c r="Y1292" s="128" t="s">
        <v>2428</v>
      </c>
      <c r="Z1292" s="119" t="s">
        <v>35</v>
      </c>
      <c r="AA1292" s="119" t="s">
        <v>35</v>
      </c>
      <c r="AB1292" s="119" t="s">
        <v>2005</v>
      </c>
      <c r="AC1292" s="119">
        <v>0</v>
      </c>
      <c r="AD1292" s="119">
        <v>1</v>
      </c>
      <c r="AE1292" s="119" t="s">
        <v>37</v>
      </c>
      <c r="AF1292" s="119" t="s">
        <v>35</v>
      </c>
      <c r="AG1292" s="119" t="s">
        <v>38</v>
      </c>
      <c r="AH1292" s="119" t="s">
        <v>2429</v>
      </c>
    </row>
    <row r="1293" spans="1:34" x14ac:dyDescent="0.3">
      <c r="A1293" s="118" t="s">
        <v>2005</v>
      </c>
      <c r="B1293" s="119" t="s">
        <v>2430</v>
      </c>
      <c r="C1293" s="119" t="s">
        <v>2431</v>
      </c>
      <c r="D1293" s="120">
        <v>45457</v>
      </c>
      <c r="E1293" s="121">
        <v>245000</v>
      </c>
      <c r="F1293" s="119" t="s">
        <v>32</v>
      </c>
      <c r="G1293" s="119" t="s">
        <v>33</v>
      </c>
      <c r="H1293" s="121">
        <v>245000</v>
      </c>
      <c r="I1293" s="121">
        <v>103800</v>
      </c>
      <c r="J1293" s="122">
        <f t="shared" si="145"/>
        <v>42.367346938775505</v>
      </c>
      <c r="K1293" s="121">
        <v>235944</v>
      </c>
      <c r="L1293" s="121">
        <f>H1293-215944</f>
        <v>29056</v>
      </c>
      <c r="M1293" s="121">
        <v>20000</v>
      </c>
      <c r="N1293" s="123">
        <f t="shared" si="146"/>
        <v>8.1632653061224483E-2</v>
      </c>
      <c r="O1293" s="124">
        <v>0</v>
      </c>
      <c r="P1293" s="125">
        <v>0</v>
      </c>
      <c r="Q1293" s="126">
        <v>0</v>
      </c>
      <c r="R1293" s="126">
        <v>0</v>
      </c>
      <c r="S1293" s="121" t="e">
        <f t="shared" si="147"/>
        <v>#DIV/0!</v>
      </c>
      <c r="T1293" s="121" t="e">
        <f t="shared" si="148"/>
        <v>#DIV/0!</v>
      </c>
      <c r="U1293" s="127" t="e">
        <f t="shared" si="149"/>
        <v>#DIV/0!</v>
      </c>
      <c r="V1293" s="126">
        <v>0</v>
      </c>
      <c r="W1293" s="126">
        <f t="shared" si="150"/>
        <v>49000</v>
      </c>
      <c r="X1293" s="126"/>
      <c r="Y1293" s="128" t="s">
        <v>2428</v>
      </c>
      <c r="Z1293" s="119" t="s">
        <v>35</v>
      </c>
      <c r="AA1293" s="119" t="s">
        <v>35</v>
      </c>
      <c r="AB1293" s="119" t="s">
        <v>2005</v>
      </c>
      <c r="AC1293" s="119">
        <v>0</v>
      </c>
      <c r="AD1293" s="119">
        <v>1</v>
      </c>
      <c r="AE1293" s="119" t="s">
        <v>37</v>
      </c>
      <c r="AF1293" s="119" t="s">
        <v>43</v>
      </c>
      <c r="AG1293" s="119" t="s">
        <v>38</v>
      </c>
      <c r="AH1293" s="119" t="s">
        <v>2429</v>
      </c>
    </row>
    <row r="1294" spans="1:34" x14ac:dyDescent="0.3">
      <c r="A1294" s="118" t="s">
        <v>2005</v>
      </c>
      <c r="B1294" s="119" t="s">
        <v>2002</v>
      </c>
      <c r="C1294" s="119" t="s">
        <v>2003</v>
      </c>
      <c r="D1294" s="120">
        <v>45100</v>
      </c>
      <c r="E1294" s="121">
        <v>235000</v>
      </c>
      <c r="F1294" s="119" t="s">
        <v>32</v>
      </c>
      <c r="G1294" s="119" t="s">
        <v>33</v>
      </c>
      <c r="H1294" s="121">
        <v>235000</v>
      </c>
      <c r="I1294" s="121">
        <v>116700</v>
      </c>
      <c r="J1294" s="122">
        <f t="shared" si="145"/>
        <v>49.659574468085104</v>
      </c>
      <c r="K1294" s="121">
        <v>275713</v>
      </c>
      <c r="L1294" s="121">
        <f>H1294-255713</f>
        <v>-20713</v>
      </c>
      <c r="M1294" s="121">
        <v>20000</v>
      </c>
      <c r="N1294" s="123">
        <f t="shared" si="146"/>
        <v>8.5106382978723402E-2</v>
      </c>
      <c r="O1294" s="124">
        <v>0</v>
      </c>
      <c r="P1294" s="125">
        <v>0</v>
      </c>
      <c r="Q1294" s="126">
        <v>0</v>
      </c>
      <c r="R1294" s="126">
        <v>0</v>
      </c>
      <c r="S1294" s="121" t="e">
        <f t="shared" si="147"/>
        <v>#DIV/0!</v>
      </c>
      <c r="T1294" s="121" t="e">
        <f t="shared" si="148"/>
        <v>#DIV/0!</v>
      </c>
      <c r="U1294" s="127" t="e">
        <f t="shared" si="149"/>
        <v>#DIV/0!</v>
      </c>
      <c r="V1294" s="126">
        <v>0</v>
      </c>
      <c r="W1294" s="126">
        <f t="shared" si="150"/>
        <v>47000</v>
      </c>
      <c r="X1294" s="126"/>
      <c r="Y1294" s="128" t="s">
        <v>2004</v>
      </c>
      <c r="Z1294" s="119" t="s">
        <v>35</v>
      </c>
      <c r="AA1294" s="119" t="s">
        <v>35</v>
      </c>
      <c r="AB1294" s="119" t="s">
        <v>2005</v>
      </c>
      <c r="AC1294" s="119">
        <v>0</v>
      </c>
      <c r="AD1294" s="119">
        <v>1</v>
      </c>
      <c r="AE1294" s="119" t="s">
        <v>2006</v>
      </c>
      <c r="AF1294" s="119" t="s">
        <v>43</v>
      </c>
      <c r="AG1294" s="119" t="s">
        <v>38</v>
      </c>
      <c r="AH1294" s="119" t="s">
        <v>2007</v>
      </c>
    </row>
    <row r="1295" spans="1:34" x14ac:dyDescent="0.3">
      <c r="A1295" s="118" t="s">
        <v>2005</v>
      </c>
      <c r="B1295" s="119" t="s">
        <v>2671</v>
      </c>
      <c r="C1295" s="119" t="s">
        <v>2672</v>
      </c>
      <c r="D1295" s="120">
        <v>45534</v>
      </c>
      <c r="E1295" s="121">
        <v>115000</v>
      </c>
      <c r="F1295" s="119" t="s">
        <v>32</v>
      </c>
      <c r="G1295" s="119" t="s">
        <v>33</v>
      </c>
      <c r="H1295" s="121">
        <v>115000</v>
      </c>
      <c r="I1295" s="121">
        <v>40200</v>
      </c>
      <c r="J1295" s="122">
        <f t="shared" si="145"/>
        <v>34.956521739130437</v>
      </c>
      <c r="K1295" s="121">
        <v>93869</v>
      </c>
      <c r="L1295" s="121">
        <f>H1295-83869</f>
        <v>31131</v>
      </c>
      <c r="M1295" s="121">
        <v>10000</v>
      </c>
      <c r="N1295" s="123">
        <f t="shared" si="146"/>
        <v>8.6956521739130432E-2</v>
      </c>
      <c r="O1295" s="124">
        <v>0</v>
      </c>
      <c r="P1295" s="125">
        <v>0</v>
      </c>
      <c r="Q1295" s="126">
        <v>0</v>
      </c>
      <c r="R1295" s="126">
        <v>0</v>
      </c>
      <c r="S1295" s="121" t="e">
        <f t="shared" si="147"/>
        <v>#DIV/0!</v>
      </c>
      <c r="T1295" s="121" t="e">
        <f t="shared" si="148"/>
        <v>#DIV/0!</v>
      </c>
      <c r="U1295" s="127" t="e">
        <f t="shared" si="149"/>
        <v>#DIV/0!</v>
      </c>
      <c r="V1295" s="126">
        <v>0</v>
      </c>
      <c r="W1295" s="126">
        <f t="shared" si="150"/>
        <v>23000</v>
      </c>
      <c r="X1295" s="126"/>
      <c r="Y1295" s="128" t="s">
        <v>2669</v>
      </c>
      <c r="Z1295" s="119" t="s">
        <v>35</v>
      </c>
      <c r="AA1295" s="119" t="s">
        <v>35</v>
      </c>
      <c r="AB1295" s="119" t="s">
        <v>2005</v>
      </c>
      <c r="AC1295" s="119">
        <v>0</v>
      </c>
      <c r="AD1295" s="119">
        <v>1</v>
      </c>
      <c r="AE1295" s="119" t="s">
        <v>37</v>
      </c>
      <c r="AF1295" s="119" t="s">
        <v>43</v>
      </c>
      <c r="AG1295" s="119" t="s">
        <v>38</v>
      </c>
      <c r="AH1295" s="119" t="s">
        <v>2670</v>
      </c>
    </row>
    <row r="1296" spans="1:34" x14ac:dyDescent="0.3">
      <c r="A1296" s="118" t="s">
        <v>2005</v>
      </c>
      <c r="B1296" s="119" t="s">
        <v>2679</v>
      </c>
      <c r="C1296" s="119" t="s">
        <v>2680</v>
      </c>
      <c r="D1296" s="120">
        <v>45471</v>
      </c>
      <c r="E1296" s="121">
        <v>110000</v>
      </c>
      <c r="F1296" s="119" t="s">
        <v>32</v>
      </c>
      <c r="G1296" s="119" t="s">
        <v>33</v>
      </c>
      <c r="H1296" s="121">
        <v>110000</v>
      </c>
      <c r="I1296" s="121">
        <v>38800</v>
      </c>
      <c r="J1296" s="122">
        <f t="shared" si="145"/>
        <v>35.272727272727273</v>
      </c>
      <c r="K1296" s="121">
        <v>90736</v>
      </c>
      <c r="L1296" s="121">
        <f>H1296-80736</f>
        <v>29264</v>
      </c>
      <c r="M1296" s="121">
        <v>10000</v>
      </c>
      <c r="N1296" s="123">
        <f t="shared" si="146"/>
        <v>9.0909090909090912E-2</v>
      </c>
      <c r="O1296" s="124">
        <v>0</v>
      </c>
      <c r="P1296" s="125">
        <v>0</v>
      </c>
      <c r="Q1296" s="126">
        <v>0</v>
      </c>
      <c r="R1296" s="126">
        <v>0</v>
      </c>
      <c r="S1296" s="121" t="e">
        <f t="shared" si="147"/>
        <v>#DIV/0!</v>
      </c>
      <c r="T1296" s="121" t="e">
        <f t="shared" si="148"/>
        <v>#DIV/0!</v>
      </c>
      <c r="U1296" s="127" t="e">
        <f t="shared" si="149"/>
        <v>#DIV/0!</v>
      </c>
      <c r="V1296" s="126">
        <v>0</v>
      </c>
      <c r="W1296" s="126">
        <f t="shared" si="150"/>
        <v>22000</v>
      </c>
      <c r="X1296" s="126"/>
      <c r="Y1296" s="128" t="s">
        <v>2669</v>
      </c>
      <c r="Z1296" s="119" t="s">
        <v>35</v>
      </c>
      <c r="AA1296" s="119" t="s">
        <v>35</v>
      </c>
      <c r="AB1296" s="119" t="s">
        <v>2005</v>
      </c>
      <c r="AC1296" s="119">
        <v>0</v>
      </c>
      <c r="AD1296" s="119">
        <v>1</v>
      </c>
      <c r="AE1296" s="119" t="s">
        <v>37</v>
      </c>
      <c r="AF1296" s="119" t="s">
        <v>43</v>
      </c>
      <c r="AG1296" s="119" t="s">
        <v>38</v>
      </c>
      <c r="AH1296" s="119" t="s">
        <v>2670</v>
      </c>
    </row>
    <row r="1297" spans="1:34" x14ac:dyDescent="0.3">
      <c r="A1297" s="107" t="s">
        <v>2005</v>
      </c>
      <c r="B1297" s="108" t="s">
        <v>2358</v>
      </c>
      <c r="C1297" s="108" t="s">
        <v>2359</v>
      </c>
      <c r="D1297" s="109">
        <v>45308</v>
      </c>
      <c r="E1297" s="110">
        <v>218000</v>
      </c>
      <c r="F1297" s="108" t="s">
        <v>32</v>
      </c>
      <c r="G1297" s="108" t="s">
        <v>33</v>
      </c>
      <c r="H1297" s="110">
        <v>218000</v>
      </c>
      <c r="I1297" s="110">
        <v>57400</v>
      </c>
      <c r="J1297" s="111">
        <f t="shared" si="145"/>
        <v>26.330275229357795</v>
      </c>
      <c r="K1297" s="110">
        <v>150432</v>
      </c>
      <c r="L1297" s="110">
        <f>H1297-130432</f>
        <v>87568</v>
      </c>
      <c r="M1297" s="110">
        <v>20000</v>
      </c>
      <c r="N1297" s="112">
        <f t="shared" si="146"/>
        <v>9.1743119266055051E-2</v>
      </c>
      <c r="O1297" s="113">
        <v>0</v>
      </c>
      <c r="P1297" s="114">
        <v>0</v>
      </c>
      <c r="Q1297" s="115">
        <v>0</v>
      </c>
      <c r="R1297" s="115">
        <v>0</v>
      </c>
      <c r="S1297" s="110" t="e">
        <f t="shared" si="147"/>
        <v>#DIV/0!</v>
      </c>
      <c r="T1297" s="110" t="e">
        <f t="shared" si="148"/>
        <v>#DIV/0!</v>
      </c>
      <c r="U1297" s="116" t="e">
        <f t="shared" si="149"/>
        <v>#DIV/0!</v>
      </c>
      <c r="V1297" s="115">
        <v>0</v>
      </c>
      <c r="W1297" s="115">
        <f t="shared" si="150"/>
        <v>43600</v>
      </c>
      <c r="X1297" s="115"/>
      <c r="Y1297" s="117" t="s">
        <v>2360</v>
      </c>
      <c r="Z1297" s="108" t="s">
        <v>35</v>
      </c>
      <c r="AA1297" s="108" t="s">
        <v>35</v>
      </c>
      <c r="AB1297" s="108" t="s">
        <v>2005</v>
      </c>
      <c r="AC1297" s="108">
        <v>0</v>
      </c>
      <c r="AD1297" s="108">
        <v>1</v>
      </c>
      <c r="AE1297" s="108" t="s">
        <v>37</v>
      </c>
      <c r="AF1297" s="108" t="s">
        <v>43</v>
      </c>
      <c r="AG1297" s="108" t="s">
        <v>38</v>
      </c>
      <c r="AH1297" s="108" t="s">
        <v>2361</v>
      </c>
    </row>
    <row r="1298" spans="1:34" x14ac:dyDescent="0.3">
      <c r="A1298" s="107" t="s">
        <v>2005</v>
      </c>
      <c r="B1298" s="108" t="s">
        <v>2685</v>
      </c>
      <c r="C1298" s="108" t="s">
        <v>2686</v>
      </c>
      <c r="D1298" s="109">
        <v>45114</v>
      </c>
      <c r="E1298" s="110">
        <v>105000</v>
      </c>
      <c r="F1298" s="108" t="s">
        <v>32</v>
      </c>
      <c r="G1298" s="108" t="s">
        <v>33</v>
      </c>
      <c r="H1298" s="110">
        <v>105000</v>
      </c>
      <c r="I1298" s="110">
        <v>33900</v>
      </c>
      <c r="J1298" s="111">
        <f t="shared" si="145"/>
        <v>32.285714285714285</v>
      </c>
      <c r="K1298" s="110">
        <v>95123</v>
      </c>
      <c r="L1298" s="110">
        <f>H1298-85123</f>
        <v>19877</v>
      </c>
      <c r="M1298" s="110">
        <v>10000</v>
      </c>
      <c r="N1298" s="112">
        <f t="shared" si="146"/>
        <v>9.5238095238095233E-2</v>
      </c>
      <c r="O1298" s="113">
        <v>0</v>
      </c>
      <c r="P1298" s="114">
        <v>0</v>
      </c>
      <c r="Q1298" s="115">
        <v>0</v>
      </c>
      <c r="R1298" s="115">
        <v>0</v>
      </c>
      <c r="S1298" s="110" t="e">
        <f t="shared" si="147"/>
        <v>#DIV/0!</v>
      </c>
      <c r="T1298" s="110" t="e">
        <f t="shared" si="148"/>
        <v>#DIV/0!</v>
      </c>
      <c r="U1298" s="116" t="e">
        <f t="shared" si="149"/>
        <v>#DIV/0!</v>
      </c>
      <c r="V1298" s="115">
        <v>0</v>
      </c>
      <c r="W1298" s="115">
        <f t="shared" si="150"/>
        <v>21000</v>
      </c>
      <c r="X1298" s="115"/>
      <c r="Y1298" s="117" t="s">
        <v>2669</v>
      </c>
      <c r="Z1298" s="108" t="s">
        <v>35</v>
      </c>
      <c r="AA1298" s="108" t="s">
        <v>35</v>
      </c>
      <c r="AB1298" s="108" t="s">
        <v>2005</v>
      </c>
      <c r="AC1298" s="108">
        <v>0</v>
      </c>
      <c r="AD1298" s="108">
        <v>1</v>
      </c>
      <c r="AE1298" s="108" t="s">
        <v>37</v>
      </c>
      <c r="AF1298" s="108" t="s">
        <v>43</v>
      </c>
      <c r="AG1298" s="108" t="s">
        <v>38</v>
      </c>
      <c r="AH1298" s="108" t="s">
        <v>2670</v>
      </c>
    </row>
    <row r="1299" spans="1:34" x14ac:dyDescent="0.3">
      <c r="A1299" s="107" t="s">
        <v>2005</v>
      </c>
      <c r="B1299" s="108" t="s">
        <v>2691</v>
      </c>
      <c r="C1299" s="108" t="s">
        <v>2692</v>
      </c>
      <c r="D1299" s="109">
        <v>45363</v>
      </c>
      <c r="E1299" s="110">
        <v>105000</v>
      </c>
      <c r="F1299" s="108" t="s">
        <v>32</v>
      </c>
      <c r="G1299" s="108" t="s">
        <v>33</v>
      </c>
      <c r="H1299" s="110">
        <v>105000</v>
      </c>
      <c r="I1299" s="110">
        <v>32300</v>
      </c>
      <c r="J1299" s="111">
        <f t="shared" si="145"/>
        <v>30.761904761904763</v>
      </c>
      <c r="K1299" s="110">
        <v>90736</v>
      </c>
      <c r="L1299" s="110">
        <f>H1299-80736</f>
        <v>24264</v>
      </c>
      <c r="M1299" s="110">
        <v>10000</v>
      </c>
      <c r="N1299" s="112">
        <f t="shared" si="146"/>
        <v>9.5238095238095233E-2</v>
      </c>
      <c r="O1299" s="113">
        <v>0</v>
      </c>
      <c r="P1299" s="114">
        <v>0</v>
      </c>
      <c r="Q1299" s="115">
        <v>0</v>
      </c>
      <c r="R1299" s="115">
        <v>0</v>
      </c>
      <c r="S1299" s="110" t="e">
        <f t="shared" si="147"/>
        <v>#DIV/0!</v>
      </c>
      <c r="T1299" s="110" t="e">
        <f t="shared" si="148"/>
        <v>#DIV/0!</v>
      </c>
      <c r="U1299" s="116" t="e">
        <f t="shared" si="149"/>
        <v>#DIV/0!</v>
      </c>
      <c r="V1299" s="115">
        <v>0</v>
      </c>
      <c r="W1299" s="115">
        <f t="shared" si="150"/>
        <v>21000</v>
      </c>
      <c r="X1299" s="115"/>
      <c r="Y1299" s="117" t="s">
        <v>2669</v>
      </c>
      <c r="Z1299" s="108" t="s">
        <v>35</v>
      </c>
      <c r="AA1299" s="108" t="s">
        <v>35</v>
      </c>
      <c r="AB1299" s="108" t="s">
        <v>2005</v>
      </c>
      <c r="AC1299" s="108">
        <v>0</v>
      </c>
      <c r="AD1299" s="108">
        <v>1</v>
      </c>
      <c r="AE1299" s="108" t="s">
        <v>37</v>
      </c>
      <c r="AF1299" s="108" t="s">
        <v>43</v>
      </c>
      <c r="AG1299" s="108" t="s">
        <v>38</v>
      </c>
      <c r="AH1299" s="108" t="s">
        <v>2670</v>
      </c>
    </row>
    <row r="1300" spans="1:34" x14ac:dyDescent="0.3">
      <c r="A1300" s="118" t="s">
        <v>2005</v>
      </c>
      <c r="B1300" s="119" t="s">
        <v>2693</v>
      </c>
      <c r="C1300" s="119" t="s">
        <v>2694</v>
      </c>
      <c r="D1300" s="120">
        <v>45121</v>
      </c>
      <c r="E1300" s="121">
        <v>102000</v>
      </c>
      <c r="F1300" s="119" t="s">
        <v>32</v>
      </c>
      <c r="G1300" s="119" t="s">
        <v>33</v>
      </c>
      <c r="H1300" s="121">
        <v>102000</v>
      </c>
      <c r="I1300" s="121">
        <v>33400</v>
      </c>
      <c r="J1300" s="122">
        <f t="shared" si="145"/>
        <v>32.745098039215684</v>
      </c>
      <c r="K1300" s="121">
        <v>93925</v>
      </c>
      <c r="L1300" s="121">
        <f>H1300-83925</f>
        <v>18075</v>
      </c>
      <c r="M1300" s="121">
        <v>10000</v>
      </c>
      <c r="N1300" s="123">
        <f t="shared" si="146"/>
        <v>9.8039215686274508E-2</v>
      </c>
      <c r="O1300" s="124">
        <v>0</v>
      </c>
      <c r="P1300" s="125">
        <v>0</v>
      </c>
      <c r="Q1300" s="126">
        <v>0</v>
      </c>
      <c r="R1300" s="126">
        <v>0</v>
      </c>
      <c r="S1300" s="121" t="e">
        <f t="shared" si="147"/>
        <v>#DIV/0!</v>
      </c>
      <c r="T1300" s="121" t="e">
        <f t="shared" si="148"/>
        <v>#DIV/0!</v>
      </c>
      <c r="U1300" s="127" t="e">
        <f t="shared" si="149"/>
        <v>#DIV/0!</v>
      </c>
      <c r="V1300" s="126">
        <v>0</v>
      </c>
      <c r="W1300" s="126">
        <f t="shared" si="150"/>
        <v>20400</v>
      </c>
      <c r="X1300" s="126"/>
      <c r="Y1300" s="128" t="s">
        <v>2669</v>
      </c>
      <c r="Z1300" s="119" t="s">
        <v>35</v>
      </c>
      <c r="AA1300" s="119" t="s">
        <v>35</v>
      </c>
      <c r="AB1300" s="119" t="s">
        <v>2005</v>
      </c>
      <c r="AC1300" s="119">
        <v>0</v>
      </c>
      <c r="AD1300" s="119">
        <v>1</v>
      </c>
      <c r="AE1300" s="119" t="s">
        <v>37</v>
      </c>
      <c r="AF1300" s="119" t="s">
        <v>43</v>
      </c>
      <c r="AG1300" s="119" t="s">
        <v>38</v>
      </c>
      <c r="AH1300" s="119" t="s">
        <v>2670</v>
      </c>
    </row>
    <row r="1301" spans="1:34" x14ac:dyDescent="0.3">
      <c r="A1301" s="107" t="s">
        <v>2005</v>
      </c>
      <c r="B1301" s="108" t="s">
        <v>2412</v>
      </c>
      <c r="C1301" s="108" t="s">
        <v>2413</v>
      </c>
      <c r="D1301" s="109">
        <v>45079</v>
      </c>
      <c r="E1301" s="110">
        <v>188500</v>
      </c>
      <c r="F1301" s="108" t="s">
        <v>32</v>
      </c>
      <c r="G1301" s="108" t="s">
        <v>33</v>
      </c>
      <c r="H1301" s="110">
        <v>188500</v>
      </c>
      <c r="I1301" s="110">
        <v>63500</v>
      </c>
      <c r="J1301" s="111">
        <f t="shared" si="145"/>
        <v>33.687002652519894</v>
      </c>
      <c r="K1301" s="110">
        <v>186307</v>
      </c>
      <c r="L1301" s="110">
        <f>H1301-166307</f>
        <v>22193</v>
      </c>
      <c r="M1301" s="110">
        <v>20000</v>
      </c>
      <c r="N1301" s="112">
        <f t="shared" si="146"/>
        <v>0.10610079575596817</v>
      </c>
      <c r="O1301" s="113">
        <v>0</v>
      </c>
      <c r="P1301" s="114">
        <v>0</v>
      </c>
      <c r="Q1301" s="115">
        <v>0</v>
      </c>
      <c r="R1301" s="115">
        <v>0</v>
      </c>
      <c r="S1301" s="110" t="e">
        <f t="shared" si="147"/>
        <v>#DIV/0!</v>
      </c>
      <c r="T1301" s="110" t="e">
        <f t="shared" si="148"/>
        <v>#DIV/0!</v>
      </c>
      <c r="U1301" s="116" t="e">
        <f t="shared" si="149"/>
        <v>#DIV/0!</v>
      </c>
      <c r="V1301" s="115">
        <v>0</v>
      </c>
      <c r="W1301" s="115">
        <f t="shared" si="150"/>
        <v>37700</v>
      </c>
      <c r="X1301" s="115"/>
      <c r="Y1301" s="117" t="s">
        <v>2406</v>
      </c>
      <c r="Z1301" s="108" t="s">
        <v>35</v>
      </c>
      <c r="AA1301" s="108" t="s">
        <v>35</v>
      </c>
      <c r="AB1301" s="108" t="s">
        <v>2005</v>
      </c>
      <c r="AC1301" s="108">
        <v>0</v>
      </c>
      <c r="AD1301" s="108">
        <v>1</v>
      </c>
      <c r="AE1301" s="108" t="s">
        <v>37</v>
      </c>
      <c r="AF1301" s="108" t="s">
        <v>43</v>
      </c>
      <c r="AG1301" s="108" t="s">
        <v>38</v>
      </c>
      <c r="AH1301" s="108" t="s">
        <v>2407</v>
      </c>
    </row>
    <row r="1302" spans="1:34" x14ac:dyDescent="0.3">
      <c r="A1302" s="118" t="s">
        <v>2005</v>
      </c>
      <c r="B1302" s="119" t="s">
        <v>2408</v>
      </c>
      <c r="C1302" s="119" t="s">
        <v>2409</v>
      </c>
      <c r="D1302" s="120">
        <v>45252</v>
      </c>
      <c r="E1302" s="121">
        <v>188000</v>
      </c>
      <c r="F1302" s="119" t="s">
        <v>32</v>
      </c>
      <c r="G1302" s="119" t="s">
        <v>33</v>
      </c>
      <c r="H1302" s="121">
        <v>188000</v>
      </c>
      <c r="I1302" s="121">
        <v>70800</v>
      </c>
      <c r="J1302" s="122">
        <f t="shared" si="145"/>
        <v>37.659574468085104</v>
      </c>
      <c r="K1302" s="121">
        <v>208985</v>
      </c>
      <c r="L1302" s="121">
        <f>H1302-188985</f>
        <v>-985</v>
      </c>
      <c r="M1302" s="121">
        <v>20000</v>
      </c>
      <c r="N1302" s="123">
        <f t="shared" si="146"/>
        <v>0.10638297872340426</v>
      </c>
      <c r="O1302" s="124">
        <v>0</v>
      </c>
      <c r="P1302" s="125">
        <v>0</v>
      </c>
      <c r="Q1302" s="126">
        <v>0</v>
      </c>
      <c r="R1302" s="126">
        <v>0</v>
      </c>
      <c r="S1302" s="121" t="e">
        <f t="shared" si="147"/>
        <v>#DIV/0!</v>
      </c>
      <c r="T1302" s="121" t="e">
        <f t="shared" si="148"/>
        <v>#DIV/0!</v>
      </c>
      <c r="U1302" s="127" t="e">
        <f t="shared" si="149"/>
        <v>#DIV/0!</v>
      </c>
      <c r="V1302" s="126">
        <v>0</v>
      </c>
      <c r="W1302" s="126">
        <f t="shared" si="150"/>
        <v>37600</v>
      </c>
      <c r="X1302" s="126"/>
      <c r="Y1302" s="128" t="s">
        <v>2406</v>
      </c>
      <c r="Z1302" s="119" t="s">
        <v>35</v>
      </c>
      <c r="AA1302" s="119" t="s">
        <v>35</v>
      </c>
      <c r="AB1302" s="119" t="s">
        <v>2005</v>
      </c>
      <c r="AC1302" s="119">
        <v>0</v>
      </c>
      <c r="AD1302" s="119">
        <v>1</v>
      </c>
      <c r="AE1302" s="119" t="s">
        <v>37</v>
      </c>
      <c r="AF1302" s="119" t="s">
        <v>35</v>
      </c>
      <c r="AG1302" s="119" t="s">
        <v>38</v>
      </c>
      <c r="AH1302" s="119" t="s">
        <v>2407</v>
      </c>
    </row>
    <row r="1303" spans="1:34" x14ac:dyDescent="0.3">
      <c r="A1303" s="118" t="s">
        <v>2005</v>
      </c>
      <c r="B1303" s="119" t="s">
        <v>2410</v>
      </c>
      <c r="C1303" s="119" t="s">
        <v>2411</v>
      </c>
      <c r="D1303" s="120">
        <v>45044</v>
      </c>
      <c r="E1303" s="121">
        <v>181000</v>
      </c>
      <c r="F1303" s="119" t="s">
        <v>32</v>
      </c>
      <c r="G1303" s="119" t="s">
        <v>33</v>
      </c>
      <c r="H1303" s="121">
        <v>181000</v>
      </c>
      <c r="I1303" s="121">
        <v>69100</v>
      </c>
      <c r="J1303" s="122">
        <f t="shared" si="145"/>
        <v>38.176795580110493</v>
      </c>
      <c r="K1303" s="121">
        <v>203969</v>
      </c>
      <c r="L1303" s="121">
        <f>H1303-183969</f>
        <v>-2969</v>
      </c>
      <c r="M1303" s="121">
        <v>20000</v>
      </c>
      <c r="N1303" s="123">
        <f t="shared" si="146"/>
        <v>0.11049723756906077</v>
      </c>
      <c r="O1303" s="124">
        <v>0</v>
      </c>
      <c r="P1303" s="125">
        <v>0</v>
      </c>
      <c r="Q1303" s="126">
        <v>0</v>
      </c>
      <c r="R1303" s="126">
        <v>0</v>
      </c>
      <c r="S1303" s="121" t="e">
        <f t="shared" si="147"/>
        <v>#DIV/0!</v>
      </c>
      <c r="T1303" s="121" t="e">
        <f t="shared" si="148"/>
        <v>#DIV/0!</v>
      </c>
      <c r="U1303" s="127" t="e">
        <f t="shared" si="149"/>
        <v>#DIV/0!</v>
      </c>
      <c r="V1303" s="126">
        <v>0</v>
      </c>
      <c r="W1303" s="126">
        <f t="shared" si="150"/>
        <v>36200</v>
      </c>
      <c r="X1303" s="126"/>
      <c r="Y1303" s="128" t="s">
        <v>2406</v>
      </c>
      <c r="Z1303" s="119" t="s">
        <v>35</v>
      </c>
      <c r="AA1303" s="119" t="s">
        <v>35</v>
      </c>
      <c r="AB1303" s="119" t="s">
        <v>2005</v>
      </c>
      <c r="AC1303" s="119">
        <v>0</v>
      </c>
      <c r="AD1303" s="119">
        <v>1</v>
      </c>
      <c r="AE1303" s="119" t="s">
        <v>37</v>
      </c>
      <c r="AF1303" s="119" t="s">
        <v>43</v>
      </c>
      <c r="AG1303" s="119" t="s">
        <v>38</v>
      </c>
      <c r="AH1303" s="119" t="s">
        <v>2407</v>
      </c>
    </row>
    <row r="1304" spans="1:34" x14ac:dyDescent="0.3">
      <c r="A1304" s="107" t="s">
        <v>2005</v>
      </c>
      <c r="B1304" s="108" t="s">
        <v>2145</v>
      </c>
      <c r="C1304" s="108" t="s">
        <v>2146</v>
      </c>
      <c r="D1304" s="109">
        <v>45293</v>
      </c>
      <c r="E1304" s="110">
        <v>180000</v>
      </c>
      <c r="F1304" s="108" t="s">
        <v>32</v>
      </c>
      <c r="G1304" s="108" t="s">
        <v>33</v>
      </c>
      <c r="H1304" s="110">
        <v>180000</v>
      </c>
      <c r="I1304" s="110">
        <v>82600</v>
      </c>
      <c r="J1304" s="111">
        <f t="shared" si="145"/>
        <v>45.888888888888893</v>
      </c>
      <c r="K1304" s="110">
        <v>194778</v>
      </c>
      <c r="L1304" s="110">
        <f>H1304-174778</f>
        <v>5222</v>
      </c>
      <c r="M1304" s="110">
        <v>20000</v>
      </c>
      <c r="N1304" s="112">
        <f t="shared" si="146"/>
        <v>0.1111111111111111</v>
      </c>
      <c r="O1304" s="113">
        <v>0</v>
      </c>
      <c r="P1304" s="114">
        <v>0</v>
      </c>
      <c r="Q1304" s="115">
        <v>0</v>
      </c>
      <c r="R1304" s="115">
        <v>0</v>
      </c>
      <c r="S1304" s="110" t="e">
        <f t="shared" si="147"/>
        <v>#DIV/0!</v>
      </c>
      <c r="T1304" s="110" t="e">
        <f t="shared" si="148"/>
        <v>#DIV/0!</v>
      </c>
      <c r="U1304" s="116" t="e">
        <f t="shared" si="149"/>
        <v>#DIV/0!</v>
      </c>
      <c r="V1304" s="115">
        <v>0</v>
      </c>
      <c r="W1304" s="115">
        <f t="shared" si="150"/>
        <v>36000</v>
      </c>
      <c r="X1304" s="115"/>
      <c r="Y1304" s="117" t="s">
        <v>2139</v>
      </c>
      <c r="Z1304" s="108" t="s">
        <v>35</v>
      </c>
      <c r="AA1304" s="108" t="s">
        <v>35</v>
      </c>
      <c r="AB1304" s="108" t="s">
        <v>2005</v>
      </c>
      <c r="AC1304" s="108">
        <v>0</v>
      </c>
      <c r="AD1304" s="108">
        <v>1</v>
      </c>
      <c r="AE1304" s="108" t="s">
        <v>37</v>
      </c>
      <c r="AF1304" s="108" t="s">
        <v>43</v>
      </c>
      <c r="AG1304" s="108" t="s">
        <v>38</v>
      </c>
      <c r="AH1304" s="108" t="s">
        <v>2140</v>
      </c>
    </row>
    <row r="1305" spans="1:34" x14ac:dyDescent="0.3">
      <c r="A1305" s="107" t="s">
        <v>2005</v>
      </c>
      <c r="B1305" s="108" t="s">
        <v>2404</v>
      </c>
      <c r="C1305" s="108" t="s">
        <v>2405</v>
      </c>
      <c r="D1305" s="109">
        <v>45170</v>
      </c>
      <c r="E1305" s="110">
        <v>180000</v>
      </c>
      <c r="F1305" s="108" t="s">
        <v>32</v>
      </c>
      <c r="G1305" s="108" t="s">
        <v>33</v>
      </c>
      <c r="H1305" s="110">
        <v>180000</v>
      </c>
      <c r="I1305" s="110">
        <v>69100</v>
      </c>
      <c r="J1305" s="111">
        <f t="shared" si="145"/>
        <v>38.388888888888886</v>
      </c>
      <c r="K1305" s="110">
        <v>203969</v>
      </c>
      <c r="L1305" s="110">
        <f>H1305-183969</f>
        <v>-3969</v>
      </c>
      <c r="M1305" s="110">
        <v>20000</v>
      </c>
      <c r="N1305" s="112">
        <f t="shared" si="146"/>
        <v>0.1111111111111111</v>
      </c>
      <c r="O1305" s="113">
        <v>0</v>
      </c>
      <c r="P1305" s="114">
        <v>0</v>
      </c>
      <c r="Q1305" s="115">
        <v>0</v>
      </c>
      <c r="R1305" s="115">
        <v>0</v>
      </c>
      <c r="S1305" s="110" t="e">
        <f t="shared" si="147"/>
        <v>#DIV/0!</v>
      </c>
      <c r="T1305" s="110" t="e">
        <f t="shared" si="148"/>
        <v>#DIV/0!</v>
      </c>
      <c r="U1305" s="116" t="e">
        <f t="shared" si="149"/>
        <v>#DIV/0!</v>
      </c>
      <c r="V1305" s="115">
        <v>0</v>
      </c>
      <c r="W1305" s="115">
        <f t="shared" si="150"/>
        <v>36000</v>
      </c>
      <c r="X1305" s="115"/>
      <c r="Y1305" s="117" t="s">
        <v>2406</v>
      </c>
      <c r="Z1305" s="108" t="s">
        <v>35</v>
      </c>
      <c r="AA1305" s="108" t="s">
        <v>35</v>
      </c>
      <c r="AB1305" s="108" t="s">
        <v>2005</v>
      </c>
      <c r="AC1305" s="108">
        <v>0</v>
      </c>
      <c r="AD1305" s="108">
        <v>1</v>
      </c>
      <c r="AE1305" s="108" t="s">
        <v>37</v>
      </c>
      <c r="AF1305" s="108" t="s">
        <v>43</v>
      </c>
      <c r="AG1305" s="108" t="s">
        <v>38</v>
      </c>
      <c r="AH1305" s="108" t="s">
        <v>2407</v>
      </c>
    </row>
    <row r="1306" spans="1:34" x14ac:dyDescent="0.3">
      <c r="A1306" s="107" t="s">
        <v>2005</v>
      </c>
      <c r="B1306" s="108" t="s">
        <v>2143</v>
      </c>
      <c r="C1306" s="108" t="s">
        <v>2144</v>
      </c>
      <c r="D1306" s="109">
        <v>45693</v>
      </c>
      <c r="E1306" s="110">
        <v>174400</v>
      </c>
      <c r="F1306" s="108" t="s">
        <v>32</v>
      </c>
      <c r="G1306" s="108" t="s">
        <v>33</v>
      </c>
      <c r="H1306" s="110">
        <v>174400</v>
      </c>
      <c r="I1306" s="110">
        <v>99300</v>
      </c>
      <c r="J1306" s="111">
        <f t="shared" si="145"/>
        <v>56.938073394495412</v>
      </c>
      <c r="K1306" s="110">
        <v>197669</v>
      </c>
      <c r="L1306" s="110">
        <f>H1306-177669</f>
        <v>-3269</v>
      </c>
      <c r="M1306" s="110">
        <v>20000</v>
      </c>
      <c r="N1306" s="112">
        <f t="shared" si="146"/>
        <v>0.11467889908256881</v>
      </c>
      <c r="O1306" s="113">
        <v>0</v>
      </c>
      <c r="P1306" s="114">
        <v>0</v>
      </c>
      <c r="Q1306" s="115">
        <v>0</v>
      </c>
      <c r="R1306" s="115">
        <v>0</v>
      </c>
      <c r="S1306" s="110" t="e">
        <f t="shared" si="147"/>
        <v>#DIV/0!</v>
      </c>
      <c r="T1306" s="110" t="e">
        <f t="shared" si="148"/>
        <v>#DIV/0!</v>
      </c>
      <c r="U1306" s="116" t="e">
        <f t="shared" si="149"/>
        <v>#DIV/0!</v>
      </c>
      <c r="V1306" s="115">
        <v>0</v>
      </c>
      <c r="W1306" s="115">
        <f t="shared" si="150"/>
        <v>34880</v>
      </c>
      <c r="X1306" s="115"/>
      <c r="Y1306" s="117" t="s">
        <v>2139</v>
      </c>
      <c r="Z1306" s="108" t="s">
        <v>35</v>
      </c>
      <c r="AA1306" s="108" t="s">
        <v>35</v>
      </c>
      <c r="AB1306" s="108" t="s">
        <v>2005</v>
      </c>
      <c r="AC1306" s="108">
        <v>0</v>
      </c>
      <c r="AD1306" s="108">
        <v>1</v>
      </c>
      <c r="AE1306" s="108" t="s">
        <v>37</v>
      </c>
      <c r="AF1306" s="108" t="s">
        <v>35</v>
      </c>
      <c r="AG1306" s="108" t="s">
        <v>38</v>
      </c>
      <c r="AH1306" s="108" t="s">
        <v>2140</v>
      </c>
    </row>
    <row r="1307" spans="1:34" x14ac:dyDescent="0.3">
      <c r="A1307" s="107" t="s">
        <v>2005</v>
      </c>
      <c r="B1307" s="108" t="s">
        <v>2414</v>
      </c>
      <c r="C1307" s="108" t="s">
        <v>2415</v>
      </c>
      <c r="D1307" s="109">
        <v>45387</v>
      </c>
      <c r="E1307" s="110">
        <v>170000</v>
      </c>
      <c r="F1307" s="108" t="s">
        <v>32</v>
      </c>
      <c r="G1307" s="108" t="s">
        <v>33</v>
      </c>
      <c r="H1307" s="110">
        <v>170000</v>
      </c>
      <c r="I1307" s="110">
        <v>79500</v>
      </c>
      <c r="J1307" s="111">
        <f t="shared" si="145"/>
        <v>46.764705882352942</v>
      </c>
      <c r="K1307" s="110">
        <v>187171</v>
      </c>
      <c r="L1307" s="110">
        <f>H1307-167171</f>
        <v>2829</v>
      </c>
      <c r="M1307" s="110">
        <v>20000</v>
      </c>
      <c r="N1307" s="112">
        <f t="shared" si="146"/>
        <v>0.11764705882352941</v>
      </c>
      <c r="O1307" s="113">
        <v>0</v>
      </c>
      <c r="P1307" s="114">
        <v>0</v>
      </c>
      <c r="Q1307" s="115">
        <v>0</v>
      </c>
      <c r="R1307" s="115">
        <v>0</v>
      </c>
      <c r="S1307" s="110" t="e">
        <f t="shared" si="147"/>
        <v>#DIV/0!</v>
      </c>
      <c r="T1307" s="110" t="e">
        <f t="shared" si="148"/>
        <v>#DIV/0!</v>
      </c>
      <c r="U1307" s="116" t="e">
        <f t="shared" si="149"/>
        <v>#DIV/0!</v>
      </c>
      <c r="V1307" s="115">
        <v>0</v>
      </c>
      <c r="W1307" s="115">
        <f t="shared" si="150"/>
        <v>34000</v>
      </c>
      <c r="X1307" s="115"/>
      <c r="Y1307" s="117" t="s">
        <v>2406</v>
      </c>
      <c r="Z1307" s="108" t="s">
        <v>35</v>
      </c>
      <c r="AA1307" s="108" t="s">
        <v>35</v>
      </c>
      <c r="AB1307" s="108" t="s">
        <v>2005</v>
      </c>
      <c r="AC1307" s="108">
        <v>0</v>
      </c>
      <c r="AD1307" s="108">
        <v>1</v>
      </c>
      <c r="AE1307" s="108" t="s">
        <v>37</v>
      </c>
      <c r="AF1307" s="108" t="s">
        <v>43</v>
      </c>
      <c r="AG1307" s="108" t="s">
        <v>38</v>
      </c>
      <c r="AH1307" s="108" t="s">
        <v>2407</v>
      </c>
    </row>
    <row r="1308" spans="1:34" x14ac:dyDescent="0.3">
      <c r="A1308" s="118" t="s">
        <v>2005</v>
      </c>
      <c r="B1308" s="119" t="s">
        <v>2137</v>
      </c>
      <c r="C1308" s="119" t="s">
        <v>2138</v>
      </c>
      <c r="D1308" s="120">
        <v>45049</v>
      </c>
      <c r="E1308" s="121">
        <v>165000</v>
      </c>
      <c r="F1308" s="119" t="s">
        <v>32</v>
      </c>
      <c r="G1308" s="119" t="s">
        <v>33</v>
      </c>
      <c r="H1308" s="121">
        <v>165000</v>
      </c>
      <c r="I1308" s="121">
        <v>72200</v>
      </c>
      <c r="J1308" s="122">
        <f t="shared" si="145"/>
        <v>43.757575757575758</v>
      </c>
      <c r="K1308" s="121">
        <v>169254</v>
      </c>
      <c r="L1308" s="121">
        <f>H1308-149254</f>
        <v>15746</v>
      </c>
      <c r="M1308" s="121">
        <v>20000</v>
      </c>
      <c r="N1308" s="123">
        <f t="shared" si="146"/>
        <v>0.12121212121212122</v>
      </c>
      <c r="O1308" s="124">
        <v>0</v>
      </c>
      <c r="P1308" s="125">
        <v>0</v>
      </c>
      <c r="Q1308" s="126">
        <v>0</v>
      </c>
      <c r="R1308" s="126">
        <v>0</v>
      </c>
      <c r="S1308" s="121" t="e">
        <f t="shared" si="147"/>
        <v>#DIV/0!</v>
      </c>
      <c r="T1308" s="121" t="e">
        <f t="shared" si="148"/>
        <v>#DIV/0!</v>
      </c>
      <c r="U1308" s="127" t="e">
        <f t="shared" si="149"/>
        <v>#DIV/0!</v>
      </c>
      <c r="V1308" s="126">
        <v>0</v>
      </c>
      <c r="W1308" s="126">
        <f t="shared" si="150"/>
        <v>33000</v>
      </c>
      <c r="X1308" s="126"/>
      <c r="Y1308" s="128" t="s">
        <v>2139</v>
      </c>
      <c r="Z1308" s="119" t="s">
        <v>35</v>
      </c>
      <c r="AA1308" s="119" t="s">
        <v>35</v>
      </c>
      <c r="AB1308" s="119" t="s">
        <v>2005</v>
      </c>
      <c r="AC1308" s="119">
        <v>0</v>
      </c>
      <c r="AD1308" s="119">
        <v>1</v>
      </c>
      <c r="AE1308" s="119" t="s">
        <v>37</v>
      </c>
      <c r="AF1308" s="119" t="s">
        <v>43</v>
      </c>
      <c r="AG1308" s="119" t="s">
        <v>38</v>
      </c>
      <c r="AH1308" s="119" t="s">
        <v>2140</v>
      </c>
    </row>
    <row r="1309" spans="1:34" x14ac:dyDescent="0.3">
      <c r="A1309" s="118" t="s">
        <v>2005</v>
      </c>
      <c r="B1309" s="119" t="s">
        <v>2141</v>
      </c>
      <c r="C1309" s="119" t="s">
        <v>2142</v>
      </c>
      <c r="D1309" s="120">
        <v>45372</v>
      </c>
      <c r="E1309" s="121">
        <v>155500</v>
      </c>
      <c r="F1309" s="119" t="s">
        <v>32</v>
      </c>
      <c r="G1309" s="119" t="s">
        <v>33</v>
      </c>
      <c r="H1309" s="121">
        <v>155500</v>
      </c>
      <c r="I1309" s="121">
        <v>72000</v>
      </c>
      <c r="J1309" s="122">
        <f t="shared" si="145"/>
        <v>46.30225080385852</v>
      </c>
      <c r="K1309" s="121">
        <v>169136</v>
      </c>
      <c r="L1309" s="121">
        <f>H1309-149136</f>
        <v>6364</v>
      </c>
      <c r="M1309" s="121">
        <v>20000</v>
      </c>
      <c r="N1309" s="123">
        <f t="shared" si="146"/>
        <v>0.12861736334405144</v>
      </c>
      <c r="O1309" s="124">
        <v>0</v>
      </c>
      <c r="P1309" s="125">
        <v>0</v>
      </c>
      <c r="Q1309" s="126">
        <v>0</v>
      </c>
      <c r="R1309" s="126">
        <v>0</v>
      </c>
      <c r="S1309" s="121" t="e">
        <f t="shared" si="147"/>
        <v>#DIV/0!</v>
      </c>
      <c r="T1309" s="121" t="e">
        <f t="shared" si="148"/>
        <v>#DIV/0!</v>
      </c>
      <c r="U1309" s="127" t="e">
        <f t="shared" si="149"/>
        <v>#DIV/0!</v>
      </c>
      <c r="V1309" s="126">
        <v>0</v>
      </c>
      <c r="W1309" s="126">
        <f t="shared" si="150"/>
        <v>31100</v>
      </c>
      <c r="X1309" s="126"/>
      <c r="Y1309" s="128" t="s">
        <v>2139</v>
      </c>
      <c r="Z1309" s="119" t="s">
        <v>35</v>
      </c>
      <c r="AA1309" s="119" t="s">
        <v>35</v>
      </c>
      <c r="AB1309" s="119" t="s">
        <v>2005</v>
      </c>
      <c r="AC1309" s="119">
        <v>0</v>
      </c>
      <c r="AD1309" s="119">
        <v>1</v>
      </c>
      <c r="AE1309" s="119" t="s">
        <v>37</v>
      </c>
      <c r="AF1309" s="119" t="s">
        <v>43</v>
      </c>
      <c r="AG1309" s="119" t="s">
        <v>38</v>
      </c>
      <c r="AH1309" s="119" t="s">
        <v>2140</v>
      </c>
    </row>
    <row r="1310" spans="1:34" x14ac:dyDescent="0.3">
      <c r="A1310" s="107" t="s">
        <v>2005</v>
      </c>
      <c r="B1310" s="108" t="s">
        <v>2667</v>
      </c>
      <c r="C1310" s="108" t="s">
        <v>2668</v>
      </c>
      <c r="D1310" s="109">
        <v>45719</v>
      </c>
      <c r="E1310" s="110">
        <v>74000</v>
      </c>
      <c r="F1310" s="108" t="s">
        <v>32</v>
      </c>
      <c r="G1310" s="108" t="s">
        <v>33</v>
      </c>
      <c r="H1310" s="110">
        <v>74000</v>
      </c>
      <c r="I1310" s="110">
        <v>42000</v>
      </c>
      <c r="J1310" s="111">
        <f t="shared" si="145"/>
        <v>56.756756756756758</v>
      </c>
      <c r="K1310" s="110">
        <v>98241</v>
      </c>
      <c r="L1310" s="110">
        <f>H1310-88241</f>
        <v>-14241</v>
      </c>
      <c r="M1310" s="110">
        <v>10000</v>
      </c>
      <c r="N1310" s="112">
        <f t="shared" si="146"/>
        <v>0.13513513513513514</v>
      </c>
      <c r="O1310" s="113">
        <v>0</v>
      </c>
      <c r="P1310" s="114">
        <v>0</v>
      </c>
      <c r="Q1310" s="115">
        <v>0</v>
      </c>
      <c r="R1310" s="115">
        <v>0</v>
      </c>
      <c r="S1310" s="110" t="e">
        <f t="shared" si="147"/>
        <v>#DIV/0!</v>
      </c>
      <c r="T1310" s="110" t="e">
        <f t="shared" si="148"/>
        <v>#DIV/0!</v>
      </c>
      <c r="U1310" s="116" t="e">
        <f t="shared" si="149"/>
        <v>#DIV/0!</v>
      </c>
      <c r="V1310" s="115">
        <v>0</v>
      </c>
      <c r="W1310" s="115">
        <f t="shared" si="150"/>
        <v>14800</v>
      </c>
      <c r="X1310" s="115"/>
      <c r="Y1310" s="117" t="s">
        <v>2669</v>
      </c>
      <c r="Z1310" s="108" t="s">
        <v>35</v>
      </c>
      <c r="AA1310" s="108" t="s">
        <v>35</v>
      </c>
      <c r="AB1310" s="108" t="s">
        <v>2005</v>
      </c>
      <c r="AC1310" s="108">
        <v>0</v>
      </c>
      <c r="AD1310" s="108">
        <v>1</v>
      </c>
      <c r="AE1310" s="108" t="s">
        <v>37</v>
      </c>
      <c r="AF1310" s="108" t="s">
        <v>35</v>
      </c>
      <c r="AG1310" s="108" t="s">
        <v>38</v>
      </c>
      <c r="AH1310" s="108" t="s">
        <v>2670</v>
      </c>
    </row>
    <row r="1311" spans="1:34" x14ac:dyDescent="0.3">
      <c r="A1311" s="118" t="s">
        <v>1945</v>
      </c>
      <c r="B1311" s="119" t="s">
        <v>1949</v>
      </c>
      <c r="C1311" s="119" t="s">
        <v>1950</v>
      </c>
      <c r="D1311" s="120">
        <v>45149</v>
      </c>
      <c r="E1311" s="121">
        <v>388403</v>
      </c>
      <c r="F1311" s="119" t="s">
        <v>32</v>
      </c>
      <c r="G1311" s="119" t="s">
        <v>33</v>
      </c>
      <c r="H1311" s="121">
        <v>388403</v>
      </c>
      <c r="I1311" s="121">
        <v>126100</v>
      </c>
      <c r="J1311" s="122">
        <f t="shared" si="145"/>
        <v>32.466278581782326</v>
      </c>
      <c r="K1311" s="121">
        <v>405762</v>
      </c>
      <c r="L1311" s="121">
        <f>H1311-368262</f>
        <v>20141</v>
      </c>
      <c r="M1311" s="121">
        <v>37500</v>
      </c>
      <c r="N1311" s="123">
        <f t="shared" si="146"/>
        <v>9.6549202761049738E-2</v>
      </c>
      <c r="O1311" s="124">
        <v>117.39</v>
      </c>
      <c r="P1311" s="125">
        <v>129.5</v>
      </c>
      <c r="Q1311" s="126">
        <v>0.29399999999999998</v>
      </c>
      <c r="R1311" s="126">
        <v>0.29399999999999998</v>
      </c>
      <c r="S1311" s="121">
        <f t="shared" si="147"/>
        <v>171.57338785245761</v>
      </c>
      <c r="T1311" s="121">
        <f t="shared" si="148"/>
        <v>68506.802721088432</v>
      </c>
      <c r="U1311" s="127">
        <f t="shared" si="149"/>
        <v>1.5726997869855013</v>
      </c>
      <c r="V1311" s="126">
        <v>154.37</v>
      </c>
      <c r="W1311" s="126">
        <f t="shared" si="150"/>
        <v>77680.600000000006</v>
      </c>
      <c r="X1311" s="126">
        <f t="shared" ref="X1311:X1328" si="151">W1311/V1311</f>
        <v>503.21046835525038</v>
      </c>
      <c r="Y1311" s="128" t="s">
        <v>1944</v>
      </c>
      <c r="Z1311" s="119" t="s">
        <v>35</v>
      </c>
      <c r="AA1311" s="119" t="s">
        <v>35</v>
      </c>
      <c r="AB1311" s="119" t="s">
        <v>1945</v>
      </c>
      <c r="AC1311" s="119">
        <v>0</v>
      </c>
      <c r="AD1311" s="119">
        <v>0</v>
      </c>
      <c r="AE1311" s="119" t="s">
        <v>37</v>
      </c>
      <c r="AF1311" s="119" t="s">
        <v>43</v>
      </c>
      <c r="AG1311" s="119" t="s">
        <v>38</v>
      </c>
      <c r="AH1311" s="119" t="s">
        <v>1951</v>
      </c>
    </row>
    <row r="1312" spans="1:34" x14ac:dyDescent="0.3">
      <c r="A1312" s="118" t="s">
        <v>1945</v>
      </c>
      <c r="B1312" s="119" t="s">
        <v>1952</v>
      </c>
      <c r="C1312" s="119" t="s">
        <v>1953</v>
      </c>
      <c r="D1312" s="120">
        <v>45498</v>
      </c>
      <c r="E1312" s="121">
        <v>375000</v>
      </c>
      <c r="F1312" s="119" t="s">
        <v>32</v>
      </c>
      <c r="G1312" s="119" t="s">
        <v>33</v>
      </c>
      <c r="H1312" s="121">
        <v>375000</v>
      </c>
      <c r="I1312" s="121">
        <v>164000</v>
      </c>
      <c r="J1312" s="122">
        <f t="shared" si="145"/>
        <v>43.733333333333334</v>
      </c>
      <c r="K1312" s="121">
        <v>329070</v>
      </c>
      <c r="L1312" s="121">
        <f>H1312-291570</f>
        <v>83430</v>
      </c>
      <c r="M1312" s="121">
        <v>37500</v>
      </c>
      <c r="N1312" s="123">
        <f t="shared" si="146"/>
        <v>0.1</v>
      </c>
      <c r="O1312" s="124">
        <v>100.92</v>
      </c>
      <c r="P1312" s="125">
        <v>131</v>
      </c>
      <c r="Q1312" s="126">
        <v>0.253</v>
      </c>
      <c r="R1312" s="126">
        <v>0.253</v>
      </c>
      <c r="S1312" s="121">
        <f t="shared" si="147"/>
        <v>826.69441141498214</v>
      </c>
      <c r="T1312" s="121">
        <f t="shared" si="148"/>
        <v>329762.84584980237</v>
      </c>
      <c r="U1312" s="127">
        <f t="shared" si="149"/>
        <v>7.5703132656061154</v>
      </c>
      <c r="V1312" s="126">
        <v>134.52000000000001</v>
      </c>
      <c r="W1312" s="126">
        <f t="shared" si="150"/>
        <v>75000</v>
      </c>
      <c r="X1312" s="126">
        <f t="shared" si="151"/>
        <v>557.53791257805528</v>
      </c>
      <c r="Y1312" s="128" t="s">
        <v>1944</v>
      </c>
      <c r="Z1312" s="119" t="s">
        <v>35</v>
      </c>
      <c r="AA1312" s="119" t="s">
        <v>35</v>
      </c>
      <c r="AB1312" s="119" t="s">
        <v>1945</v>
      </c>
      <c r="AC1312" s="119">
        <v>0</v>
      </c>
      <c r="AD1312" s="119">
        <v>0</v>
      </c>
      <c r="AE1312" s="119" t="s">
        <v>37</v>
      </c>
      <c r="AF1312" s="119" t="s">
        <v>43</v>
      </c>
      <c r="AG1312" s="119" t="s">
        <v>38</v>
      </c>
      <c r="AH1312" s="119" t="s">
        <v>1951</v>
      </c>
    </row>
    <row r="1313" spans="1:34" x14ac:dyDescent="0.3">
      <c r="A1313" s="107" t="s">
        <v>1945</v>
      </c>
      <c r="B1313" s="108" t="s">
        <v>1947</v>
      </c>
      <c r="C1313" s="108" t="s">
        <v>1948</v>
      </c>
      <c r="D1313" s="109">
        <v>45170</v>
      </c>
      <c r="E1313" s="110">
        <v>389666</v>
      </c>
      <c r="F1313" s="108" t="s">
        <v>32</v>
      </c>
      <c r="G1313" s="108" t="s">
        <v>33</v>
      </c>
      <c r="H1313" s="110">
        <v>389666</v>
      </c>
      <c r="I1313" s="110">
        <v>88600</v>
      </c>
      <c r="J1313" s="111">
        <f t="shared" si="145"/>
        <v>22.737421278736146</v>
      </c>
      <c r="K1313" s="110">
        <v>383442</v>
      </c>
      <c r="L1313" s="110">
        <f>H1313-348442</f>
        <v>41224</v>
      </c>
      <c r="M1313" s="110">
        <v>35000</v>
      </c>
      <c r="N1313" s="112">
        <f t="shared" si="146"/>
        <v>8.9820512952117973E-2</v>
      </c>
      <c r="O1313" s="113">
        <v>65</v>
      </c>
      <c r="P1313" s="114">
        <v>133</v>
      </c>
      <c r="Q1313" s="115">
        <v>0.19800000000000001</v>
      </c>
      <c r="R1313" s="115">
        <v>0.19800000000000001</v>
      </c>
      <c r="S1313" s="110">
        <f t="shared" si="147"/>
        <v>634.21538461538466</v>
      </c>
      <c r="T1313" s="110">
        <f t="shared" si="148"/>
        <v>208202.02020202018</v>
      </c>
      <c r="U1313" s="116">
        <f t="shared" si="149"/>
        <v>4.7796607025257156</v>
      </c>
      <c r="V1313" s="115">
        <v>65</v>
      </c>
      <c r="W1313" s="115">
        <f t="shared" si="150"/>
        <v>77933.2</v>
      </c>
      <c r="X1313" s="115">
        <f t="shared" si="151"/>
        <v>1198.9723076923076</v>
      </c>
      <c r="Y1313" s="117" t="s">
        <v>1944</v>
      </c>
      <c r="Z1313" s="108" t="s">
        <v>35</v>
      </c>
      <c r="AA1313" s="108" t="s">
        <v>35</v>
      </c>
      <c r="AB1313" s="108" t="s">
        <v>1945</v>
      </c>
      <c r="AC1313" s="108">
        <v>0</v>
      </c>
      <c r="AD1313" s="108">
        <v>0</v>
      </c>
      <c r="AE1313" s="108" t="s">
        <v>37</v>
      </c>
      <c r="AF1313" s="108" t="s">
        <v>43</v>
      </c>
      <c r="AG1313" s="108" t="s">
        <v>38</v>
      </c>
      <c r="AH1313" s="108" t="s">
        <v>92</v>
      </c>
    </row>
    <row r="1314" spans="1:34" x14ac:dyDescent="0.3">
      <c r="A1314" s="107" t="s">
        <v>1945</v>
      </c>
      <c r="B1314" s="108" t="s">
        <v>1954</v>
      </c>
      <c r="C1314" s="108" t="s">
        <v>1955</v>
      </c>
      <c r="D1314" s="109">
        <v>45601</v>
      </c>
      <c r="E1314" s="110">
        <v>329900</v>
      </c>
      <c r="F1314" s="108" t="s">
        <v>32</v>
      </c>
      <c r="G1314" s="108" t="s">
        <v>33</v>
      </c>
      <c r="H1314" s="110">
        <v>329900</v>
      </c>
      <c r="I1314" s="110">
        <v>161500</v>
      </c>
      <c r="J1314" s="111">
        <f t="shared" si="145"/>
        <v>48.954228554107303</v>
      </c>
      <c r="K1314" s="110">
        <v>322108</v>
      </c>
      <c r="L1314" s="110">
        <f>H1314-287108</f>
        <v>42792</v>
      </c>
      <c r="M1314" s="110">
        <v>35000</v>
      </c>
      <c r="N1314" s="112">
        <f t="shared" si="146"/>
        <v>0.1060927553804183</v>
      </c>
      <c r="O1314" s="113">
        <v>55</v>
      </c>
      <c r="P1314" s="114">
        <v>135.75</v>
      </c>
      <c r="Q1314" s="115">
        <v>0.17100000000000001</v>
      </c>
      <c r="R1314" s="115">
        <v>0.17100000000000001</v>
      </c>
      <c r="S1314" s="110">
        <f t="shared" si="147"/>
        <v>778.0363636363636</v>
      </c>
      <c r="T1314" s="110">
        <f t="shared" si="148"/>
        <v>250245.6140350877</v>
      </c>
      <c r="U1314" s="116">
        <f t="shared" si="149"/>
        <v>5.7448488070497632</v>
      </c>
      <c r="V1314" s="115">
        <v>55</v>
      </c>
      <c r="W1314" s="115">
        <f t="shared" si="150"/>
        <v>65980</v>
      </c>
      <c r="X1314" s="115">
        <f t="shared" si="151"/>
        <v>1199.6363636363637</v>
      </c>
      <c r="Y1314" s="117" t="s">
        <v>1944</v>
      </c>
      <c r="Z1314" s="108" t="s">
        <v>35</v>
      </c>
      <c r="AA1314" s="108" t="s">
        <v>35</v>
      </c>
      <c r="AB1314" s="108" t="s">
        <v>1945</v>
      </c>
      <c r="AC1314" s="108">
        <v>0</v>
      </c>
      <c r="AD1314" s="108">
        <v>0</v>
      </c>
      <c r="AE1314" s="108" t="s">
        <v>37</v>
      </c>
      <c r="AF1314" s="108" t="s">
        <v>35</v>
      </c>
      <c r="AG1314" s="108" t="s">
        <v>38</v>
      </c>
      <c r="AH1314" s="108" t="s">
        <v>92</v>
      </c>
    </row>
    <row r="1315" spans="1:34" x14ac:dyDescent="0.3">
      <c r="A1315" s="107" t="s">
        <v>1945</v>
      </c>
      <c r="B1315" s="108" t="s">
        <v>1979</v>
      </c>
      <c r="C1315" s="108" t="s">
        <v>1980</v>
      </c>
      <c r="D1315" s="109">
        <v>45184</v>
      </c>
      <c r="E1315" s="110">
        <v>340000</v>
      </c>
      <c r="F1315" s="108" t="s">
        <v>32</v>
      </c>
      <c r="G1315" s="108" t="s">
        <v>33</v>
      </c>
      <c r="H1315" s="110">
        <v>340000</v>
      </c>
      <c r="I1315" s="110">
        <v>150900</v>
      </c>
      <c r="J1315" s="111">
        <f t="shared" si="145"/>
        <v>44.382352941176471</v>
      </c>
      <c r="K1315" s="110">
        <v>329915</v>
      </c>
      <c r="L1315" s="110">
        <f>H1315-292415</f>
        <v>47585</v>
      </c>
      <c r="M1315" s="110">
        <v>37500</v>
      </c>
      <c r="N1315" s="112">
        <f t="shared" si="146"/>
        <v>0.11029411764705882</v>
      </c>
      <c r="O1315" s="113">
        <v>55.04</v>
      </c>
      <c r="P1315" s="114">
        <v>124.38</v>
      </c>
      <c r="Q1315" s="115">
        <v>0.157</v>
      </c>
      <c r="R1315" s="115">
        <v>0.157</v>
      </c>
      <c r="S1315" s="110">
        <f t="shared" si="147"/>
        <v>864.55305232558146</v>
      </c>
      <c r="T1315" s="110">
        <f t="shared" si="148"/>
        <v>303089.17197452229</v>
      </c>
      <c r="U1315" s="116">
        <f t="shared" si="149"/>
        <v>6.9579699718669028</v>
      </c>
      <c r="V1315" s="115">
        <v>55.04</v>
      </c>
      <c r="W1315" s="115">
        <f t="shared" si="150"/>
        <v>68000</v>
      </c>
      <c r="X1315" s="115">
        <f t="shared" si="151"/>
        <v>1235.4651162790699</v>
      </c>
      <c r="Y1315" s="117" t="s">
        <v>1944</v>
      </c>
      <c r="Z1315" s="108" t="s">
        <v>35</v>
      </c>
      <c r="AA1315" s="108" t="s">
        <v>35</v>
      </c>
      <c r="AB1315" s="108" t="s">
        <v>1945</v>
      </c>
      <c r="AC1315" s="108">
        <v>0</v>
      </c>
      <c r="AD1315" s="108">
        <v>0</v>
      </c>
      <c r="AE1315" s="108" t="s">
        <v>37</v>
      </c>
      <c r="AF1315" s="108" t="s">
        <v>43</v>
      </c>
      <c r="AG1315" s="108" t="s">
        <v>38</v>
      </c>
      <c r="AH1315" s="108" t="s">
        <v>1951</v>
      </c>
    </row>
    <row r="1316" spans="1:34" x14ac:dyDescent="0.3">
      <c r="A1316" s="107" t="s">
        <v>1945</v>
      </c>
      <c r="B1316" s="108" t="s">
        <v>1977</v>
      </c>
      <c r="C1316" s="108" t="s">
        <v>1978</v>
      </c>
      <c r="D1316" s="109">
        <v>45443</v>
      </c>
      <c r="E1316" s="110">
        <v>362945</v>
      </c>
      <c r="F1316" s="108" t="s">
        <v>32</v>
      </c>
      <c r="G1316" s="108" t="s">
        <v>33</v>
      </c>
      <c r="H1316" s="110">
        <v>362945</v>
      </c>
      <c r="I1316" s="110">
        <v>90200</v>
      </c>
      <c r="J1316" s="111">
        <f t="shared" si="145"/>
        <v>24.852250340960751</v>
      </c>
      <c r="K1316" s="110">
        <v>328259</v>
      </c>
      <c r="L1316" s="110">
        <f>H1316-293259</f>
        <v>69686</v>
      </c>
      <c r="M1316" s="110">
        <v>35000</v>
      </c>
      <c r="N1316" s="112">
        <f t="shared" si="146"/>
        <v>9.6433343895080528E-2</v>
      </c>
      <c r="O1316" s="113">
        <v>58.73</v>
      </c>
      <c r="P1316" s="114">
        <v>120.17</v>
      </c>
      <c r="Q1316" s="115">
        <v>0.16200000000000001</v>
      </c>
      <c r="R1316" s="115">
        <v>0.16200000000000001</v>
      </c>
      <c r="S1316" s="110">
        <f t="shared" si="147"/>
        <v>1186.5486122935467</v>
      </c>
      <c r="T1316" s="110">
        <f t="shared" si="148"/>
        <v>430160.49382716051</v>
      </c>
      <c r="U1316" s="116">
        <f t="shared" si="149"/>
        <v>9.8751261209173666</v>
      </c>
      <c r="V1316" s="115">
        <v>58.73</v>
      </c>
      <c r="W1316" s="115">
        <f t="shared" si="150"/>
        <v>72589</v>
      </c>
      <c r="X1316" s="115">
        <f t="shared" si="151"/>
        <v>1235.978205346501</v>
      </c>
      <c r="Y1316" s="117" t="s">
        <v>1944</v>
      </c>
      <c r="Z1316" s="108" t="s">
        <v>35</v>
      </c>
      <c r="AA1316" s="108" t="s">
        <v>35</v>
      </c>
      <c r="AB1316" s="108" t="s">
        <v>1945</v>
      </c>
      <c r="AC1316" s="108">
        <v>0</v>
      </c>
      <c r="AD1316" s="108">
        <v>0</v>
      </c>
      <c r="AE1316" s="108" t="s">
        <v>37</v>
      </c>
      <c r="AF1316" s="108" t="s">
        <v>43</v>
      </c>
      <c r="AG1316" s="108" t="s">
        <v>38</v>
      </c>
      <c r="AH1316" s="108" t="s">
        <v>92</v>
      </c>
    </row>
    <row r="1317" spans="1:34" x14ac:dyDescent="0.3">
      <c r="A1317" s="107" t="s">
        <v>1945</v>
      </c>
      <c r="B1317" s="108" t="s">
        <v>1954</v>
      </c>
      <c r="C1317" s="108" t="s">
        <v>1955</v>
      </c>
      <c r="D1317" s="109">
        <v>45219</v>
      </c>
      <c r="E1317" s="110">
        <v>345033</v>
      </c>
      <c r="F1317" s="108" t="s">
        <v>32</v>
      </c>
      <c r="G1317" s="108" t="s">
        <v>33</v>
      </c>
      <c r="H1317" s="110">
        <v>345033</v>
      </c>
      <c r="I1317" s="110">
        <v>77700</v>
      </c>
      <c r="J1317" s="111">
        <f t="shared" si="145"/>
        <v>22.519585083165957</v>
      </c>
      <c r="K1317" s="110">
        <v>322108</v>
      </c>
      <c r="L1317" s="110">
        <f>H1317-287108</f>
        <v>57925</v>
      </c>
      <c r="M1317" s="110">
        <v>35000</v>
      </c>
      <c r="N1317" s="112">
        <f t="shared" si="146"/>
        <v>0.10143957244669351</v>
      </c>
      <c r="O1317" s="113">
        <v>55</v>
      </c>
      <c r="P1317" s="114">
        <v>135.75</v>
      </c>
      <c r="Q1317" s="115">
        <v>0.17100000000000001</v>
      </c>
      <c r="R1317" s="115">
        <v>0.17100000000000001</v>
      </c>
      <c r="S1317" s="110">
        <f t="shared" si="147"/>
        <v>1053.1818181818182</v>
      </c>
      <c r="T1317" s="110">
        <f t="shared" si="148"/>
        <v>338742.69005847949</v>
      </c>
      <c r="U1317" s="116">
        <f t="shared" si="149"/>
        <v>7.7764621225546255</v>
      </c>
      <c r="V1317" s="115">
        <v>55</v>
      </c>
      <c r="W1317" s="115">
        <f t="shared" si="150"/>
        <v>69006.600000000006</v>
      </c>
      <c r="X1317" s="115">
        <f t="shared" si="151"/>
        <v>1254.6654545454546</v>
      </c>
      <c r="Y1317" s="117" t="s">
        <v>1944</v>
      </c>
      <c r="Z1317" s="108" t="s">
        <v>35</v>
      </c>
      <c r="AA1317" s="108" t="s">
        <v>35</v>
      </c>
      <c r="AB1317" s="108" t="s">
        <v>1945</v>
      </c>
      <c r="AC1317" s="108">
        <v>0</v>
      </c>
      <c r="AD1317" s="108">
        <v>0</v>
      </c>
      <c r="AE1317" s="108" t="s">
        <v>37</v>
      </c>
      <c r="AF1317" s="108" t="s">
        <v>43</v>
      </c>
      <c r="AG1317" s="108" t="s">
        <v>38</v>
      </c>
      <c r="AH1317" s="108" t="s">
        <v>92</v>
      </c>
    </row>
    <row r="1318" spans="1:34" x14ac:dyDescent="0.3">
      <c r="A1318" s="118" t="s">
        <v>1945</v>
      </c>
      <c r="B1318" s="119" t="s">
        <v>1975</v>
      </c>
      <c r="C1318" s="119" t="s">
        <v>1976</v>
      </c>
      <c r="D1318" s="120">
        <v>45481</v>
      </c>
      <c r="E1318" s="121">
        <v>382057</v>
      </c>
      <c r="F1318" s="119" t="s">
        <v>32</v>
      </c>
      <c r="G1318" s="119" t="s">
        <v>33</v>
      </c>
      <c r="H1318" s="121">
        <v>382057</v>
      </c>
      <c r="I1318" s="121">
        <v>101300</v>
      </c>
      <c r="J1318" s="122">
        <f t="shared" si="145"/>
        <v>26.51436827489092</v>
      </c>
      <c r="K1318" s="121">
        <v>363970</v>
      </c>
      <c r="L1318" s="121">
        <f>H1318-326470</f>
        <v>55587</v>
      </c>
      <c r="M1318" s="121">
        <v>37500</v>
      </c>
      <c r="N1318" s="123">
        <f t="shared" si="146"/>
        <v>9.8152893416427398E-2</v>
      </c>
      <c r="O1318" s="124">
        <v>59.9</v>
      </c>
      <c r="P1318" s="125">
        <v>126.88</v>
      </c>
      <c r="Q1318" s="126">
        <v>0.17399999999999999</v>
      </c>
      <c r="R1318" s="126">
        <v>0.17399999999999999</v>
      </c>
      <c r="S1318" s="121">
        <f t="shared" si="147"/>
        <v>927.99666110183637</v>
      </c>
      <c r="T1318" s="121">
        <f t="shared" si="148"/>
        <v>319465.5172413793</v>
      </c>
      <c r="U1318" s="127">
        <f t="shared" si="149"/>
        <v>7.333919128589975</v>
      </c>
      <c r="V1318" s="126">
        <v>59.9</v>
      </c>
      <c r="W1318" s="126">
        <f t="shared" si="150"/>
        <v>76411.400000000009</v>
      </c>
      <c r="X1318" s="126">
        <f t="shared" si="151"/>
        <v>1275.6494156928215</v>
      </c>
      <c r="Y1318" s="128" t="s">
        <v>1944</v>
      </c>
      <c r="Z1318" s="119" t="s">
        <v>35</v>
      </c>
      <c r="AA1318" s="119" t="s">
        <v>35</v>
      </c>
      <c r="AB1318" s="119" t="s">
        <v>1945</v>
      </c>
      <c r="AC1318" s="119">
        <v>0</v>
      </c>
      <c r="AD1318" s="119">
        <v>0</v>
      </c>
      <c r="AE1318" s="119" t="s">
        <v>37</v>
      </c>
      <c r="AF1318" s="119" t="s">
        <v>43</v>
      </c>
      <c r="AG1318" s="119" t="s">
        <v>38</v>
      </c>
      <c r="AH1318" s="119" t="s">
        <v>1951</v>
      </c>
    </row>
    <row r="1319" spans="1:34" x14ac:dyDescent="0.3">
      <c r="A1319" s="118" t="s">
        <v>1945</v>
      </c>
      <c r="B1319" s="119" t="s">
        <v>1958</v>
      </c>
      <c r="C1319" s="119" t="s">
        <v>1959</v>
      </c>
      <c r="D1319" s="120">
        <v>45618</v>
      </c>
      <c r="E1319" s="121">
        <v>385833</v>
      </c>
      <c r="F1319" s="119" t="s">
        <v>32</v>
      </c>
      <c r="G1319" s="119" t="s">
        <v>33</v>
      </c>
      <c r="H1319" s="121">
        <v>385833</v>
      </c>
      <c r="I1319" s="121">
        <v>183600</v>
      </c>
      <c r="J1319" s="122">
        <f t="shared" si="145"/>
        <v>47.58535428540327</v>
      </c>
      <c r="K1319" s="121">
        <v>366562</v>
      </c>
      <c r="L1319" s="121">
        <f>H1319-331562</f>
        <v>54271</v>
      </c>
      <c r="M1319" s="121">
        <v>35000</v>
      </c>
      <c r="N1319" s="123">
        <f t="shared" si="146"/>
        <v>9.0712821350169628E-2</v>
      </c>
      <c r="O1319" s="124">
        <v>60.35</v>
      </c>
      <c r="P1319" s="125">
        <v>127.86</v>
      </c>
      <c r="Q1319" s="126">
        <v>0.17699999999999999</v>
      </c>
      <c r="R1319" s="126">
        <v>0.17699999999999999</v>
      </c>
      <c r="S1319" s="121">
        <f t="shared" si="147"/>
        <v>899.27091963545979</v>
      </c>
      <c r="T1319" s="121">
        <f t="shared" si="148"/>
        <v>306615.81920903956</v>
      </c>
      <c r="U1319" s="127">
        <f t="shared" si="149"/>
        <v>7.0389306521818078</v>
      </c>
      <c r="V1319" s="126">
        <v>60.35</v>
      </c>
      <c r="W1319" s="126">
        <f t="shared" si="150"/>
        <v>77166.600000000006</v>
      </c>
      <c r="X1319" s="126">
        <f t="shared" si="151"/>
        <v>1278.6512013256008</v>
      </c>
      <c r="Y1319" s="128" t="s">
        <v>1944</v>
      </c>
      <c r="Z1319" s="119" t="s">
        <v>35</v>
      </c>
      <c r="AA1319" s="119" t="s">
        <v>35</v>
      </c>
      <c r="AB1319" s="119" t="s">
        <v>1945</v>
      </c>
      <c r="AC1319" s="119">
        <v>0</v>
      </c>
      <c r="AD1319" s="119">
        <v>0</v>
      </c>
      <c r="AE1319" s="119" t="s">
        <v>37</v>
      </c>
      <c r="AF1319" s="119" t="s">
        <v>35</v>
      </c>
      <c r="AG1319" s="119" t="s">
        <v>38</v>
      </c>
      <c r="AH1319" s="119" t="s">
        <v>92</v>
      </c>
    </row>
    <row r="1320" spans="1:34" x14ac:dyDescent="0.3">
      <c r="A1320" s="107" t="s">
        <v>1945</v>
      </c>
      <c r="B1320" s="108" t="s">
        <v>1962</v>
      </c>
      <c r="C1320" s="108" t="s">
        <v>1963</v>
      </c>
      <c r="D1320" s="109">
        <v>45638</v>
      </c>
      <c r="E1320" s="110">
        <v>390033</v>
      </c>
      <c r="F1320" s="108" t="s">
        <v>32</v>
      </c>
      <c r="G1320" s="108" t="s">
        <v>33</v>
      </c>
      <c r="H1320" s="110">
        <v>390033</v>
      </c>
      <c r="I1320" s="110">
        <v>28100</v>
      </c>
      <c r="J1320" s="111">
        <f t="shared" si="145"/>
        <v>7.2045185920165729</v>
      </c>
      <c r="K1320" s="110">
        <v>402197</v>
      </c>
      <c r="L1320" s="110">
        <f>H1320-367197</f>
        <v>22836</v>
      </c>
      <c r="M1320" s="110">
        <v>35000</v>
      </c>
      <c r="N1320" s="112">
        <f t="shared" si="146"/>
        <v>8.9735996697715328E-2</v>
      </c>
      <c r="O1320" s="113">
        <v>61</v>
      </c>
      <c r="P1320" s="114">
        <v>124.75</v>
      </c>
      <c r="Q1320" s="115">
        <v>0.17499999999999999</v>
      </c>
      <c r="R1320" s="115">
        <v>0.17499999999999999</v>
      </c>
      <c r="S1320" s="110">
        <f t="shared" si="147"/>
        <v>374.36065573770492</v>
      </c>
      <c r="T1320" s="110">
        <f t="shared" si="148"/>
        <v>130491.42857142858</v>
      </c>
      <c r="U1320" s="116">
        <f t="shared" si="149"/>
        <v>2.9956709956709959</v>
      </c>
      <c r="V1320" s="115">
        <v>61</v>
      </c>
      <c r="W1320" s="115">
        <f t="shared" si="150"/>
        <v>78006.600000000006</v>
      </c>
      <c r="X1320" s="115">
        <f t="shared" si="151"/>
        <v>1278.7967213114755</v>
      </c>
      <c r="Y1320" s="117" t="s">
        <v>1944</v>
      </c>
      <c r="Z1320" s="108" t="s">
        <v>35</v>
      </c>
      <c r="AA1320" s="108" t="s">
        <v>35</v>
      </c>
      <c r="AB1320" s="108" t="s">
        <v>1945</v>
      </c>
      <c r="AC1320" s="108">
        <v>0</v>
      </c>
      <c r="AD1320" s="108">
        <v>0</v>
      </c>
      <c r="AE1320" s="108" t="s">
        <v>37</v>
      </c>
      <c r="AF1320" s="108" t="s">
        <v>35</v>
      </c>
      <c r="AG1320" s="108" t="s">
        <v>38</v>
      </c>
      <c r="AH1320" s="108" t="s">
        <v>92</v>
      </c>
    </row>
    <row r="1321" spans="1:34" x14ac:dyDescent="0.3">
      <c r="A1321" s="107" t="s">
        <v>1945</v>
      </c>
      <c r="B1321" s="108" t="s">
        <v>1960</v>
      </c>
      <c r="C1321" s="108" t="s">
        <v>1961</v>
      </c>
      <c r="D1321" s="109">
        <v>45077</v>
      </c>
      <c r="E1321" s="110">
        <v>356600</v>
      </c>
      <c r="F1321" s="108" t="s">
        <v>32</v>
      </c>
      <c r="G1321" s="108" t="s">
        <v>33</v>
      </c>
      <c r="H1321" s="110">
        <v>356600</v>
      </c>
      <c r="I1321" s="110">
        <v>172300</v>
      </c>
      <c r="J1321" s="111">
        <f t="shared" si="145"/>
        <v>48.317442512619181</v>
      </c>
      <c r="K1321" s="110">
        <v>383886</v>
      </c>
      <c r="L1321" s="110">
        <f>H1321-348886</f>
        <v>7714</v>
      </c>
      <c r="M1321" s="110">
        <v>35000</v>
      </c>
      <c r="N1321" s="112">
        <f t="shared" si="146"/>
        <v>9.8149186763881097E-2</v>
      </c>
      <c r="O1321" s="113">
        <v>55.05</v>
      </c>
      <c r="P1321" s="114">
        <v>124.28</v>
      </c>
      <c r="Q1321" s="115">
        <v>0.157</v>
      </c>
      <c r="R1321" s="115">
        <v>0.157</v>
      </c>
      <c r="S1321" s="110">
        <f t="shared" si="147"/>
        <v>140.12715712988194</v>
      </c>
      <c r="T1321" s="110">
        <f t="shared" si="148"/>
        <v>49133.757961783442</v>
      </c>
      <c r="U1321" s="116">
        <f t="shared" si="149"/>
        <v>1.1279558760740001</v>
      </c>
      <c r="V1321" s="115">
        <v>55.05</v>
      </c>
      <c r="W1321" s="115">
        <f t="shared" si="150"/>
        <v>71320</v>
      </c>
      <c r="X1321" s="115">
        <f t="shared" si="151"/>
        <v>1295.5495004541326</v>
      </c>
      <c r="Y1321" s="117" t="s">
        <v>1944</v>
      </c>
      <c r="Z1321" s="108" t="s">
        <v>35</v>
      </c>
      <c r="AA1321" s="108" t="s">
        <v>35</v>
      </c>
      <c r="AB1321" s="108" t="s">
        <v>1945</v>
      </c>
      <c r="AC1321" s="108">
        <v>0</v>
      </c>
      <c r="AD1321" s="108">
        <v>0</v>
      </c>
      <c r="AE1321" s="108" t="s">
        <v>37</v>
      </c>
      <c r="AF1321" s="108" t="s">
        <v>43</v>
      </c>
      <c r="AG1321" s="108" t="s">
        <v>38</v>
      </c>
      <c r="AH1321" s="108" t="s">
        <v>92</v>
      </c>
    </row>
    <row r="1322" spans="1:34" x14ac:dyDescent="0.3">
      <c r="A1322" s="118" t="s">
        <v>1945</v>
      </c>
      <c r="B1322" s="119" t="s">
        <v>1966</v>
      </c>
      <c r="C1322" s="119" t="s">
        <v>1967</v>
      </c>
      <c r="D1322" s="120">
        <v>45274</v>
      </c>
      <c r="E1322" s="121">
        <v>357500</v>
      </c>
      <c r="F1322" s="119" t="s">
        <v>32</v>
      </c>
      <c r="G1322" s="119" t="s">
        <v>33</v>
      </c>
      <c r="H1322" s="121">
        <v>357500</v>
      </c>
      <c r="I1322" s="121">
        <v>148200</v>
      </c>
      <c r="J1322" s="122">
        <f t="shared" si="145"/>
        <v>41.454545454545453</v>
      </c>
      <c r="K1322" s="121">
        <v>332707</v>
      </c>
      <c r="L1322" s="121">
        <f>H1322-297707</f>
        <v>59793</v>
      </c>
      <c r="M1322" s="121">
        <v>35000</v>
      </c>
      <c r="N1322" s="123">
        <f t="shared" si="146"/>
        <v>9.7902097902097904E-2</v>
      </c>
      <c r="O1322" s="124">
        <v>55</v>
      </c>
      <c r="P1322" s="125">
        <v>130</v>
      </c>
      <c r="Q1322" s="126">
        <v>0.16400000000000001</v>
      </c>
      <c r="R1322" s="126">
        <v>0.16400000000000001</v>
      </c>
      <c r="S1322" s="121">
        <f t="shared" si="147"/>
        <v>1087.1454545454546</v>
      </c>
      <c r="T1322" s="121">
        <f t="shared" si="148"/>
        <v>364591.46341463411</v>
      </c>
      <c r="U1322" s="127">
        <f t="shared" si="149"/>
        <v>8.3698683061210772</v>
      </c>
      <c r="V1322" s="126">
        <v>55</v>
      </c>
      <c r="W1322" s="126">
        <f t="shared" si="150"/>
        <v>71500</v>
      </c>
      <c r="X1322" s="126">
        <f t="shared" si="151"/>
        <v>1300</v>
      </c>
      <c r="Y1322" s="128" t="s">
        <v>1944</v>
      </c>
      <c r="Z1322" s="119" t="s">
        <v>35</v>
      </c>
      <c r="AA1322" s="119" t="s">
        <v>35</v>
      </c>
      <c r="AB1322" s="119" t="s">
        <v>1945</v>
      </c>
      <c r="AC1322" s="119">
        <v>0</v>
      </c>
      <c r="AD1322" s="119">
        <v>0</v>
      </c>
      <c r="AE1322" s="119" t="s">
        <v>1968</v>
      </c>
      <c r="AF1322" s="119" t="s">
        <v>43</v>
      </c>
      <c r="AG1322" s="119" t="s">
        <v>38</v>
      </c>
      <c r="AH1322" s="119" t="s">
        <v>92</v>
      </c>
    </row>
    <row r="1323" spans="1:34" x14ac:dyDescent="0.3">
      <c r="A1323" s="107" t="s">
        <v>1945</v>
      </c>
      <c r="B1323" s="108" t="s">
        <v>1942</v>
      </c>
      <c r="C1323" s="108" t="s">
        <v>1943</v>
      </c>
      <c r="D1323" s="109">
        <v>45223</v>
      </c>
      <c r="E1323" s="110">
        <v>384000</v>
      </c>
      <c r="F1323" s="108" t="s">
        <v>32</v>
      </c>
      <c r="G1323" s="108" t="s">
        <v>33</v>
      </c>
      <c r="H1323" s="110">
        <v>384000</v>
      </c>
      <c r="I1323" s="110">
        <v>167700</v>
      </c>
      <c r="J1323" s="111">
        <f t="shared" si="145"/>
        <v>43.671875</v>
      </c>
      <c r="K1323" s="110">
        <v>375546</v>
      </c>
      <c r="L1323" s="110">
        <f>H1323-340546</f>
        <v>43454</v>
      </c>
      <c r="M1323" s="110">
        <v>35000</v>
      </c>
      <c r="N1323" s="112">
        <f t="shared" si="146"/>
        <v>9.1145833333333329E-2</v>
      </c>
      <c r="O1323" s="113">
        <v>58</v>
      </c>
      <c r="P1323" s="114">
        <v>133</v>
      </c>
      <c r="Q1323" s="115">
        <v>0.17699999999999999</v>
      </c>
      <c r="R1323" s="115">
        <v>0.17699999999999999</v>
      </c>
      <c r="S1323" s="110">
        <f t="shared" si="147"/>
        <v>749.20689655172418</v>
      </c>
      <c r="T1323" s="110">
        <f t="shared" si="148"/>
        <v>245502.82485875709</v>
      </c>
      <c r="U1323" s="116">
        <f t="shared" si="149"/>
        <v>5.635969349374589</v>
      </c>
      <c r="V1323" s="115">
        <v>58</v>
      </c>
      <c r="W1323" s="115">
        <f t="shared" si="150"/>
        <v>76800</v>
      </c>
      <c r="X1323" s="115">
        <f t="shared" si="151"/>
        <v>1324.1379310344828</v>
      </c>
      <c r="Y1323" s="117" t="s">
        <v>1944</v>
      </c>
      <c r="Z1323" s="108" t="s">
        <v>35</v>
      </c>
      <c r="AA1323" s="108" t="s">
        <v>35</v>
      </c>
      <c r="AB1323" s="108" t="s">
        <v>1945</v>
      </c>
      <c r="AC1323" s="108">
        <v>0</v>
      </c>
      <c r="AD1323" s="108">
        <v>0</v>
      </c>
      <c r="AE1323" s="108" t="s">
        <v>1946</v>
      </c>
      <c r="AF1323" s="108" t="s">
        <v>43</v>
      </c>
      <c r="AG1323" s="108" t="s">
        <v>38</v>
      </c>
      <c r="AH1323" s="108" t="s">
        <v>92</v>
      </c>
    </row>
    <row r="1324" spans="1:34" x14ac:dyDescent="0.3">
      <c r="A1324" s="107" t="s">
        <v>1945</v>
      </c>
      <c r="B1324" s="108" t="s">
        <v>1971</v>
      </c>
      <c r="C1324" s="108" t="s">
        <v>1972</v>
      </c>
      <c r="D1324" s="109">
        <v>45435</v>
      </c>
      <c r="E1324" s="110">
        <v>365682</v>
      </c>
      <c r="F1324" s="108" t="s">
        <v>32</v>
      </c>
      <c r="G1324" s="108" t="s">
        <v>33</v>
      </c>
      <c r="H1324" s="110">
        <v>365682</v>
      </c>
      <c r="I1324" s="110">
        <v>99700</v>
      </c>
      <c r="J1324" s="111">
        <f t="shared" si="145"/>
        <v>27.264125661093519</v>
      </c>
      <c r="K1324" s="110">
        <v>361162</v>
      </c>
      <c r="L1324" s="110">
        <f>H1324-326162</f>
        <v>39520</v>
      </c>
      <c r="M1324" s="110">
        <v>35000</v>
      </c>
      <c r="N1324" s="112">
        <f t="shared" si="146"/>
        <v>9.5711574537439628E-2</v>
      </c>
      <c r="O1324" s="113">
        <v>55</v>
      </c>
      <c r="P1324" s="114">
        <v>125</v>
      </c>
      <c r="Q1324" s="115">
        <v>0.158</v>
      </c>
      <c r="R1324" s="115">
        <v>0.158</v>
      </c>
      <c r="S1324" s="110">
        <f t="shared" si="147"/>
        <v>718.5454545454545</v>
      </c>
      <c r="T1324" s="110">
        <f t="shared" si="148"/>
        <v>250126.58227848102</v>
      </c>
      <c r="U1324" s="116">
        <f t="shared" si="149"/>
        <v>5.7421162139228885</v>
      </c>
      <c r="V1324" s="115">
        <v>55</v>
      </c>
      <c r="W1324" s="115">
        <f t="shared" si="150"/>
        <v>73136.400000000009</v>
      </c>
      <c r="X1324" s="115">
        <f t="shared" si="151"/>
        <v>1329.7527272727275</v>
      </c>
      <c r="Y1324" s="117" t="s">
        <v>1944</v>
      </c>
      <c r="Z1324" s="108" t="s">
        <v>35</v>
      </c>
      <c r="AA1324" s="108" t="s">
        <v>35</v>
      </c>
      <c r="AB1324" s="108" t="s">
        <v>1945</v>
      </c>
      <c r="AC1324" s="108">
        <v>0</v>
      </c>
      <c r="AD1324" s="108">
        <v>0</v>
      </c>
      <c r="AE1324" s="108" t="s">
        <v>37</v>
      </c>
      <c r="AF1324" s="108" t="s">
        <v>43</v>
      </c>
      <c r="AG1324" s="108" t="s">
        <v>38</v>
      </c>
      <c r="AH1324" s="108" t="s">
        <v>92</v>
      </c>
    </row>
    <row r="1325" spans="1:34" x14ac:dyDescent="0.3">
      <c r="A1325" s="118" t="s">
        <v>1945</v>
      </c>
      <c r="B1325" s="119" t="s">
        <v>1973</v>
      </c>
      <c r="C1325" s="119" t="s">
        <v>1974</v>
      </c>
      <c r="D1325" s="120">
        <v>45448</v>
      </c>
      <c r="E1325" s="121">
        <v>382497</v>
      </c>
      <c r="F1325" s="119" t="s">
        <v>32</v>
      </c>
      <c r="G1325" s="119" t="s">
        <v>33</v>
      </c>
      <c r="H1325" s="121">
        <v>382497</v>
      </c>
      <c r="I1325" s="121">
        <v>90900</v>
      </c>
      <c r="J1325" s="122">
        <f t="shared" si="145"/>
        <v>23.764892273664891</v>
      </c>
      <c r="K1325" s="121">
        <v>396776</v>
      </c>
      <c r="L1325" s="121">
        <f>H1325-359276</f>
        <v>23221</v>
      </c>
      <c r="M1325" s="121">
        <v>37500</v>
      </c>
      <c r="N1325" s="123">
        <f t="shared" si="146"/>
        <v>9.8039984627330407E-2</v>
      </c>
      <c r="O1325" s="124">
        <v>55</v>
      </c>
      <c r="P1325" s="125">
        <v>125.04</v>
      </c>
      <c r="Q1325" s="126">
        <v>0.158</v>
      </c>
      <c r="R1325" s="126">
        <v>0.158</v>
      </c>
      <c r="S1325" s="121">
        <f t="shared" si="147"/>
        <v>422.2</v>
      </c>
      <c r="T1325" s="121">
        <f t="shared" si="148"/>
        <v>146968.35443037975</v>
      </c>
      <c r="U1325" s="127">
        <f t="shared" si="149"/>
        <v>3.3739291650684056</v>
      </c>
      <c r="V1325" s="126">
        <v>55</v>
      </c>
      <c r="W1325" s="126">
        <f t="shared" si="150"/>
        <v>76499.400000000009</v>
      </c>
      <c r="X1325" s="126">
        <f t="shared" si="151"/>
        <v>1390.8981818181819</v>
      </c>
      <c r="Y1325" s="128" t="s">
        <v>1944</v>
      </c>
      <c r="Z1325" s="119" t="s">
        <v>35</v>
      </c>
      <c r="AA1325" s="119" t="s">
        <v>35</v>
      </c>
      <c r="AB1325" s="119" t="s">
        <v>1945</v>
      </c>
      <c r="AC1325" s="119">
        <v>0</v>
      </c>
      <c r="AD1325" s="119">
        <v>0</v>
      </c>
      <c r="AE1325" s="119" t="s">
        <v>37</v>
      </c>
      <c r="AF1325" s="119" t="s">
        <v>43</v>
      </c>
      <c r="AG1325" s="119" t="s">
        <v>38</v>
      </c>
      <c r="AH1325" s="119" t="s">
        <v>1951</v>
      </c>
    </row>
    <row r="1326" spans="1:34" x14ac:dyDescent="0.3">
      <c r="A1326" s="118" t="s">
        <v>1945</v>
      </c>
      <c r="B1326" s="119" t="s">
        <v>1964</v>
      </c>
      <c r="C1326" s="119" t="s">
        <v>1965</v>
      </c>
      <c r="D1326" s="120">
        <v>45744</v>
      </c>
      <c r="E1326" s="121">
        <v>386332</v>
      </c>
      <c r="F1326" s="119" t="s">
        <v>32</v>
      </c>
      <c r="G1326" s="119" t="s">
        <v>33</v>
      </c>
      <c r="H1326" s="121">
        <v>386332</v>
      </c>
      <c r="I1326" s="121">
        <v>29300</v>
      </c>
      <c r="J1326" s="122">
        <f t="shared" si="145"/>
        <v>7.5841504198461429</v>
      </c>
      <c r="K1326" s="121">
        <v>330218</v>
      </c>
      <c r="L1326" s="121">
        <f>H1326-292718</f>
        <v>93614</v>
      </c>
      <c r="M1326" s="121">
        <v>37500</v>
      </c>
      <c r="N1326" s="123">
        <f t="shared" si="146"/>
        <v>9.7066771585061551E-2</v>
      </c>
      <c r="O1326" s="124">
        <v>55</v>
      </c>
      <c r="P1326" s="125">
        <v>124.66</v>
      </c>
      <c r="Q1326" s="126">
        <v>0.157</v>
      </c>
      <c r="R1326" s="126">
        <v>0.157</v>
      </c>
      <c r="S1326" s="121">
        <f t="shared" si="147"/>
        <v>1702.0727272727272</v>
      </c>
      <c r="T1326" s="121">
        <f t="shared" si="148"/>
        <v>596267.51592356688</v>
      </c>
      <c r="U1326" s="127">
        <f t="shared" si="149"/>
        <v>13.688418639200341</v>
      </c>
      <c r="V1326" s="126">
        <v>55</v>
      </c>
      <c r="W1326" s="126">
        <f t="shared" si="150"/>
        <v>77266.400000000009</v>
      </c>
      <c r="X1326" s="126">
        <f t="shared" si="151"/>
        <v>1404.8436363636365</v>
      </c>
      <c r="Y1326" s="128" t="s">
        <v>1944</v>
      </c>
      <c r="Z1326" s="119" t="s">
        <v>35</v>
      </c>
      <c r="AA1326" s="119" t="s">
        <v>35</v>
      </c>
      <c r="AB1326" s="119" t="s">
        <v>1945</v>
      </c>
      <c r="AC1326" s="119">
        <v>0</v>
      </c>
      <c r="AD1326" s="119">
        <v>0</v>
      </c>
      <c r="AE1326" s="119" t="s">
        <v>37</v>
      </c>
      <c r="AF1326" s="119" t="s">
        <v>35</v>
      </c>
      <c r="AG1326" s="119" t="s">
        <v>38</v>
      </c>
      <c r="AH1326" s="119" t="s">
        <v>1951</v>
      </c>
    </row>
    <row r="1327" spans="1:34" x14ac:dyDescent="0.3">
      <c r="A1327" s="107" t="s">
        <v>1945</v>
      </c>
      <c r="B1327" s="108" t="s">
        <v>1969</v>
      </c>
      <c r="C1327" s="108" t="s">
        <v>1970</v>
      </c>
      <c r="D1327" s="109">
        <v>45421</v>
      </c>
      <c r="E1327" s="110">
        <v>393972</v>
      </c>
      <c r="F1327" s="108" t="s">
        <v>32</v>
      </c>
      <c r="G1327" s="108" t="s">
        <v>33</v>
      </c>
      <c r="H1327" s="110">
        <v>393972</v>
      </c>
      <c r="I1327" s="110">
        <v>92900</v>
      </c>
      <c r="J1327" s="111">
        <f t="shared" si="145"/>
        <v>23.580355964383255</v>
      </c>
      <c r="K1327" s="110">
        <v>400565</v>
      </c>
      <c r="L1327" s="110">
        <f>H1327-365565</f>
        <v>28407</v>
      </c>
      <c r="M1327" s="110">
        <v>35000</v>
      </c>
      <c r="N1327" s="112">
        <f t="shared" si="146"/>
        <v>8.8838800726955214E-2</v>
      </c>
      <c r="O1327" s="113">
        <v>55.28</v>
      </c>
      <c r="P1327" s="114">
        <v>127.36</v>
      </c>
      <c r="Q1327" s="115">
        <v>0.16200000000000001</v>
      </c>
      <c r="R1327" s="115">
        <v>0.16200000000000001</v>
      </c>
      <c r="S1327" s="110">
        <f t="shared" si="147"/>
        <v>513.8748191027496</v>
      </c>
      <c r="T1327" s="110">
        <f t="shared" si="148"/>
        <v>175351.85185185185</v>
      </c>
      <c r="U1327" s="116">
        <f t="shared" si="149"/>
        <v>4.025524606332687</v>
      </c>
      <c r="V1327" s="115">
        <v>55.28</v>
      </c>
      <c r="W1327" s="115">
        <f t="shared" si="150"/>
        <v>78794.400000000009</v>
      </c>
      <c r="X1327" s="115">
        <f t="shared" si="151"/>
        <v>1425.3690303907381</v>
      </c>
      <c r="Y1327" s="117" t="s">
        <v>1944</v>
      </c>
      <c r="Z1327" s="108" t="s">
        <v>35</v>
      </c>
      <c r="AA1327" s="108" t="s">
        <v>35</v>
      </c>
      <c r="AB1327" s="108" t="s">
        <v>1945</v>
      </c>
      <c r="AC1327" s="108">
        <v>0</v>
      </c>
      <c r="AD1327" s="108">
        <v>0</v>
      </c>
      <c r="AE1327" s="108" t="s">
        <v>37</v>
      </c>
      <c r="AF1327" s="108" t="s">
        <v>43</v>
      </c>
      <c r="AG1327" s="108" t="s">
        <v>38</v>
      </c>
      <c r="AH1327" s="108" t="s">
        <v>92</v>
      </c>
    </row>
    <row r="1328" spans="1:34" ht="15" thickBot="1" x14ac:dyDescent="0.35">
      <c r="A1328" s="118" t="s">
        <v>1945</v>
      </c>
      <c r="B1328" s="119" t="s">
        <v>1956</v>
      </c>
      <c r="C1328" s="119" t="s">
        <v>1957</v>
      </c>
      <c r="D1328" s="120">
        <v>45205</v>
      </c>
      <c r="E1328" s="121">
        <v>388998</v>
      </c>
      <c r="F1328" s="119" t="s">
        <v>32</v>
      </c>
      <c r="G1328" s="119" t="s">
        <v>33</v>
      </c>
      <c r="H1328" s="121">
        <v>388998</v>
      </c>
      <c r="I1328" s="121">
        <v>117100</v>
      </c>
      <c r="J1328" s="122">
        <f t="shared" si="145"/>
        <v>30.102982534614576</v>
      </c>
      <c r="K1328" s="121">
        <v>385309</v>
      </c>
      <c r="L1328" s="121">
        <f>H1328-350309</f>
        <v>38689</v>
      </c>
      <c r="M1328" s="121">
        <v>35000</v>
      </c>
      <c r="N1328" s="123">
        <f t="shared" si="146"/>
        <v>8.9974755654270711E-2</v>
      </c>
      <c r="O1328" s="124">
        <v>101.74</v>
      </c>
      <c r="P1328" s="125">
        <v>137</v>
      </c>
      <c r="Q1328" s="126">
        <v>0.42599999999999999</v>
      </c>
      <c r="R1328" s="126">
        <v>0.42599999999999999</v>
      </c>
      <c r="S1328" s="121">
        <f t="shared" si="147"/>
        <v>380.27324552781602</v>
      </c>
      <c r="T1328" s="121">
        <f t="shared" si="148"/>
        <v>90819.248826291077</v>
      </c>
      <c r="U1328" s="127">
        <f t="shared" si="149"/>
        <v>2.0849230676375363</v>
      </c>
      <c r="V1328" s="126">
        <v>34.049999999999997</v>
      </c>
      <c r="W1328" s="126">
        <f t="shared" si="150"/>
        <v>77799.600000000006</v>
      </c>
      <c r="X1328" s="126">
        <f t="shared" si="151"/>
        <v>2284.8634361233485</v>
      </c>
      <c r="Y1328" s="128" t="s">
        <v>1944</v>
      </c>
      <c r="Z1328" s="119" t="s">
        <v>35</v>
      </c>
      <c r="AA1328" s="119" t="s">
        <v>35</v>
      </c>
      <c r="AB1328" s="119" t="s">
        <v>1945</v>
      </c>
      <c r="AC1328" s="119">
        <v>0</v>
      </c>
      <c r="AD1328" s="119">
        <v>0</v>
      </c>
      <c r="AE1328" s="119" t="s">
        <v>37</v>
      </c>
      <c r="AF1328" s="119" t="s">
        <v>43</v>
      </c>
      <c r="AG1328" s="119" t="s">
        <v>38</v>
      </c>
      <c r="AH1328" s="119" t="s">
        <v>92</v>
      </c>
    </row>
    <row r="1329" spans="1:34" ht="15" thickTop="1" x14ac:dyDescent="0.3">
      <c r="A1329" s="129"/>
      <c r="B1329" s="130"/>
      <c r="C1329" s="130"/>
      <c r="D1329" s="131" t="s">
        <v>2876</v>
      </c>
      <c r="E1329" s="132">
        <f>+SUM(E2:E1328)</f>
        <v>242359691</v>
      </c>
      <c r="F1329" s="130"/>
      <c r="G1329" s="130"/>
      <c r="H1329" s="132">
        <f>+SUM(H2:H1328)</f>
        <v>242359691</v>
      </c>
      <c r="I1329" s="132">
        <f>+SUM(I2:I1328)</f>
        <v>95417800</v>
      </c>
      <c r="J1329" s="133"/>
      <c r="K1329" s="132">
        <f>+SUM(K2:K1328)</f>
        <v>237738688</v>
      </c>
      <c r="L1329" s="132">
        <f>+SUM(L2:L1328)</f>
        <v>23198880</v>
      </c>
      <c r="M1329" s="132">
        <f>+SUM(M2:M1328)</f>
        <v>18551206</v>
      </c>
      <c r="N1329" s="134">
        <f>AVERAGE(N2:N1328)</f>
        <v>0.11571212994685562</v>
      </c>
      <c r="O1329" s="135">
        <f>+SUM(O2:O1328)</f>
        <v>75914.389999999912</v>
      </c>
      <c r="P1329" s="136"/>
      <c r="Q1329" s="137">
        <f>+SUM(Q2:Q1328)</f>
        <v>289.27299999999985</v>
      </c>
      <c r="R1329" s="137">
        <f>+SUM(R2:R1328)</f>
        <v>281.28500000000042</v>
      </c>
      <c r="S1329" s="132"/>
      <c r="T1329" s="132"/>
      <c r="U1329" s="138"/>
      <c r="V1329" s="137"/>
      <c r="W1329" s="139">
        <f>AVERAGE(W2:W1328)</f>
        <v>36527.459080633009</v>
      </c>
      <c r="X1329" s="140">
        <f>AVERAGE(X2:X1328)</f>
        <v>649.3281199946706</v>
      </c>
      <c r="Y1329" s="141"/>
      <c r="Z1329" s="130"/>
      <c r="AA1329" s="130"/>
      <c r="AB1329" s="130"/>
      <c r="AC1329" s="130"/>
      <c r="AD1329" s="130"/>
      <c r="AE1329" s="130"/>
      <c r="AF1329" s="130"/>
      <c r="AG1329" s="130"/>
      <c r="AH1329" s="130"/>
    </row>
    <row r="1330" spans="1:34" x14ac:dyDescent="0.3">
      <c r="A1330" s="142"/>
      <c r="B1330" s="143"/>
      <c r="C1330" s="143"/>
      <c r="D1330" s="144"/>
      <c r="E1330" s="145"/>
      <c r="F1330" s="143"/>
      <c r="G1330" s="143"/>
      <c r="H1330" s="145"/>
      <c r="I1330" s="145" t="s">
        <v>2877</v>
      </c>
      <c r="J1330" s="146">
        <f>I1329/H1329*100</f>
        <v>39.37032581874351</v>
      </c>
      <c r="K1330" s="145"/>
      <c r="L1330" s="145"/>
      <c r="M1330" s="145" t="s">
        <v>2879</v>
      </c>
      <c r="N1330" s="147"/>
      <c r="O1330" s="148"/>
      <c r="P1330" s="149"/>
      <c r="Q1330" s="150" t="s">
        <v>2879</v>
      </c>
      <c r="R1330" s="150"/>
      <c r="S1330" s="145"/>
      <c r="T1330" s="145" t="s">
        <v>2879</v>
      </c>
      <c r="U1330" s="151"/>
      <c r="V1330" s="150"/>
      <c r="W1330" s="152"/>
      <c r="X1330" s="153"/>
      <c r="Y1330" s="154"/>
      <c r="Z1330" s="143"/>
      <c r="AA1330" s="143"/>
      <c r="AB1330" s="143"/>
      <c r="AC1330" s="143"/>
      <c r="AD1330" s="143"/>
      <c r="AE1330" s="143"/>
      <c r="AF1330" s="143"/>
      <c r="AG1330" s="143"/>
      <c r="AH1330" s="143"/>
    </row>
    <row r="1331" spans="1:34" x14ac:dyDescent="0.3">
      <c r="A1331" s="155"/>
      <c r="B1331" s="156"/>
      <c r="C1331" s="156"/>
      <c r="D1331" s="157"/>
      <c r="E1331" s="158"/>
      <c r="F1331" s="156"/>
      <c r="G1331" s="156"/>
      <c r="H1331" s="158"/>
      <c r="I1331" s="158" t="s">
        <v>2878</v>
      </c>
      <c r="J1331" s="159">
        <f>STDEV(J2:J1328)</f>
        <v>37.440825139244176</v>
      </c>
      <c r="K1331" s="158"/>
      <c r="L1331" s="158"/>
      <c r="M1331" s="158" t="s">
        <v>2880</v>
      </c>
      <c r="N1331" s="160"/>
      <c r="O1331" s="161">
        <f>L1329/O1329</f>
        <v>305.59265509477223</v>
      </c>
      <c r="P1331" s="162"/>
      <c r="Q1331" s="163" t="s">
        <v>2881</v>
      </c>
      <c r="R1331" s="163">
        <f>L1329/Q1329</f>
        <v>80197.18397499944</v>
      </c>
      <c r="S1331" s="158"/>
      <c r="T1331" s="158" t="s">
        <v>2882</v>
      </c>
      <c r="U1331" s="164">
        <f>L1329/Q1329/43560</f>
        <v>1.8410740122818972</v>
      </c>
      <c r="V1331" s="163"/>
      <c r="W1331" s="165"/>
      <c r="X1331" s="166"/>
      <c r="Y1331" s="167"/>
      <c r="Z1331" s="156"/>
      <c r="AA1331" s="156"/>
      <c r="AB1331" s="156"/>
      <c r="AC1331" s="156"/>
      <c r="AD1331" s="156"/>
      <c r="AE1331" s="156"/>
      <c r="AF1331" s="156"/>
      <c r="AG1331" s="156"/>
      <c r="AH1331" s="15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50"/>
  </sheetPr>
  <dimension ref="A1:AH116"/>
  <sheetViews>
    <sheetView topLeftCell="A72" workbookViewId="0">
      <selection activeCell="I94" sqref="I9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6640625" bestFit="1" customWidth="1" collapsed="1"/>
    <col min="4" max="4" width="10.88671875" bestFit="1" customWidth="1" collapsed="1"/>
    <col min="5" max="5" width="11.88671875" bestFit="1" customWidth="1" collapsed="1"/>
    <col min="6" max="6" width="5.5546875" bestFit="1" customWidth="1" collapsed="1"/>
    <col min="7" max="7" width="22.88671875" customWidth="1" collapsed="1"/>
    <col min="8" max="8" width="11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4.33203125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267</v>
      </c>
      <c r="B2" s="19" t="s">
        <v>493</v>
      </c>
      <c r="C2" s="19" t="s">
        <v>494</v>
      </c>
      <c r="D2" s="20">
        <v>45722</v>
      </c>
      <c r="E2" s="21">
        <v>179900</v>
      </c>
      <c r="F2" s="19" t="s">
        <v>32</v>
      </c>
      <c r="G2" s="19" t="s">
        <v>33</v>
      </c>
      <c r="H2" s="21">
        <v>179900</v>
      </c>
      <c r="I2" s="21">
        <v>97600</v>
      </c>
      <c r="J2" s="22">
        <f t="shared" ref="J2:J31" si="0">I2/H2*100</f>
        <v>54.252362423568648</v>
      </c>
      <c r="K2" s="21">
        <v>214183</v>
      </c>
      <c r="L2" s="21">
        <f>H2-201525</f>
        <v>-21625</v>
      </c>
      <c r="M2" s="21">
        <v>12658</v>
      </c>
      <c r="N2" s="67">
        <f t="shared" ref="N2:N31" si="1">M2/E2</f>
        <v>7.0361311839911067E-2</v>
      </c>
      <c r="O2" s="23">
        <v>62.35</v>
      </c>
      <c r="P2" s="24">
        <v>135</v>
      </c>
      <c r="Q2" s="25">
        <v>0.186</v>
      </c>
      <c r="R2" s="25">
        <v>0.186</v>
      </c>
      <c r="S2" s="21">
        <f t="shared" ref="S2:S31" si="2">L2/O2</f>
        <v>-346.83239775461107</v>
      </c>
      <c r="T2" s="21">
        <f t="shared" ref="T2:T31" si="3">L2/Q2</f>
        <v>-116263.44086021505</v>
      </c>
      <c r="U2" s="26">
        <f t="shared" ref="U2:U31" si="4">L2/Q2/43560</f>
        <v>-2.6690413420618699</v>
      </c>
      <c r="V2" s="25">
        <v>60</v>
      </c>
      <c r="W2" s="25">
        <f t="shared" ref="W2:W31" si="5">0.2*E2</f>
        <v>35980</v>
      </c>
      <c r="X2" s="25">
        <f t="shared" ref="X2:X31" si="6">W2/V2</f>
        <v>599.66666666666663</v>
      </c>
      <c r="Y2" s="27" t="s">
        <v>266</v>
      </c>
      <c r="Z2" s="19" t="s">
        <v>35</v>
      </c>
      <c r="AA2" s="19" t="s">
        <v>35</v>
      </c>
      <c r="AB2" s="19" t="s">
        <v>267</v>
      </c>
      <c r="AC2" s="19">
        <v>0</v>
      </c>
      <c r="AD2" s="19">
        <v>1</v>
      </c>
      <c r="AE2" s="19" t="s">
        <v>42</v>
      </c>
      <c r="AF2" s="19" t="s">
        <v>35</v>
      </c>
      <c r="AG2" s="19" t="s">
        <v>38</v>
      </c>
      <c r="AH2" s="19" t="s">
        <v>92</v>
      </c>
    </row>
    <row r="3" spans="1:34" x14ac:dyDescent="0.3">
      <c r="A3" s="75" t="s">
        <v>267</v>
      </c>
      <c r="B3" s="19" t="s">
        <v>470</v>
      </c>
      <c r="C3" s="19" t="s">
        <v>471</v>
      </c>
      <c r="D3" s="20">
        <v>45415</v>
      </c>
      <c r="E3" s="21">
        <v>95000</v>
      </c>
      <c r="F3" s="19" t="s">
        <v>32</v>
      </c>
      <c r="G3" s="19" t="s">
        <v>33</v>
      </c>
      <c r="H3" s="21">
        <v>95000</v>
      </c>
      <c r="I3" s="21">
        <v>52200</v>
      </c>
      <c r="J3" s="22">
        <f t="shared" si="0"/>
        <v>54.94736842105263</v>
      </c>
      <c r="K3" s="21">
        <v>117693</v>
      </c>
      <c r="L3" s="21">
        <f>H3-109254</f>
        <v>-14254</v>
      </c>
      <c r="M3" s="21">
        <v>8439</v>
      </c>
      <c r="N3" s="67">
        <f t="shared" si="1"/>
        <v>8.8831578947368414E-2</v>
      </c>
      <c r="O3" s="23">
        <v>41.56</v>
      </c>
      <c r="P3" s="24">
        <v>135</v>
      </c>
      <c r="Q3" s="25">
        <v>0.124</v>
      </c>
      <c r="R3" s="25">
        <v>0.124</v>
      </c>
      <c r="S3" s="21">
        <f t="shared" si="2"/>
        <v>-342.97401347449471</v>
      </c>
      <c r="T3" s="21">
        <f t="shared" si="3"/>
        <v>-114951.6129032258</v>
      </c>
      <c r="U3" s="26">
        <f t="shared" si="4"/>
        <v>-2.6389259160520155</v>
      </c>
      <c r="V3" s="25">
        <v>40</v>
      </c>
      <c r="W3" s="25">
        <f t="shared" si="5"/>
        <v>19000</v>
      </c>
      <c r="X3" s="25">
        <f t="shared" si="6"/>
        <v>475</v>
      </c>
      <c r="Y3" s="27" t="s">
        <v>266</v>
      </c>
      <c r="Z3" s="19" t="s">
        <v>35</v>
      </c>
      <c r="AA3" s="19" t="s">
        <v>35</v>
      </c>
      <c r="AB3" s="19" t="s">
        <v>267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267</v>
      </c>
      <c r="B4" s="19" t="s">
        <v>447</v>
      </c>
      <c r="C4" s="19" t="s">
        <v>448</v>
      </c>
      <c r="D4" s="20">
        <v>45727</v>
      </c>
      <c r="E4" s="21">
        <v>107500</v>
      </c>
      <c r="F4" s="19" t="s">
        <v>32</v>
      </c>
      <c r="G4" s="19" t="s">
        <v>33</v>
      </c>
      <c r="H4" s="21">
        <v>107500</v>
      </c>
      <c r="I4" s="21">
        <v>56800</v>
      </c>
      <c r="J4" s="22">
        <f t="shared" si="0"/>
        <v>52.837209302325583</v>
      </c>
      <c r="K4" s="21">
        <v>128179</v>
      </c>
      <c r="L4" s="21">
        <f>H4-119740</f>
        <v>-12240</v>
      </c>
      <c r="M4" s="21">
        <v>8439</v>
      </c>
      <c r="N4" s="67">
        <f t="shared" si="1"/>
        <v>7.8502325581395346E-2</v>
      </c>
      <c r="O4" s="23">
        <v>41.56</v>
      </c>
      <c r="P4" s="24">
        <v>135</v>
      </c>
      <c r="Q4" s="25">
        <v>0.124</v>
      </c>
      <c r="R4" s="25">
        <v>0.124</v>
      </c>
      <c r="S4" s="21">
        <f t="shared" si="2"/>
        <v>-294.51395572666024</v>
      </c>
      <c r="T4" s="21">
        <f t="shared" si="3"/>
        <v>-98709.677419354834</v>
      </c>
      <c r="U4" s="26">
        <f t="shared" si="4"/>
        <v>-2.266062383364436</v>
      </c>
      <c r="V4" s="25">
        <v>40</v>
      </c>
      <c r="W4" s="25">
        <f t="shared" si="5"/>
        <v>21500</v>
      </c>
      <c r="X4" s="25">
        <f t="shared" si="6"/>
        <v>537.5</v>
      </c>
      <c r="Y4" s="27" t="s">
        <v>266</v>
      </c>
      <c r="Z4" s="19" t="s">
        <v>35</v>
      </c>
      <c r="AA4" s="19" t="s">
        <v>35</v>
      </c>
      <c r="AB4" s="19" t="s">
        <v>267</v>
      </c>
      <c r="AC4" s="19">
        <v>0</v>
      </c>
      <c r="AD4" s="19">
        <v>1</v>
      </c>
      <c r="AE4" s="19" t="s">
        <v>37</v>
      </c>
      <c r="AF4" s="19" t="s">
        <v>35</v>
      </c>
      <c r="AG4" s="19" t="s">
        <v>38</v>
      </c>
      <c r="AH4" s="19" t="s">
        <v>92</v>
      </c>
    </row>
    <row r="5" spans="1:34" x14ac:dyDescent="0.3">
      <c r="A5" s="74" t="s">
        <v>267</v>
      </c>
      <c r="B5" s="10" t="s">
        <v>489</v>
      </c>
      <c r="C5" s="10" t="s">
        <v>490</v>
      </c>
      <c r="D5" s="11">
        <v>45160</v>
      </c>
      <c r="E5" s="12">
        <v>100000</v>
      </c>
      <c r="F5" s="10" t="s">
        <v>32</v>
      </c>
      <c r="G5" s="10" t="s">
        <v>33</v>
      </c>
      <c r="H5" s="12">
        <v>100000</v>
      </c>
      <c r="I5" s="12">
        <v>46400</v>
      </c>
      <c r="J5" s="13">
        <f t="shared" si="0"/>
        <v>46.400000000000006</v>
      </c>
      <c r="K5" s="12">
        <v>122894</v>
      </c>
      <c r="L5" s="12">
        <f>H5-113401</f>
        <v>-13401</v>
      </c>
      <c r="M5" s="12">
        <v>9493</v>
      </c>
      <c r="N5" s="66">
        <f t="shared" si="1"/>
        <v>9.493E-2</v>
      </c>
      <c r="O5" s="14">
        <v>46.76</v>
      </c>
      <c r="P5" s="15">
        <v>135</v>
      </c>
      <c r="Q5" s="16">
        <v>0.13900000000000001</v>
      </c>
      <c r="R5" s="16">
        <v>0.13900000000000001</v>
      </c>
      <c r="S5" s="12">
        <f t="shared" si="2"/>
        <v>-286.59110350727116</v>
      </c>
      <c r="T5" s="12">
        <f t="shared" si="3"/>
        <v>-96410.07194244604</v>
      </c>
      <c r="U5" s="17">
        <f t="shared" si="4"/>
        <v>-2.2132707057494501</v>
      </c>
      <c r="V5" s="16">
        <v>45</v>
      </c>
      <c r="W5" s="16">
        <f t="shared" si="5"/>
        <v>20000</v>
      </c>
      <c r="X5" s="16">
        <f t="shared" si="6"/>
        <v>444.44444444444446</v>
      </c>
      <c r="Y5" s="18" t="s">
        <v>266</v>
      </c>
      <c r="Z5" s="10" t="s">
        <v>35</v>
      </c>
      <c r="AA5" s="10" t="s">
        <v>35</v>
      </c>
      <c r="AB5" s="10" t="s">
        <v>267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267</v>
      </c>
      <c r="B6" s="19" t="s">
        <v>546</v>
      </c>
      <c r="C6" s="19" t="s">
        <v>547</v>
      </c>
      <c r="D6" s="20">
        <v>45184</v>
      </c>
      <c r="E6" s="21">
        <v>110000</v>
      </c>
      <c r="F6" s="19" t="s">
        <v>32</v>
      </c>
      <c r="G6" s="19" t="s">
        <v>33</v>
      </c>
      <c r="H6" s="21">
        <v>110000</v>
      </c>
      <c r="I6" s="21">
        <v>51800</v>
      </c>
      <c r="J6" s="22">
        <f t="shared" si="0"/>
        <v>47.090909090909086</v>
      </c>
      <c r="K6" s="21">
        <v>137093</v>
      </c>
      <c r="L6" s="21">
        <f>H6-125663</f>
        <v>-15663</v>
      </c>
      <c r="M6" s="21">
        <v>11430</v>
      </c>
      <c r="N6" s="67">
        <f t="shared" si="1"/>
        <v>0.10390909090909091</v>
      </c>
      <c r="O6" s="23">
        <v>56.3</v>
      </c>
      <c r="P6" s="24">
        <v>130</v>
      </c>
      <c r="Q6" s="25">
        <v>0.16400000000000001</v>
      </c>
      <c r="R6" s="25">
        <v>0.16400000000000001</v>
      </c>
      <c r="S6" s="21">
        <f t="shared" si="2"/>
        <v>-278.20603907637656</v>
      </c>
      <c r="T6" s="21">
        <f t="shared" si="3"/>
        <v>-95506.097560975599</v>
      </c>
      <c r="U6" s="26">
        <f t="shared" si="4"/>
        <v>-2.1925183094806151</v>
      </c>
      <c r="V6" s="25">
        <v>55.77</v>
      </c>
      <c r="W6" s="25">
        <f t="shared" si="5"/>
        <v>22000</v>
      </c>
      <c r="X6" s="25">
        <f t="shared" si="6"/>
        <v>394.47731755424059</v>
      </c>
      <c r="Y6" s="27" t="s">
        <v>266</v>
      </c>
      <c r="Z6" s="19" t="s">
        <v>35</v>
      </c>
      <c r="AA6" s="19" t="s">
        <v>35</v>
      </c>
      <c r="AB6" s="19" t="s">
        <v>267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267</v>
      </c>
      <c r="B7" s="10" t="s">
        <v>283</v>
      </c>
      <c r="C7" s="10" t="s">
        <v>284</v>
      </c>
      <c r="D7" s="11">
        <v>45055</v>
      </c>
      <c r="E7" s="12">
        <v>117500</v>
      </c>
      <c r="F7" s="10" t="s">
        <v>32</v>
      </c>
      <c r="G7" s="10" t="s">
        <v>33</v>
      </c>
      <c r="H7" s="12">
        <v>117500</v>
      </c>
      <c r="I7" s="12">
        <v>54300</v>
      </c>
      <c r="J7" s="13">
        <f t="shared" si="0"/>
        <v>46.212765957446813</v>
      </c>
      <c r="K7" s="12">
        <v>135897</v>
      </c>
      <c r="L7" s="12">
        <f>H7-127584</f>
        <v>-10084</v>
      </c>
      <c r="M7" s="12">
        <v>8313</v>
      </c>
      <c r="N7" s="66">
        <f t="shared" si="1"/>
        <v>7.0748936170212773E-2</v>
      </c>
      <c r="O7" s="14">
        <v>40.94</v>
      </c>
      <c r="P7" s="15">
        <v>131</v>
      </c>
      <c r="Q7" s="16">
        <v>0.12</v>
      </c>
      <c r="R7" s="16">
        <v>0.12</v>
      </c>
      <c r="S7" s="12">
        <f t="shared" si="2"/>
        <v>-246.31167562286274</v>
      </c>
      <c r="T7" s="12">
        <f t="shared" si="3"/>
        <v>-84033.333333333343</v>
      </c>
      <c r="U7" s="17">
        <f t="shared" si="4"/>
        <v>-1.9291398836853384</v>
      </c>
      <c r="V7" s="16">
        <v>40</v>
      </c>
      <c r="W7" s="16">
        <f t="shared" si="5"/>
        <v>23500</v>
      </c>
      <c r="X7" s="16">
        <f t="shared" si="6"/>
        <v>587.5</v>
      </c>
      <c r="Y7" s="18" t="s">
        <v>266</v>
      </c>
      <c r="Z7" s="10" t="s">
        <v>35</v>
      </c>
      <c r="AA7" s="10" t="s">
        <v>35</v>
      </c>
      <c r="AB7" s="10" t="s">
        <v>267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267</v>
      </c>
      <c r="B8" s="10" t="s">
        <v>544</v>
      </c>
      <c r="C8" s="10" t="s">
        <v>545</v>
      </c>
      <c r="D8" s="11">
        <v>45737</v>
      </c>
      <c r="E8" s="12">
        <v>103000</v>
      </c>
      <c r="F8" s="10" t="s">
        <v>32</v>
      </c>
      <c r="G8" s="10" t="s">
        <v>33</v>
      </c>
      <c r="H8" s="12">
        <v>103000</v>
      </c>
      <c r="I8" s="12">
        <v>55800</v>
      </c>
      <c r="J8" s="13">
        <f t="shared" si="0"/>
        <v>54.174757281553397</v>
      </c>
      <c r="K8" s="12">
        <v>125798</v>
      </c>
      <c r="L8" s="12">
        <f>H8-115447</f>
        <v>-12447</v>
      </c>
      <c r="M8" s="12">
        <v>10351</v>
      </c>
      <c r="N8" s="66">
        <f t="shared" si="1"/>
        <v>0.10049514563106796</v>
      </c>
      <c r="O8" s="14">
        <v>50.99</v>
      </c>
      <c r="P8" s="15">
        <v>130</v>
      </c>
      <c r="Q8" s="16">
        <v>0.14899999999999999</v>
      </c>
      <c r="R8" s="16">
        <v>0.14899999999999999</v>
      </c>
      <c r="S8" s="12">
        <f t="shared" si="2"/>
        <v>-244.10668758580113</v>
      </c>
      <c r="T8" s="12">
        <f t="shared" si="3"/>
        <v>-83536.912751677854</v>
      </c>
      <c r="U8" s="17">
        <f t="shared" si="4"/>
        <v>-1.9177436352543125</v>
      </c>
      <c r="V8" s="16">
        <v>50</v>
      </c>
      <c r="W8" s="16">
        <f t="shared" si="5"/>
        <v>20600</v>
      </c>
      <c r="X8" s="16">
        <f t="shared" si="6"/>
        <v>412</v>
      </c>
      <c r="Y8" s="18" t="s">
        <v>266</v>
      </c>
      <c r="Z8" s="10" t="s">
        <v>35</v>
      </c>
      <c r="AA8" s="10" t="s">
        <v>35</v>
      </c>
      <c r="AB8" s="10" t="s">
        <v>267</v>
      </c>
      <c r="AC8" s="10">
        <v>0</v>
      </c>
      <c r="AD8" s="10">
        <v>1</v>
      </c>
      <c r="AE8" s="10" t="s">
        <v>37</v>
      </c>
      <c r="AF8" s="10" t="s">
        <v>35</v>
      </c>
      <c r="AG8" s="10" t="s">
        <v>38</v>
      </c>
      <c r="AH8" s="10" t="s">
        <v>92</v>
      </c>
    </row>
    <row r="9" spans="1:34" x14ac:dyDescent="0.3">
      <c r="A9" s="74" t="s">
        <v>267</v>
      </c>
      <c r="B9" s="10" t="s">
        <v>483</v>
      </c>
      <c r="C9" s="10" t="s">
        <v>484</v>
      </c>
      <c r="D9" s="11">
        <v>45720</v>
      </c>
      <c r="E9" s="12">
        <v>115000</v>
      </c>
      <c r="F9" s="10" t="s">
        <v>32</v>
      </c>
      <c r="G9" s="10" t="s">
        <v>33</v>
      </c>
      <c r="H9" s="12">
        <v>115000</v>
      </c>
      <c r="I9" s="12">
        <v>59600</v>
      </c>
      <c r="J9" s="13">
        <f t="shared" si="0"/>
        <v>51.826086956521742</v>
      </c>
      <c r="K9" s="12">
        <v>134061</v>
      </c>
      <c r="L9" s="12">
        <f>H9-125255</f>
        <v>-10255</v>
      </c>
      <c r="M9" s="12">
        <v>8806</v>
      </c>
      <c r="N9" s="66">
        <f t="shared" si="1"/>
        <v>7.6573913043478256E-2</v>
      </c>
      <c r="O9" s="14">
        <v>43.37</v>
      </c>
      <c r="P9" s="15">
        <v>147</v>
      </c>
      <c r="Q9" s="16">
        <v>0.13500000000000001</v>
      </c>
      <c r="R9" s="16">
        <v>0.13500000000000001</v>
      </c>
      <c r="S9" s="12">
        <f t="shared" si="2"/>
        <v>-236.45376988701869</v>
      </c>
      <c r="T9" s="12">
        <f t="shared" si="3"/>
        <v>-75962.962962962964</v>
      </c>
      <c r="U9" s="17">
        <f t="shared" si="4"/>
        <v>-1.7438696731626024</v>
      </c>
      <c r="V9" s="16">
        <v>40</v>
      </c>
      <c r="W9" s="16">
        <f t="shared" si="5"/>
        <v>23000</v>
      </c>
      <c r="X9" s="16">
        <f t="shared" si="6"/>
        <v>575</v>
      </c>
      <c r="Y9" s="18" t="s">
        <v>266</v>
      </c>
      <c r="Z9" s="10" t="s">
        <v>35</v>
      </c>
      <c r="AA9" s="10" t="s">
        <v>35</v>
      </c>
      <c r="AB9" s="10" t="s">
        <v>267</v>
      </c>
      <c r="AC9" s="10">
        <v>0</v>
      </c>
      <c r="AD9" s="10">
        <v>1</v>
      </c>
      <c r="AE9" s="10" t="s">
        <v>42</v>
      </c>
      <c r="AF9" s="10" t="s">
        <v>35</v>
      </c>
      <c r="AG9" s="10" t="s">
        <v>38</v>
      </c>
      <c r="AH9" s="10" t="s">
        <v>92</v>
      </c>
    </row>
    <row r="10" spans="1:34" x14ac:dyDescent="0.3">
      <c r="A10" s="74" t="s">
        <v>267</v>
      </c>
      <c r="B10" s="10" t="s">
        <v>457</v>
      </c>
      <c r="C10" s="10" t="s">
        <v>458</v>
      </c>
      <c r="D10" s="11">
        <v>45642</v>
      </c>
      <c r="E10" s="12">
        <v>150000</v>
      </c>
      <c r="F10" s="10" t="s">
        <v>32</v>
      </c>
      <c r="G10" s="10" t="s">
        <v>66</v>
      </c>
      <c r="H10" s="12">
        <v>150000</v>
      </c>
      <c r="I10" s="12">
        <v>85500</v>
      </c>
      <c r="J10" s="13">
        <f t="shared" si="0"/>
        <v>56.999999999999993</v>
      </c>
      <c r="K10" s="12">
        <v>193096</v>
      </c>
      <c r="L10" s="12">
        <f>H10-164898</f>
        <v>-14898</v>
      </c>
      <c r="M10" s="12">
        <v>17374</v>
      </c>
      <c r="N10" s="66">
        <f t="shared" si="1"/>
        <v>0.11582666666666666</v>
      </c>
      <c r="O10" s="14">
        <v>85.58</v>
      </c>
      <c r="P10" s="15">
        <v>252.92</v>
      </c>
      <c r="Q10" s="16">
        <v>0.248</v>
      </c>
      <c r="R10" s="16">
        <v>0.111</v>
      </c>
      <c r="S10" s="12">
        <f t="shared" si="2"/>
        <v>-174.08272960972189</v>
      </c>
      <c r="T10" s="12">
        <f t="shared" si="3"/>
        <v>-60072.580645161288</v>
      </c>
      <c r="U10" s="17">
        <f t="shared" si="4"/>
        <v>-1.3790766906602683</v>
      </c>
      <c r="V10" s="16">
        <v>85</v>
      </c>
      <c r="W10" s="16">
        <f t="shared" si="5"/>
        <v>30000</v>
      </c>
      <c r="X10" s="16">
        <f t="shared" si="6"/>
        <v>352.94117647058823</v>
      </c>
      <c r="Y10" s="18" t="s">
        <v>266</v>
      </c>
      <c r="Z10" s="10" t="s">
        <v>35</v>
      </c>
      <c r="AA10" s="10" t="s">
        <v>459</v>
      </c>
      <c r="AB10" s="10" t="s">
        <v>267</v>
      </c>
      <c r="AC10" s="10">
        <v>0</v>
      </c>
      <c r="AD10" s="10">
        <v>1</v>
      </c>
      <c r="AE10" s="10" t="s">
        <v>37</v>
      </c>
      <c r="AF10" s="10" t="s">
        <v>35</v>
      </c>
      <c r="AG10" s="10" t="s">
        <v>38</v>
      </c>
      <c r="AH10" s="10" t="s">
        <v>92</v>
      </c>
    </row>
    <row r="11" spans="1:34" x14ac:dyDescent="0.3">
      <c r="A11" s="74" t="s">
        <v>267</v>
      </c>
      <c r="B11" s="10" t="s">
        <v>468</v>
      </c>
      <c r="C11" s="10" t="s">
        <v>469</v>
      </c>
      <c r="D11" s="11">
        <v>45596</v>
      </c>
      <c r="E11" s="12">
        <v>85000</v>
      </c>
      <c r="F11" s="10" t="s">
        <v>32</v>
      </c>
      <c r="G11" s="10" t="s">
        <v>33</v>
      </c>
      <c r="H11" s="12">
        <v>85000</v>
      </c>
      <c r="I11" s="12">
        <v>46200</v>
      </c>
      <c r="J11" s="13">
        <f t="shared" si="0"/>
        <v>54.352941176470594</v>
      </c>
      <c r="K11" s="12">
        <v>103810</v>
      </c>
      <c r="L11" s="12">
        <f>H11-93262</f>
        <v>-8262</v>
      </c>
      <c r="M11" s="12">
        <v>10548</v>
      </c>
      <c r="N11" s="66">
        <f t="shared" si="1"/>
        <v>0.12409411764705883</v>
      </c>
      <c r="O11" s="14">
        <v>51.96</v>
      </c>
      <c r="P11" s="15">
        <v>135</v>
      </c>
      <c r="Q11" s="16">
        <v>0.155</v>
      </c>
      <c r="R11" s="16">
        <v>0.155</v>
      </c>
      <c r="S11" s="12">
        <f t="shared" si="2"/>
        <v>-159.0069284064665</v>
      </c>
      <c r="T11" s="12">
        <f t="shared" si="3"/>
        <v>-53303.225806451614</v>
      </c>
      <c r="U11" s="17">
        <f t="shared" si="4"/>
        <v>-1.2236736870167955</v>
      </c>
      <c r="V11" s="16">
        <v>50</v>
      </c>
      <c r="W11" s="16">
        <f t="shared" si="5"/>
        <v>17000</v>
      </c>
      <c r="X11" s="16">
        <f t="shared" si="6"/>
        <v>340</v>
      </c>
      <c r="Y11" s="18" t="s">
        <v>266</v>
      </c>
      <c r="Z11" s="10" t="s">
        <v>35</v>
      </c>
      <c r="AA11" s="10" t="s">
        <v>35</v>
      </c>
      <c r="AB11" s="10" t="s">
        <v>267</v>
      </c>
      <c r="AC11" s="10">
        <v>0</v>
      </c>
      <c r="AD11" s="10">
        <v>1</v>
      </c>
      <c r="AE11" s="10" t="s">
        <v>42</v>
      </c>
      <c r="AF11" s="10" t="s">
        <v>35</v>
      </c>
      <c r="AG11" s="10" t="s">
        <v>38</v>
      </c>
      <c r="AH11" s="10" t="s">
        <v>92</v>
      </c>
    </row>
    <row r="12" spans="1:34" x14ac:dyDescent="0.3">
      <c r="A12" s="74" t="s">
        <v>267</v>
      </c>
      <c r="B12" s="10" t="s">
        <v>298</v>
      </c>
      <c r="C12" s="10" t="s">
        <v>299</v>
      </c>
      <c r="D12" s="11">
        <v>45107</v>
      </c>
      <c r="E12" s="12">
        <v>130000</v>
      </c>
      <c r="F12" s="10" t="s">
        <v>32</v>
      </c>
      <c r="G12" s="10" t="s">
        <v>33</v>
      </c>
      <c r="H12" s="12">
        <v>130000</v>
      </c>
      <c r="I12" s="12">
        <v>54300</v>
      </c>
      <c r="J12" s="13">
        <f t="shared" si="0"/>
        <v>41.769230769230766</v>
      </c>
      <c r="K12" s="12">
        <v>144472</v>
      </c>
      <c r="L12" s="12">
        <f>H12-136159</f>
        <v>-6159</v>
      </c>
      <c r="M12" s="12">
        <v>8313</v>
      </c>
      <c r="N12" s="66">
        <f t="shared" si="1"/>
        <v>6.3946153846153847E-2</v>
      </c>
      <c r="O12" s="14">
        <v>40.94</v>
      </c>
      <c r="P12" s="15">
        <v>131</v>
      </c>
      <c r="Q12" s="16">
        <v>0.12</v>
      </c>
      <c r="R12" s="16">
        <v>0.12</v>
      </c>
      <c r="S12" s="12">
        <f t="shared" si="2"/>
        <v>-150.43966780654617</v>
      </c>
      <c r="T12" s="12">
        <f t="shared" si="3"/>
        <v>-51325</v>
      </c>
      <c r="U12" s="17">
        <f t="shared" si="4"/>
        <v>-1.1782598714416896</v>
      </c>
      <c r="V12" s="16">
        <v>40</v>
      </c>
      <c r="W12" s="16">
        <f t="shared" si="5"/>
        <v>26000</v>
      </c>
      <c r="X12" s="16">
        <f t="shared" si="6"/>
        <v>650</v>
      </c>
      <c r="Y12" s="18" t="s">
        <v>266</v>
      </c>
      <c r="Z12" s="10" t="s">
        <v>35</v>
      </c>
      <c r="AA12" s="10" t="s">
        <v>35</v>
      </c>
      <c r="AB12" s="10" t="s">
        <v>267</v>
      </c>
      <c r="AC12" s="10">
        <v>0</v>
      </c>
      <c r="AD12" s="10">
        <v>1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5" t="s">
        <v>267</v>
      </c>
      <c r="B13" s="19" t="s">
        <v>580</v>
      </c>
      <c r="C13" s="19" t="s">
        <v>581</v>
      </c>
      <c r="D13" s="20">
        <v>45495</v>
      </c>
      <c r="E13" s="21">
        <v>125000</v>
      </c>
      <c r="F13" s="19" t="s">
        <v>32</v>
      </c>
      <c r="G13" s="19" t="s">
        <v>33</v>
      </c>
      <c r="H13" s="21">
        <v>125000</v>
      </c>
      <c r="I13" s="21">
        <v>62100</v>
      </c>
      <c r="J13" s="22">
        <f t="shared" si="0"/>
        <v>49.68</v>
      </c>
      <c r="K13" s="21">
        <v>136222</v>
      </c>
      <c r="L13" s="21">
        <f>H13-127785</f>
        <v>-2785</v>
      </c>
      <c r="M13" s="21">
        <v>8437</v>
      </c>
      <c r="N13" s="67">
        <f t="shared" si="1"/>
        <v>6.7496E-2</v>
      </c>
      <c r="O13" s="23">
        <v>41.55</v>
      </c>
      <c r="P13" s="24">
        <v>134.94</v>
      </c>
      <c r="Q13" s="25">
        <v>0.124</v>
      </c>
      <c r="R13" s="25">
        <v>0.124</v>
      </c>
      <c r="S13" s="21">
        <f t="shared" si="2"/>
        <v>-67.027677496991586</v>
      </c>
      <c r="T13" s="21">
        <f t="shared" si="3"/>
        <v>-22459.677419354837</v>
      </c>
      <c r="U13" s="26">
        <f t="shared" si="4"/>
        <v>-0.5156032465416629</v>
      </c>
      <c r="V13" s="25">
        <v>40</v>
      </c>
      <c r="W13" s="25">
        <f t="shared" si="5"/>
        <v>25000</v>
      </c>
      <c r="X13" s="25">
        <f t="shared" si="6"/>
        <v>625</v>
      </c>
      <c r="Y13" s="27" t="s">
        <v>266</v>
      </c>
      <c r="Z13" s="19" t="s">
        <v>35</v>
      </c>
      <c r="AA13" s="19" t="s">
        <v>35</v>
      </c>
      <c r="AB13" s="19" t="s">
        <v>267</v>
      </c>
      <c r="AC13" s="19">
        <v>0</v>
      </c>
      <c r="AD13" s="19">
        <v>1</v>
      </c>
      <c r="AE13" s="19" t="s">
        <v>37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4" t="s">
        <v>267</v>
      </c>
      <c r="B14" s="10" t="s">
        <v>449</v>
      </c>
      <c r="C14" s="10" t="s">
        <v>450</v>
      </c>
      <c r="D14" s="11">
        <v>45076</v>
      </c>
      <c r="E14" s="12">
        <v>140000</v>
      </c>
      <c r="F14" s="10" t="s">
        <v>32</v>
      </c>
      <c r="G14" s="10" t="s">
        <v>33</v>
      </c>
      <c r="H14" s="12">
        <v>140000</v>
      </c>
      <c r="I14" s="12">
        <v>58900</v>
      </c>
      <c r="J14" s="13">
        <f t="shared" si="0"/>
        <v>42.071428571428569</v>
      </c>
      <c r="K14" s="12">
        <v>150895</v>
      </c>
      <c r="L14" s="12">
        <f>H14-142456</f>
        <v>-2456</v>
      </c>
      <c r="M14" s="12">
        <v>8439</v>
      </c>
      <c r="N14" s="66">
        <f t="shared" si="1"/>
        <v>6.0278571428571431E-2</v>
      </c>
      <c r="O14" s="14">
        <v>41.56</v>
      </c>
      <c r="P14" s="15">
        <v>135</v>
      </c>
      <c r="Q14" s="16">
        <v>0.124</v>
      </c>
      <c r="R14" s="16">
        <v>0.124</v>
      </c>
      <c r="S14" s="12">
        <f t="shared" si="2"/>
        <v>-59.095283926852737</v>
      </c>
      <c r="T14" s="12">
        <f t="shared" si="3"/>
        <v>-19806.451612903227</v>
      </c>
      <c r="U14" s="17">
        <f t="shared" si="4"/>
        <v>-0.45469356319796206</v>
      </c>
      <c r="V14" s="16">
        <v>40</v>
      </c>
      <c r="W14" s="16">
        <f t="shared" si="5"/>
        <v>28000</v>
      </c>
      <c r="X14" s="16">
        <f t="shared" si="6"/>
        <v>700</v>
      </c>
      <c r="Y14" s="18" t="s">
        <v>266</v>
      </c>
      <c r="Z14" s="10" t="s">
        <v>35</v>
      </c>
      <c r="AA14" s="10" t="s">
        <v>35</v>
      </c>
      <c r="AB14" s="10" t="s">
        <v>267</v>
      </c>
      <c r="AC14" s="10">
        <v>0</v>
      </c>
      <c r="AD14" s="10">
        <v>1</v>
      </c>
      <c r="AE14" s="10" t="s">
        <v>37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4" t="s">
        <v>267</v>
      </c>
      <c r="B15" s="10" t="s">
        <v>586</v>
      </c>
      <c r="C15" s="10" t="s">
        <v>587</v>
      </c>
      <c r="D15" s="11">
        <v>45497</v>
      </c>
      <c r="E15" s="12">
        <v>96500</v>
      </c>
      <c r="F15" s="10" t="s">
        <v>32</v>
      </c>
      <c r="G15" s="10" t="s">
        <v>33</v>
      </c>
      <c r="H15" s="12">
        <v>96500</v>
      </c>
      <c r="I15" s="12">
        <v>51900</v>
      </c>
      <c r="J15" s="13">
        <f t="shared" si="0"/>
        <v>53.782383419689118</v>
      </c>
      <c r="K15" s="12">
        <v>116159</v>
      </c>
      <c r="L15" s="12">
        <f>H15-99611</f>
        <v>-3111</v>
      </c>
      <c r="M15" s="12">
        <v>16548</v>
      </c>
      <c r="N15" s="66">
        <f t="shared" si="1"/>
        <v>0.17148186528497408</v>
      </c>
      <c r="O15" s="14">
        <v>81.510000000000005</v>
      </c>
      <c r="P15" s="15">
        <v>129.78</v>
      </c>
      <c r="Q15" s="16">
        <v>0.23799999999999999</v>
      </c>
      <c r="R15" s="16">
        <v>0.23799999999999999</v>
      </c>
      <c r="S15" s="12">
        <f t="shared" si="2"/>
        <v>-38.1670960618329</v>
      </c>
      <c r="T15" s="12">
        <f t="shared" si="3"/>
        <v>-13071.428571428572</v>
      </c>
      <c r="U15" s="17">
        <f t="shared" si="4"/>
        <v>-0.30007870916961826</v>
      </c>
      <c r="V15" s="16">
        <v>80</v>
      </c>
      <c r="W15" s="16">
        <f t="shared" si="5"/>
        <v>19300</v>
      </c>
      <c r="X15" s="16">
        <f t="shared" si="6"/>
        <v>241.25</v>
      </c>
      <c r="Y15" s="18" t="s">
        <v>266</v>
      </c>
      <c r="Z15" s="10" t="s">
        <v>35</v>
      </c>
      <c r="AA15" s="10" t="s">
        <v>35</v>
      </c>
      <c r="AB15" s="10" t="s">
        <v>267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4" t="s">
        <v>267</v>
      </c>
      <c r="B16" s="10" t="s">
        <v>349</v>
      </c>
      <c r="C16" s="10" t="s">
        <v>350</v>
      </c>
      <c r="D16" s="11">
        <v>45686</v>
      </c>
      <c r="E16" s="12">
        <v>92500</v>
      </c>
      <c r="F16" s="10" t="s">
        <v>32</v>
      </c>
      <c r="G16" s="10" t="s">
        <v>33</v>
      </c>
      <c r="H16" s="12">
        <v>92500</v>
      </c>
      <c r="I16" s="12">
        <v>45500</v>
      </c>
      <c r="J16" s="13">
        <f t="shared" si="0"/>
        <v>49.189189189189193</v>
      </c>
      <c r="K16" s="12">
        <v>101614</v>
      </c>
      <c r="L16" s="12">
        <f>H16-93558</f>
        <v>-1058</v>
      </c>
      <c r="M16" s="12">
        <v>8056</v>
      </c>
      <c r="N16" s="66">
        <f t="shared" si="1"/>
        <v>8.7091891891891898E-2</v>
      </c>
      <c r="O16" s="14">
        <v>39.68</v>
      </c>
      <c r="P16" s="15">
        <v>123.05</v>
      </c>
      <c r="Q16" s="16">
        <v>0.113</v>
      </c>
      <c r="R16" s="16">
        <v>0.113</v>
      </c>
      <c r="S16" s="12">
        <f t="shared" si="2"/>
        <v>-26.663306451612904</v>
      </c>
      <c r="T16" s="12">
        <f t="shared" si="3"/>
        <v>-9362.8318584070785</v>
      </c>
      <c r="U16" s="17">
        <f t="shared" si="4"/>
        <v>-0.21494104358142971</v>
      </c>
      <c r="V16" s="16">
        <v>40</v>
      </c>
      <c r="W16" s="16">
        <f t="shared" si="5"/>
        <v>18500</v>
      </c>
      <c r="X16" s="16">
        <f t="shared" si="6"/>
        <v>462.5</v>
      </c>
      <c r="Y16" s="18" t="s">
        <v>266</v>
      </c>
      <c r="Z16" s="10" t="s">
        <v>35</v>
      </c>
      <c r="AA16" s="10" t="s">
        <v>35</v>
      </c>
      <c r="AB16" s="10" t="s">
        <v>267</v>
      </c>
      <c r="AC16" s="10">
        <v>0</v>
      </c>
      <c r="AD16" s="10">
        <v>1</v>
      </c>
      <c r="AE16" s="10" t="s">
        <v>42</v>
      </c>
      <c r="AF16" s="10" t="s">
        <v>35</v>
      </c>
      <c r="AG16" s="10" t="s">
        <v>38</v>
      </c>
      <c r="AH16" s="10" t="s">
        <v>92</v>
      </c>
    </row>
    <row r="17" spans="1:34" x14ac:dyDescent="0.3">
      <c r="A17" s="75" t="s">
        <v>267</v>
      </c>
      <c r="B17" s="19" t="s">
        <v>291</v>
      </c>
      <c r="C17" s="19" t="s">
        <v>292</v>
      </c>
      <c r="D17" s="20">
        <v>45408</v>
      </c>
      <c r="E17" s="21">
        <v>130000</v>
      </c>
      <c r="F17" s="19" t="s">
        <v>32</v>
      </c>
      <c r="G17" s="19" t="s">
        <v>33</v>
      </c>
      <c r="H17" s="21">
        <v>130000</v>
      </c>
      <c r="I17" s="21">
        <v>72500</v>
      </c>
      <c r="J17" s="22">
        <f t="shared" si="0"/>
        <v>55.769230769230774</v>
      </c>
      <c r="K17" s="21">
        <v>156682</v>
      </c>
      <c r="L17" s="21">
        <f>H17-132875</f>
        <v>-2875</v>
      </c>
      <c r="M17" s="21">
        <v>23807</v>
      </c>
      <c r="N17" s="67">
        <f t="shared" si="1"/>
        <v>0.18313076923076924</v>
      </c>
      <c r="O17" s="23">
        <v>117.27</v>
      </c>
      <c r="P17" s="24">
        <v>130</v>
      </c>
      <c r="Q17" s="25">
        <v>0.34300000000000003</v>
      </c>
      <c r="R17" s="25">
        <v>0.34300000000000003</v>
      </c>
      <c r="S17" s="21">
        <f t="shared" si="2"/>
        <v>-24.516074017225208</v>
      </c>
      <c r="T17" s="21">
        <f t="shared" si="3"/>
        <v>-8381.9241982507283</v>
      </c>
      <c r="U17" s="26">
        <f t="shared" si="4"/>
        <v>-0.19242250225552637</v>
      </c>
      <c r="V17" s="25">
        <v>115</v>
      </c>
      <c r="W17" s="25">
        <f t="shared" si="5"/>
        <v>26000</v>
      </c>
      <c r="X17" s="25">
        <f t="shared" si="6"/>
        <v>226.08695652173913</v>
      </c>
      <c r="Y17" s="27" t="s">
        <v>266</v>
      </c>
      <c r="Z17" s="19" t="s">
        <v>35</v>
      </c>
      <c r="AA17" s="19" t="s">
        <v>35</v>
      </c>
      <c r="AB17" s="19" t="s">
        <v>267</v>
      </c>
      <c r="AC17" s="19">
        <v>0</v>
      </c>
      <c r="AD17" s="19">
        <v>1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5" t="s">
        <v>267</v>
      </c>
      <c r="B18" s="19" t="s">
        <v>445</v>
      </c>
      <c r="C18" s="19" t="s">
        <v>446</v>
      </c>
      <c r="D18" s="20">
        <v>45610</v>
      </c>
      <c r="E18" s="21">
        <v>79991</v>
      </c>
      <c r="F18" s="19" t="s">
        <v>32</v>
      </c>
      <c r="G18" s="19" t="s">
        <v>33</v>
      </c>
      <c r="H18" s="21">
        <v>79991</v>
      </c>
      <c r="I18" s="21">
        <v>41300</v>
      </c>
      <c r="J18" s="22">
        <f t="shared" si="0"/>
        <v>51.630808465952413</v>
      </c>
      <c r="K18" s="21">
        <v>88860</v>
      </c>
      <c r="L18" s="21">
        <f>H18-80421</f>
        <v>-430</v>
      </c>
      <c r="M18" s="21">
        <v>8439</v>
      </c>
      <c r="N18" s="67">
        <f t="shared" si="1"/>
        <v>0.10549936867897639</v>
      </c>
      <c r="O18" s="23">
        <v>41.56</v>
      </c>
      <c r="P18" s="24">
        <v>135</v>
      </c>
      <c r="Q18" s="25">
        <v>0.124</v>
      </c>
      <c r="R18" s="25">
        <v>0.124</v>
      </c>
      <c r="S18" s="21">
        <f t="shared" si="2"/>
        <v>-10.346487006737247</v>
      </c>
      <c r="T18" s="21">
        <f t="shared" si="3"/>
        <v>-3467.7419354838712</v>
      </c>
      <c r="U18" s="26">
        <f t="shared" si="4"/>
        <v>-7.9608400722770228E-2</v>
      </c>
      <c r="V18" s="25">
        <v>40</v>
      </c>
      <c r="W18" s="25">
        <f t="shared" si="5"/>
        <v>15998.2</v>
      </c>
      <c r="X18" s="25">
        <f t="shared" si="6"/>
        <v>399.95500000000004</v>
      </c>
      <c r="Y18" s="27" t="s">
        <v>266</v>
      </c>
      <c r="Z18" s="19" t="s">
        <v>35</v>
      </c>
      <c r="AA18" s="19" t="s">
        <v>35</v>
      </c>
      <c r="AB18" s="19" t="s">
        <v>267</v>
      </c>
      <c r="AC18" s="19">
        <v>0</v>
      </c>
      <c r="AD18" s="19">
        <v>1</v>
      </c>
      <c r="AE18" s="19" t="s">
        <v>37</v>
      </c>
      <c r="AF18" s="19" t="s">
        <v>35</v>
      </c>
      <c r="AG18" s="19" t="s">
        <v>38</v>
      </c>
      <c r="AH18" s="19" t="s">
        <v>92</v>
      </c>
    </row>
    <row r="19" spans="1:34" x14ac:dyDescent="0.3">
      <c r="A19" s="75" t="s">
        <v>267</v>
      </c>
      <c r="B19" s="19" t="s">
        <v>465</v>
      </c>
      <c r="C19" s="19" t="s">
        <v>466</v>
      </c>
      <c r="D19" s="20">
        <v>45618</v>
      </c>
      <c r="E19" s="21">
        <v>94500</v>
      </c>
      <c r="F19" s="19" t="s">
        <v>32</v>
      </c>
      <c r="G19" s="19" t="s">
        <v>33</v>
      </c>
      <c r="H19" s="21">
        <v>94500</v>
      </c>
      <c r="I19" s="21">
        <v>45500</v>
      </c>
      <c r="J19" s="22">
        <f t="shared" si="0"/>
        <v>48.148148148148145</v>
      </c>
      <c r="K19" s="21">
        <v>102229</v>
      </c>
      <c r="L19" s="21">
        <f>H19-93790</f>
        <v>710</v>
      </c>
      <c r="M19" s="21">
        <v>8439</v>
      </c>
      <c r="N19" s="67">
        <f t="shared" si="1"/>
        <v>8.9301587301587299E-2</v>
      </c>
      <c r="O19" s="23">
        <v>41.56</v>
      </c>
      <c r="P19" s="24">
        <v>135</v>
      </c>
      <c r="Q19" s="25">
        <v>0.124</v>
      </c>
      <c r="R19" s="25">
        <v>0.124</v>
      </c>
      <c r="S19" s="21">
        <f t="shared" si="2"/>
        <v>17.0837343599615</v>
      </c>
      <c r="T19" s="21">
        <f t="shared" si="3"/>
        <v>5725.8064516129034</v>
      </c>
      <c r="U19" s="26">
        <f t="shared" si="4"/>
        <v>0.13144642910038806</v>
      </c>
      <c r="V19" s="25">
        <v>40</v>
      </c>
      <c r="W19" s="25">
        <f t="shared" si="5"/>
        <v>18900</v>
      </c>
      <c r="X19" s="25">
        <f t="shared" si="6"/>
        <v>472.5</v>
      </c>
      <c r="Y19" s="27" t="s">
        <v>266</v>
      </c>
      <c r="Z19" s="19" t="s">
        <v>35</v>
      </c>
      <c r="AA19" s="19" t="s">
        <v>35</v>
      </c>
      <c r="AB19" s="19" t="s">
        <v>267</v>
      </c>
      <c r="AC19" s="19">
        <v>0</v>
      </c>
      <c r="AD19" s="19">
        <v>1</v>
      </c>
      <c r="AE19" s="19" t="s">
        <v>467</v>
      </c>
      <c r="AF19" s="19" t="s">
        <v>35</v>
      </c>
      <c r="AG19" s="19" t="s">
        <v>38</v>
      </c>
      <c r="AH19" s="19" t="s">
        <v>92</v>
      </c>
    </row>
    <row r="20" spans="1:34" x14ac:dyDescent="0.3">
      <c r="A20" s="75" t="s">
        <v>267</v>
      </c>
      <c r="B20" s="19" t="s">
        <v>534</v>
      </c>
      <c r="C20" s="19" t="s">
        <v>535</v>
      </c>
      <c r="D20" s="20">
        <v>45282</v>
      </c>
      <c r="E20" s="21">
        <v>178500</v>
      </c>
      <c r="F20" s="19" t="s">
        <v>32</v>
      </c>
      <c r="G20" s="19" t="s">
        <v>33</v>
      </c>
      <c r="H20" s="21">
        <v>178500</v>
      </c>
      <c r="I20" s="21">
        <v>73800</v>
      </c>
      <c r="J20" s="22">
        <f t="shared" si="0"/>
        <v>41.344537815126046</v>
      </c>
      <c r="K20" s="21">
        <v>195861</v>
      </c>
      <c r="L20" s="21">
        <f>H20-176767</f>
        <v>1733</v>
      </c>
      <c r="M20" s="21">
        <v>19094</v>
      </c>
      <c r="N20" s="67">
        <f t="shared" si="1"/>
        <v>0.10696918767507003</v>
      </c>
      <c r="O20" s="23">
        <v>94.06</v>
      </c>
      <c r="P20" s="24">
        <v>270</v>
      </c>
      <c r="Q20" s="25">
        <v>0.39700000000000002</v>
      </c>
      <c r="R20" s="25">
        <v>0.39700000000000002</v>
      </c>
      <c r="S20" s="21">
        <f t="shared" si="2"/>
        <v>18.424409951095047</v>
      </c>
      <c r="T20" s="21">
        <f t="shared" si="3"/>
        <v>4365.2392947103272</v>
      </c>
      <c r="U20" s="26">
        <f t="shared" si="4"/>
        <v>0.10021210502089824</v>
      </c>
      <c r="V20" s="25">
        <v>64</v>
      </c>
      <c r="W20" s="25">
        <f t="shared" si="5"/>
        <v>35700</v>
      </c>
      <c r="X20" s="25">
        <f t="shared" si="6"/>
        <v>557.8125</v>
      </c>
      <c r="Y20" s="27" t="s">
        <v>266</v>
      </c>
      <c r="Z20" s="19" t="s">
        <v>35</v>
      </c>
      <c r="AA20" s="19" t="s">
        <v>35</v>
      </c>
      <c r="AB20" s="19" t="s">
        <v>267</v>
      </c>
      <c r="AC20" s="19">
        <v>0</v>
      </c>
      <c r="AD20" s="19">
        <v>1</v>
      </c>
      <c r="AE20" s="19" t="s">
        <v>37</v>
      </c>
      <c r="AF20" s="19" t="s">
        <v>43</v>
      </c>
      <c r="AG20" s="19" t="s">
        <v>38</v>
      </c>
      <c r="AH20" s="19" t="s">
        <v>92</v>
      </c>
    </row>
    <row r="21" spans="1:34" x14ac:dyDescent="0.3">
      <c r="A21" s="75" t="s">
        <v>267</v>
      </c>
      <c r="B21" s="19" t="s">
        <v>540</v>
      </c>
      <c r="C21" s="19" t="s">
        <v>541</v>
      </c>
      <c r="D21" s="20">
        <v>45058</v>
      </c>
      <c r="E21" s="21">
        <v>121900</v>
      </c>
      <c r="F21" s="19" t="s">
        <v>32</v>
      </c>
      <c r="G21" s="19" t="s">
        <v>33</v>
      </c>
      <c r="H21" s="21">
        <v>121900</v>
      </c>
      <c r="I21" s="21">
        <v>62500</v>
      </c>
      <c r="J21" s="22">
        <f t="shared" si="0"/>
        <v>51.271534044298605</v>
      </c>
      <c r="K21" s="21">
        <v>160488</v>
      </c>
      <c r="L21" s="21">
        <f>H21-117594</f>
        <v>4306</v>
      </c>
      <c r="M21" s="21">
        <v>42894</v>
      </c>
      <c r="N21" s="67">
        <f t="shared" si="1"/>
        <v>0.35187858900738311</v>
      </c>
      <c r="O21" s="23">
        <v>211.3</v>
      </c>
      <c r="P21" s="24">
        <v>286.26</v>
      </c>
      <c r="Q21" s="25">
        <v>0.91800000000000004</v>
      </c>
      <c r="R21" s="25">
        <v>0.91800000000000004</v>
      </c>
      <c r="S21" s="21">
        <f t="shared" si="2"/>
        <v>20.378608613345953</v>
      </c>
      <c r="T21" s="21">
        <f t="shared" si="3"/>
        <v>4690.6318082788666</v>
      </c>
      <c r="U21" s="26">
        <f t="shared" si="4"/>
        <v>0.10768208926260024</v>
      </c>
      <c r="V21" s="25">
        <v>139.63</v>
      </c>
      <c r="W21" s="25">
        <f t="shared" si="5"/>
        <v>24380</v>
      </c>
      <c r="X21" s="25">
        <f t="shared" si="6"/>
        <v>174.6043113943995</v>
      </c>
      <c r="Y21" s="27" t="s">
        <v>266</v>
      </c>
      <c r="Z21" s="19" t="s">
        <v>35</v>
      </c>
      <c r="AA21" s="19" t="s">
        <v>35</v>
      </c>
      <c r="AB21" s="19" t="s">
        <v>267</v>
      </c>
      <c r="AC21" s="19">
        <v>0</v>
      </c>
      <c r="AD21" s="19">
        <v>1</v>
      </c>
      <c r="AE21" s="19" t="s">
        <v>37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5" t="s">
        <v>267</v>
      </c>
      <c r="B22" s="19" t="s">
        <v>328</v>
      </c>
      <c r="C22" s="19" t="s">
        <v>329</v>
      </c>
      <c r="D22" s="20">
        <v>45628</v>
      </c>
      <c r="E22" s="21">
        <v>80000</v>
      </c>
      <c r="F22" s="19" t="s">
        <v>32</v>
      </c>
      <c r="G22" s="19" t="s">
        <v>33</v>
      </c>
      <c r="H22" s="21">
        <v>80000</v>
      </c>
      <c r="I22" s="21">
        <v>38300</v>
      </c>
      <c r="J22" s="22">
        <f t="shared" si="0"/>
        <v>47.875</v>
      </c>
      <c r="K22" s="21">
        <v>86869</v>
      </c>
      <c r="L22" s="21">
        <f>H22-78556</f>
        <v>1444</v>
      </c>
      <c r="M22" s="21">
        <v>8313</v>
      </c>
      <c r="N22" s="67">
        <f t="shared" si="1"/>
        <v>0.1039125</v>
      </c>
      <c r="O22" s="23">
        <v>40.94</v>
      </c>
      <c r="P22" s="24">
        <v>131</v>
      </c>
      <c r="Q22" s="25">
        <v>0.12</v>
      </c>
      <c r="R22" s="25">
        <v>0.12</v>
      </c>
      <c r="S22" s="21">
        <f t="shared" si="2"/>
        <v>35.271128480703467</v>
      </c>
      <c r="T22" s="21">
        <f t="shared" si="3"/>
        <v>12033.333333333334</v>
      </c>
      <c r="U22" s="26">
        <f t="shared" si="4"/>
        <v>0.27624732170186717</v>
      </c>
      <c r="V22" s="25">
        <v>40</v>
      </c>
      <c r="W22" s="25">
        <f t="shared" si="5"/>
        <v>16000</v>
      </c>
      <c r="X22" s="25">
        <f t="shared" si="6"/>
        <v>400</v>
      </c>
      <c r="Y22" s="27" t="s">
        <v>266</v>
      </c>
      <c r="Z22" s="19" t="s">
        <v>35</v>
      </c>
      <c r="AA22" s="19" t="s">
        <v>35</v>
      </c>
      <c r="AB22" s="19" t="s">
        <v>267</v>
      </c>
      <c r="AC22" s="19">
        <v>0</v>
      </c>
      <c r="AD22" s="19">
        <v>1</v>
      </c>
      <c r="AE22" s="19" t="s">
        <v>42</v>
      </c>
      <c r="AF22" s="19" t="s">
        <v>35</v>
      </c>
      <c r="AG22" s="19" t="s">
        <v>38</v>
      </c>
      <c r="AH22" s="19" t="s">
        <v>92</v>
      </c>
    </row>
    <row r="23" spans="1:34" x14ac:dyDescent="0.3">
      <c r="A23" s="74" t="s">
        <v>267</v>
      </c>
      <c r="B23" s="10" t="s">
        <v>296</v>
      </c>
      <c r="C23" s="10" t="s">
        <v>297</v>
      </c>
      <c r="D23" s="11">
        <v>45265</v>
      </c>
      <c r="E23" s="12">
        <v>145000</v>
      </c>
      <c r="F23" s="10" t="s">
        <v>32</v>
      </c>
      <c r="G23" s="10" t="s">
        <v>33</v>
      </c>
      <c r="H23" s="12">
        <v>145000</v>
      </c>
      <c r="I23" s="12">
        <v>65300</v>
      </c>
      <c r="J23" s="13">
        <f t="shared" si="0"/>
        <v>45.03448275862069</v>
      </c>
      <c r="K23" s="12">
        <v>169635</v>
      </c>
      <c r="L23" s="12">
        <f>H23-136385</f>
        <v>8615</v>
      </c>
      <c r="M23" s="12">
        <v>33250</v>
      </c>
      <c r="N23" s="66">
        <f t="shared" si="1"/>
        <v>0.22931034482758619</v>
      </c>
      <c r="O23" s="14">
        <v>163.79</v>
      </c>
      <c r="P23" s="15">
        <v>131</v>
      </c>
      <c r="Q23" s="16">
        <v>0.48099999999999998</v>
      </c>
      <c r="R23" s="16">
        <v>0.48099999999999998</v>
      </c>
      <c r="S23" s="12">
        <f t="shared" si="2"/>
        <v>52.597838695891085</v>
      </c>
      <c r="T23" s="12">
        <f t="shared" si="3"/>
        <v>17910.602910602913</v>
      </c>
      <c r="U23" s="17">
        <f t="shared" si="4"/>
        <v>0.41117086571632033</v>
      </c>
      <c r="V23" s="16">
        <v>160</v>
      </c>
      <c r="W23" s="16">
        <f t="shared" si="5"/>
        <v>29000</v>
      </c>
      <c r="X23" s="16">
        <f t="shared" si="6"/>
        <v>181.25</v>
      </c>
      <c r="Y23" s="18" t="s">
        <v>266</v>
      </c>
      <c r="Z23" s="10" t="s">
        <v>35</v>
      </c>
      <c r="AA23" s="10" t="s">
        <v>35</v>
      </c>
      <c r="AB23" s="10" t="s">
        <v>267</v>
      </c>
      <c r="AC23" s="10">
        <v>0</v>
      </c>
      <c r="AD23" s="10">
        <v>1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267</v>
      </c>
      <c r="B24" s="19" t="s">
        <v>278</v>
      </c>
      <c r="C24" s="19" t="s">
        <v>279</v>
      </c>
      <c r="D24" s="20">
        <v>45420</v>
      </c>
      <c r="E24" s="21">
        <v>126000</v>
      </c>
      <c r="F24" s="19" t="s">
        <v>32</v>
      </c>
      <c r="G24" s="19" t="s">
        <v>33</v>
      </c>
      <c r="H24" s="21">
        <v>126000</v>
      </c>
      <c r="I24" s="21">
        <v>60500</v>
      </c>
      <c r="J24" s="22">
        <f t="shared" si="0"/>
        <v>48.015873015873019</v>
      </c>
      <c r="K24" s="21">
        <v>131682</v>
      </c>
      <c r="L24" s="21">
        <f>H24-123401</f>
        <v>2599</v>
      </c>
      <c r="M24" s="21">
        <v>8281</v>
      </c>
      <c r="N24" s="67">
        <f t="shared" si="1"/>
        <v>6.5722222222222224E-2</v>
      </c>
      <c r="O24" s="23">
        <v>40.79</v>
      </c>
      <c r="P24" s="24">
        <v>130</v>
      </c>
      <c r="Q24" s="25">
        <v>0.11899999999999999</v>
      </c>
      <c r="R24" s="25">
        <v>0.11899999999999999</v>
      </c>
      <c r="S24" s="21">
        <f t="shared" si="2"/>
        <v>63.716597205197353</v>
      </c>
      <c r="T24" s="21">
        <f t="shared" si="3"/>
        <v>21840.336134453781</v>
      </c>
      <c r="U24" s="26">
        <f t="shared" si="4"/>
        <v>0.50138512705357619</v>
      </c>
      <c r="V24" s="25">
        <v>40</v>
      </c>
      <c r="W24" s="25">
        <f t="shared" si="5"/>
        <v>25200</v>
      </c>
      <c r="X24" s="25">
        <f t="shared" si="6"/>
        <v>630</v>
      </c>
      <c r="Y24" s="27" t="s">
        <v>266</v>
      </c>
      <c r="Z24" s="19" t="s">
        <v>35</v>
      </c>
      <c r="AA24" s="19" t="s">
        <v>35</v>
      </c>
      <c r="AB24" s="19" t="s">
        <v>267</v>
      </c>
      <c r="AC24" s="19">
        <v>0</v>
      </c>
      <c r="AD24" s="19">
        <v>1</v>
      </c>
      <c r="AE24" s="19" t="s">
        <v>37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74" t="s">
        <v>267</v>
      </c>
      <c r="B25" s="10" t="s">
        <v>499</v>
      </c>
      <c r="C25" s="10" t="s">
        <v>500</v>
      </c>
      <c r="D25" s="11">
        <v>45321</v>
      </c>
      <c r="E25" s="12">
        <v>91000</v>
      </c>
      <c r="F25" s="10" t="s">
        <v>32</v>
      </c>
      <c r="G25" s="10" t="s">
        <v>33</v>
      </c>
      <c r="H25" s="12">
        <v>91000</v>
      </c>
      <c r="I25" s="12">
        <v>36500</v>
      </c>
      <c r="J25" s="13">
        <f t="shared" si="0"/>
        <v>40.109890109890109</v>
      </c>
      <c r="K25" s="12">
        <v>96115</v>
      </c>
      <c r="L25" s="12">
        <f>H25-87708</f>
        <v>3292</v>
      </c>
      <c r="M25" s="12">
        <v>8407</v>
      </c>
      <c r="N25" s="66">
        <f t="shared" si="1"/>
        <v>9.2384615384615384E-2</v>
      </c>
      <c r="O25" s="14">
        <v>41.41</v>
      </c>
      <c r="P25" s="15">
        <v>134</v>
      </c>
      <c r="Q25" s="16">
        <v>0.123</v>
      </c>
      <c r="R25" s="16">
        <v>0.123</v>
      </c>
      <c r="S25" s="12">
        <f t="shared" si="2"/>
        <v>79.49770586814779</v>
      </c>
      <c r="T25" s="12">
        <f t="shared" si="3"/>
        <v>26764.227642276423</v>
      </c>
      <c r="U25" s="17">
        <f t="shared" si="4"/>
        <v>0.61442212218265435</v>
      </c>
      <c r="V25" s="16">
        <v>40</v>
      </c>
      <c r="W25" s="16">
        <f t="shared" si="5"/>
        <v>18200</v>
      </c>
      <c r="X25" s="16">
        <f t="shared" si="6"/>
        <v>455</v>
      </c>
      <c r="Y25" s="18" t="s">
        <v>266</v>
      </c>
      <c r="Z25" s="10" t="s">
        <v>35</v>
      </c>
      <c r="AA25" s="10" t="s">
        <v>35</v>
      </c>
      <c r="AB25" s="10" t="s">
        <v>267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4" t="s">
        <v>267</v>
      </c>
      <c r="B26" s="10" t="s">
        <v>481</v>
      </c>
      <c r="C26" s="10" t="s">
        <v>482</v>
      </c>
      <c r="D26" s="11">
        <v>45251</v>
      </c>
      <c r="E26" s="12">
        <v>120000</v>
      </c>
      <c r="F26" s="10" t="s">
        <v>32</v>
      </c>
      <c r="G26" s="10" t="s">
        <v>33</v>
      </c>
      <c r="H26" s="12">
        <v>120000</v>
      </c>
      <c r="I26" s="12">
        <v>47300</v>
      </c>
      <c r="J26" s="13">
        <f t="shared" si="0"/>
        <v>39.416666666666664</v>
      </c>
      <c r="K26" s="12">
        <v>125773</v>
      </c>
      <c r="L26" s="12">
        <f>H26-116251</f>
        <v>3749</v>
      </c>
      <c r="M26" s="12">
        <v>9522</v>
      </c>
      <c r="N26" s="66">
        <f t="shared" si="1"/>
        <v>7.9350000000000004E-2</v>
      </c>
      <c r="O26" s="14">
        <v>46.9</v>
      </c>
      <c r="P26" s="15">
        <v>110</v>
      </c>
      <c r="Q26" s="16">
        <v>0.126</v>
      </c>
      <c r="R26" s="16">
        <v>0.126</v>
      </c>
      <c r="S26" s="12">
        <f t="shared" si="2"/>
        <v>79.936034115138597</v>
      </c>
      <c r="T26" s="12">
        <f t="shared" si="3"/>
        <v>29753.968253968254</v>
      </c>
      <c r="U26" s="17">
        <f t="shared" si="4"/>
        <v>0.68305712245106187</v>
      </c>
      <c r="V26" s="16">
        <v>50</v>
      </c>
      <c r="W26" s="16">
        <f t="shared" si="5"/>
        <v>24000</v>
      </c>
      <c r="X26" s="16">
        <f t="shared" si="6"/>
        <v>480</v>
      </c>
      <c r="Y26" s="18" t="s">
        <v>266</v>
      </c>
      <c r="Z26" s="10" t="s">
        <v>35</v>
      </c>
      <c r="AA26" s="10" t="s">
        <v>35</v>
      </c>
      <c r="AB26" s="10" t="s">
        <v>267</v>
      </c>
      <c r="AC26" s="10">
        <v>0</v>
      </c>
      <c r="AD26" s="10">
        <v>1</v>
      </c>
      <c r="AE26" s="10" t="s">
        <v>37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4" t="s">
        <v>267</v>
      </c>
      <c r="B27" s="10" t="s">
        <v>552</v>
      </c>
      <c r="C27" s="10" t="s">
        <v>553</v>
      </c>
      <c r="D27" s="11">
        <v>45603</v>
      </c>
      <c r="E27" s="12">
        <v>115000</v>
      </c>
      <c r="F27" s="10" t="s">
        <v>32</v>
      </c>
      <c r="G27" s="10" t="s">
        <v>33</v>
      </c>
      <c r="H27" s="12">
        <v>115000</v>
      </c>
      <c r="I27" s="12">
        <v>53700</v>
      </c>
      <c r="J27" s="13">
        <f t="shared" si="0"/>
        <v>46.695652173913047</v>
      </c>
      <c r="K27" s="12">
        <v>120597</v>
      </c>
      <c r="L27" s="12">
        <f>H27-109244</f>
        <v>5756</v>
      </c>
      <c r="M27" s="12">
        <v>11353</v>
      </c>
      <c r="N27" s="66">
        <f t="shared" si="1"/>
        <v>9.8721739130434777E-2</v>
      </c>
      <c r="O27" s="14">
        <v>55.92</v>
      </c>
      <c r="P27" s="15">
        <v>130.01</v>
      </c>
      <c r="Q27" s="16">
        <v>0.16400000000000001</v>
      </c>
      <c r="R27" s="16">
        <v>0.16400000000000001</v>
      </c>
      <c r="S27" s="12">
        <f t="shared" si="2"/>
        <v>102.93276108726752</v>
      </c>
      <c r="T27" s="12">
        <f t="shared" si="3"/>
        <v>35097.560975609755</v>
      </c>
      <c r="U27" s="17">
        <f t="shared" si="4"/>
        <v>0.80572913167148197</v>
      </c>
      <c r="V27" s="16">
        <v>54.28</v>
      </c>
      <c r="W27" s="16">
        <f t="shared" si="5"/>
        <v>23000</v>
      </c>
      <c r="X27" s="16">
        <f t="shared" si="6"/>
        <v>423.72881355932202</v>
      </c>
      <c r="Y27" s="18" t="s">
        <v>266</v>
      </c>
      <c r="Z27" s="10" t="s">
        <v>35</v>
      </c>
      <c r="AA27" s="10" t="s">
        <v>35</v>
      </c>
      <c r="AB27" s="10" t="s">
        <v>267</v>
      </c>
      <c r="AC27" s="10">
        <v>0</v>
      </c>
      <c r="AD27" s="10">
        <v>1</v>
      </c>
      <c r="AE27" s="10" t="s">
        <v>554</v>
      </c>
      <c r="AF27" s="10" t="s">
        <v>35</v>
      </c>
      <c r="AG27" s="10" t="s">
        <v>38</v>
      </c>
      <c r="AH27" s="10" t="s">
        <v>92</v>
      </c>
    </row>
    <row r="28" spans="1:34" x14ac:dyDescent="0.3">
      <c r="A28" s="75" t="s">
        <v>267</v>
      </c>
      <c r="B28" s="19" t="s">
        <v>540</v>
      </c>
      <c r="C28" s="19" t="s">
        <v>541</v>
      </c>
      <c r="D28" s="20">
        <v>45520</v>
      </c>
      <c r="E28" s="21">
        <v>140500</v>
      </c>
      <c r="F28" s="19" t="s">
        <v>32</v>
      </c>
      <c r="G28" s="19" t="s">
        <v>33</v>
      </c>
      <c r="H28" s="21">
        <v>140500</v>
      </c>
      <c r="I28" s="21">
        <v>72100</v>
      </c>
      <c r="J28" s="22">
        <f t="shared" si="0"/>
        <v>51.316725978647682</v>
      </c>
      <c r="K28" s="21">
        <v>160488</v>
      </c>
      <c r="L28" s="21">
        <f>H28-117594</f>
        <v>22906</v>
      </c>
      <c r="M28" s="21">
        <v>42894</v>
      </c>
      <c r="N28" s="67">
        <f t="shared" si="1"/>
        <v>0.30529537366548043</v>
      </c>
      <c r="O28" s="23">
        <v>211.3</v>
      </c>
      <c r="P28" s="24">
        <v>286.26</v>
      </c>
      <c r="Q28" s="25">
        <v>0.91800000000000004</v>
      </c>
      <c r="R28" s="25">
        <v>0.91800000000000004</v>
      </c>
      <c r="S28" s="21">
        <f t="shared" si="2"/>
        <v>108.40511121628016</v>
      </c>
      <c r="T28" s="21">
        <f t="shared" si="3"/>
        <v>24952.069716775597</v>
      </c>
      <c r="U28" s="26">
        <f t="shared" si="4"/>
        <v>0.57282070056876944</v>
      </c>
      <c r="V28" s="25">
        <v>139.63</v>
      </c>
      <c r="W28" s="25">
        <f t="shared" si="5"/>
        <v>28100</v>
      </c>
      <c r="X28" s="25">
        <f t="shared" si="6"/>
        <v>201.24615054071475</v>
      </c>
      <c r="Y28" s="27" t="s">
        <v>266</v>
      </c>
      <c r="Z28" s="19" t="s">
        <v>35</v>
      </c>
      <c r="AA28" s="19" t="s">
        <v>35</v>
      </c>
      <c r="AB28" s="19" t="s">
        <v>267</v>
      </c>
      <c r="AC28" s="19">
        <v>0</v>
      </c>
      <c r="AD28" s="19">
        <v>1</v>
      </c>
      <c r="AE28" s="19" t="s">
        <v>37</v>
      </c>
      <c r="AF28" s="19" t="s">
        <v>43</v>
      </c>
      <c r="AG28" s="19" t="s">
        <v>38</v>
      </c>
      <c r="AH28" s="19" t="s">
        <v>92</v>
      </c>
    </row>
    <row r="29" spans="1:34" x14ac:dyDescent="0.3">
      <c r="A29" s="75" t="s">
        <v>267</v>
      </c>
      <c r="B29" s="19" t="s">
        <v>285</v>
      </c>
      <c r="C29" s="19" t="s">
        <v>286</v>
      </c>
      <c r="D29" s="20">
        <v>45272</v>
      </c>
      <c r="E29" s="21">
        <v>125000</v>
      </c>
      <c r="F29" s="19" t="s">
        <v>32</v>
      </c>
      <c r="G29" s="19" t="s">
        <v>33</v>
      </c>
      <c r="H29" s="21">
        <v>125000</v>
      </c>
      <c r="I29" s="21">
        <v>48300</v>
      </c>
      <c r="J29" s="22">
        <f t="shared" si="0"/>
        <v>38.64</v>
      </c>
      <c r="K29" s="21">
        <v>127981</v>
      </c>
      <c r="L29" s="21">
        <f>H29-119668</f>
        <v>5332</v>
      </c>
      <c r="M29" s="21">
        <v>8313</v>
      </c>
      <c r="N29" s="67">
        <f t="shared" si="1"/>
        <v>6.6503999999999994E-2</v>
      </c>
      <c r="O29" s="23">
        <v>40.94</v>
      </c>
      <c r="P29" s="24">
        <v>131</v>
      </c>
      <c r="Q29" s="25">
        <v>0.12</v>
      </c>
      <c r="R29" s="25">
        <v>0.12</v>
      </c>
      <c r="S29" s="21">
        <f t="shared" si="2"/>
        <v>130.23937469467515</v>
      </c>
      <c r="T29" s="21">
        <f t="shared" si="3"/>
        <v>44433.333333333336</v>
      </c>
      <c r="U29" s="26">
        <f t="shared" si="4"/>
        <v>1.0200489745944292</v>
      </c>
      <c r="V29" s="25">
        <v>40</v>
      </c>
      <c r="W29" s="25">
        <f t="shared" si="5"/>
        <v>25000</v>
      </c>
      <c r="X29" s="25">
        <f t="shared" si="6"/>
        <v>625</v>
      </c>
      <c r="Y29" s="27" t="s">
        <v>266</v>
      </c>
      <c r="Z29" s="19" t="s">
        <v>35</v>
      </c>
      <c r="AA29" s="19" t="s">
        <v>35</v>
      </c>
      <c r="AB29" s="19" t="s">
        <v>267</v>
      </c>
      <c r="AC29" s="19">
        <v>0</v>
      </c>
      <c r="AD29" s="19">
        <v>1</v>
      </c>
      <c r="AE29" s="19" t="s">
        <v>42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5" t="s">
        <v>267</v>
      </c>
      <c r="B30" s="19" t="s">
        <v>302</v>
      </c>
      <c r="C30" s="19" t="s">
        <v>303</v>
      </c>
      <c r="D30" s="20">
        <v>45084</v>
      </c>
      <c r="E30" s="21">
        <v>120000</v>
      </c>
      <c r="F30" s="19" t="s">
        <v>32</v>
      </c>
      <c r="G30" s="19" t="s">
        <v>33</v>
      </c>
      <c r="H30" s="21">
        <v>120000</v>
      </c>
      <c r="I30" s="21">
        <v>46200</v>
      </c>
      <c r="J30" s="22">
        <f t="shared" si="0"/>
        <v>38.5</v>
      </c>
      <c r="K30" s="21">
        <v>122968</v>
      </c>
      <c r="L30" s="21">
        <f>H30-114655</f>
        <v>5345</v>
      </c>
      <c r="M30" s="21">
        <v>8313</v>
      </c>
      <c r="N30" s="67">
        <f t="shared" si="1"/>
        <v>6.9275000000000003E-2</v>
      </c>
      <c r="O30" s="23">
        <v>40.94</v>
      </c>
      <c r="P30" s="24">
        <v>131</v>
      </c>
      <c r="Q30" s="25">
        <v>0.12</v>
      </c>
      <c r="R30" s="25">
        <v>0.12</v>
      </c>
      <c r="S30" s="21">
        <f t="shared" si="2"/>
        <v>130.55691255495847</v>
      </c>
      <c r="T30" s="21">
        <f t="shared" si="3"/>
        <v>44541.666666666672</v>
      </c>
      <c r="U30" s="26">
        <f t="shared" si="4"/>
        <v>1.0225359657177839</v>
      </c>
      <c r="V30" s="25">
        <v>40</v>
      </c>
      <c r="W30" s="25">
        <f t="shared" si="5"/>
        <v>24000</v>
      </c>
      <c r="X30" s="25">
        <f t="shared" si="6"/>
        <v>600</v>
      </c>
      <c r="Y30" s="27" t="s">
        <v>266</v>
      </c>
      <c r="Z30" s="19" t="s">
        <v>35</v>
      </c>
      <c r="AA30" s="19" t="s">
        <v>35</v>
      </c>
      <c r="AB30" s="19" t="s">
        <v>267</v>
      </c>
      <c r="AC30" s="19">
        <v>0</v>
      </c>
      <c r="AD30" s="19">
        <v>1</v>
      </c>
      <c r="AE30" s="19" t="s">
        <v>42</v>
      </c>
      <c r="AF30" s="19" t="s">
        <v>43</v>
      </c>
      <c r="AG30" s="19" t="s">
        <v>38</v>
      </c>
      <c r="AH30" s="19" t="s">
        <v>92</v>
      </c>
    </row>
    <row r="31" spans="1:34" x14ac:dyDescent="0.3">
      <c r="A31" s="74" t="s">
        <v>267</v>
      </c>
      <c r="B31" s="10" t="s">
        <v>339</v>
      </c>
      <c r="C31" s="10" t="s">
        <v>340</v>
      </c>
      <c r="D31" s="11">
        <v>45646</v>
      </c>
      <c r="E31" s="12">
        <v>125000</v>
      </c>
      <c r="F31" s="10" t="s">
        <v>32</v>
      </c>
      <c r="G31" s="10" t="s">
        <v>33</v>
      </c>
      <c r="H31" s="12">
        <v>125000</v>
      </c>
      <c r="I31" s="12">
        <v>56600</v>
      </c>
      <c r="J31" s="13">
        <f t="shared" si="0"/>
        <v>45.28</v>
      </c>
      <c r="K31" s="12">
        <v>127769</v>
      </c>
      <c r="L31" s="12">
        <f>H31-119251</f>
        <v>5749</v>
      </c>
      <c r="M31" s="12">
        <v>8518</v>
      </c>
      <c r="N31" s="66">
        <f t="shared" si="1"/>
        <v>6.8143999999999996E-2</v>
      </c>
      <c r="O31" s="14">
        <v>41.95</v>
      </c>
      <c r="P31" s="15">
        <v>137.55000000000001</v>
      </c>
      <c r="Q31" s="16">
        <v>0.126</v>
      </c>
      <c r="R31" s="16">
        <v>0.126</v>
      </c>
      <c r="S31" s="12">
        <f t="shared" si="2"/>
        <v>137.04410011918949</v>
      </c>
      <c r="T31" s="12">
        <f t="shared" si="3"/>
        <v>45626.984126984127</v>
      </c>
      <c r="U31" s="17">
        <f t="shared" si="4"/>
        <v>1.0474514262393051</v>
      </c>
      <c r="V31" s="16">
        <v>40</v>
      </c>
      <c r="W31" s="16">
        <f t="shared" si="5"/>
        <v>25000</v>
      </c>
      <c r="X31" s="16">
        <f t="shared" si="6"/>
        <v>625</v>
      </c>
      <c r="Y31" s="18" t="s">
        <v>266</v>
      </c>
      <c r="Z31" s="10" t="s">
        <v>35</v>
      </c>
      <c r="AA31" s="10" t="s">
        <v>35</v>
      </c>
      <c r="AB31" s="10" t="s">
        <v>267</v>
      </c>
      <c r="AC31" s="10">
        <v>0</v>
      </c>
      <c r="AD31" s="10">
        <v>1</v>
      </c>
      <c r="AE31" s="10" t="s">
        <v>42</v>
      </c>
      <c r="AF31" s="10" t="s">
        <v>35</v>
      </c>
      <c r="AG31" s="10" t="s">
        <v>38</v>
      </c>
      <c r="AH31" s="10" t="s">
        <v>92</v>
      </c>
    </row>
    <row r="32" spans="1:34" x14ac:dyDescent="0.3">
      <c r="A32" s="75" t="s">
        <v>267</v>
      </c>
      <c r="B32" s="19" t="s">
        <v>573</v>
      </c>
      <c r="C32" s="19" t="s">
        <v>574</v>
      </c>
      <c r="D32" s="20">
        <v>45205</v>
      </c>
      <c r="E32" s="21">
        <v>180000</v>
      </c>
      <c r="F32" s="19" t="s">
        <v>32</v>
      </c>
      <c r="G32" s="19" t="s">
        <v>33</v>
      </c>
      <c r="H32" s="21">
        <v>180000</v>
      </c>
      <c r="I32" s="21">
        <v>71400</v>
      </c>
      <c r="J32" s="22">
        <f t="shared" ref="J32:J62" si="7">I32/H32*100</f>
        <v>39.666666666666664</v>
      </c>
      <c r="K32" s="21">
        <v>187818</v>
      </c>
      <c r="L32" s="21">
        <f>H32-162508</f>
        <v>17492</v>
      </c>
      <c r="M32" s="21">
        <v>25310</v>
      </c>
      <c r="N32" s="67">
        <f t="shared" ref="N32:N62" si="8">M32/E32</f>
        <v>0.1406111111111111</v>
      </c>
      <c r="O32" s="23">
        <v>124.67</v>
      </c>
      <c r="P32" s="24">
        <v>134.94</v>
      </c>
      <c r="Q32" s="25">
        <v>0.372</v>
      </c>
      <c r="R32" s="25">
        <v>0.372</v>
      </c>
      <c r="S32" s="21">
        <f t="shared" ref="S32:S62" si="9">L32/O32</f>
        <v>140.30640891954761</v>
      </c>
      <c r="T32" s="21">
        <f t="shared" ref="T32:T62" si="10">L32/Q32</f>
        <v>47021.505376344088</v>
      </c>
      <c r="U32" s="26">
        <f t="shared" ref="U32:U62" si="11">L32/Q32/43560</f>
        <v>1.0794652290253464</v>
      </c>
      <c r="V32" s="25">
        <v>120</v>
      </c>
      <c r="W32" s="25">
        <f t="shared" ref="W32:W62" si="12">0.2*E32</f>
        <v>36000</v>
      </c>
      <c r="X32" s="25">
        <f t="shared" ref="X32:X62" si="13">W32/V32</f>
        <v>300</v>
      </c>
      <c r="Y32" s="27" t="s">
        <v>266</v>
      </c>
      <c r="Z32" s="19" t="s">
        <v>35</v>
      </c>
      <c r="AA32" s="19" t="s">
        <v>35</v>
      </c>
      <c r="AB32" s="19" t="s">
        <v>267</v>
      </c>
      <c r="AC32" s="19">
        <v>0</v>
      </c>
      <c r="AD32" s="19">
        <v>1</v>
      </c>
      <c r="AE32" s="19" t="s">
        <v>575</v>
      </c>
      <c r="AF32" s="19" t="s">
        <v>43</v>
      </c>
      <c r="AG32" s="19" t="s">
        <v>38</v>
      </c>
      <c r="AH32" s="19" t="s">
        <v>92</v>
      </c>
    </row>
    <row r="33" spans="1:34" x14ac:dyDescent="0.3">
      <c r="A33" s="74" t="s">
        <v>267</v>
      </c>
      <c r="B33" s="10" t="s">
        <v>306</v>
      </c>
      <c r="C33" s="10" t="s">
        <v>307</v>
      </c>
      <c r="D33" s="11">
        <v>45657</v>
      </c>
      <c r="E33" s="12">
        <v>122000</v>
      </c>
      <c r="F33" s="10" t="s">
        <v>32</v>
      </c>
      <c r="G33" s="10" t="s">
        <v>33</v>
      </c>
      <c r="H33" s="12">
        <v>122000</v>
      </c>
      <c r="I33" s="12">
        <v>56700</v>
      </c>
      <c r="J33" s="13">
        <f t="shared" si="7"/>
        <v>46.475409836065573</v>
      </c>
      <c r="K33" s="12">
        <v>125639</v>
      </c>
      <c r="L33" s="12">
        <f>H33-109014</f>
        <v>12986</v>
      </c>
      <c r="M33" s="12">
        <v>16625</v>
      </c>
      <c r="N33" s="66">
        <f t="shared" si="8"/>
        <v>0.13627049180327869</v>
      </c>
      <c r="O33" s="14">
        <v>81.89</v>
      </c>
      <c r="P33" s="15">
        <v>131</v>
      </c>
      <c r="Q33" s="16">
        <v>0.24099999999999999</v>
      </c>
      <c r="R33" s="16">
        <v>0.24099999999999999</v>
      </c>
      <c r="S33" s="12">
        <f t="shared" si="9"/>
        <v>158.57858102332398</v>
      </c>
      <c r="T33" s="12">
        <f t="shared" si="10"/>
        <v>53883.817427385897</v>
      </c>
      <c r="U33" s="17">
        <f t="shared" si="11"/>
        <v>1.2370022366250206</v>
      </c>
      <c r="V33" s="16">
        <v>80</v>
      </c>
      <c r="W33" s="16">
        <f t="shared" si="12"/>
        <v>24400</v>
      </c>
      <c r="X33" s="16">
        <f t="shared" si="13"/>
        <v>305</v>
      </c>
      <c r="Y33" s="18" t="s">
        <v>266</v>
      </c>
      <c r="Z33" s="10" t="s">
        <v>35</v>
      </c>
      <c r="AA33" s="10" t="s">
        <v>35</v>
      </c>
      <c r="AB33" s="10" t="s">
        <v>267</v>
      </c>
      <c r="AC33" s="10">
        <v>0</v>
      </c>
      <c r="AD33" s="10">
        <v>1</v>
      </c>
      <c r="AE33" s="10" t="s">
        <v>42</v>
      </c>
      <c r="AF33" s="10" t="s">
        <v>35</v>
      </c>
      <c r="AG33" s="10" t="s">
        <v>38</v>
      </c>
      <c r="AH33" s="10" t="s">
        <v>92</v>
      </c>
    </row>
    <row r="34" spans="1:34" x14ac:dyDescent="0.3">
      <c r="A34" s="75" t="s">
        <v>267</v>
      </c>
      <c r="B34" s="19" t="s">
        <v>353</v>
      </c>
      <c r="C34" s="19" t="s">
        <v>354</v>
      </c>
      <c r="D34" s="20">
        <v>45187</v>
      </c>
      <c r="E34" s="21">
        <v>130000</v>
      </c>
      <c r="F34" s="19" t="s">
        <v>32</v>
      </c>
      <c r="G34" s="19" t="s">
        <v>33</v>
      </c>
      <c r="H34" s="21">
        <v>130000</v>
      </c>
      <c r="I34" s="21">
        <v>49500</v>
      </c>
      <c r="J34" s="22">
        <f t="shared" si="7"/>
        <v>38.076923076923073</v>
      </c>
      <c r="K34" s="21">
        <v>130812</v>
      </c>
      <c r="L34" s="21">
        <f>H34-121496</f>
        <v>8504</v>
      </c>
      <c r="M34" s="21">
        <v>9316</v>
      </c>
      <c r="N34" s="67">
        <f t="shared" si="8"/>
        <v>7.1661538461538457E-2</v>
      </c>
      <c r="O34" s="23">
        <v>45.89</v>
      </c>
      <c r="P34" s="24">
        <v>130</v>
      </c>
      <c r="Q34" s="25">
        <v>0.13400000000000001</v>
      </c>
      <c r="R34" s="25">
        <v>0.13400000000000001</v>
      </c>
      <c r="S34" s="21">
        <f t="shared" si="9"/>
        <v>185.31270429287426</v>
      </c>
      <c r="T34" s="21">
        <f t="shared" si="10"/>
        <v>63462.686567164172</v>
      </c>
      <c r="U34" s="26">
        <f t="shared" si="11"/>
        <v>1.4569028137549167</v>
      </c>
      <c r="V34" s="25">
        <v>45</v>
      </c>
      <c r="W34" s="25">
        <f t="shared" si="12"/>
        <v>26000</v>
      </c>
      <c r="X34" s="25">
        <f t="shared" si="13"/>
        <v>577.77777777777783</v>
      </c>
      <c r="Y34" s="27" t="s">
        <v>266</v>
      </c>
      <c r="Z34" s="19" t="s">
        <v>35</v>
      </c>
      <c r="AA34" s="19" t="s">
        <v>35</v>
      </c>
      <c r="AB34" s="19" t="s">
        <v>267</v>
      </c>
      <c r="AC34" s="19">
        <v>0</v>
      </c>
      <c r="AD34" s="19">
        <v>1</v>
      </c>
      <c r="AE34" s="19" t="s">
        <v>37</v>
      </c>
      <c r="AF34" s="19" t="s">
        <v>43</v>
      </c>
      <c r="AG34" s="19" t="s">
        <v>38</v>
      </c>
      <c r="AH34" s="19" t="s">
        <v>92</v>
      </c>
    </row>
    <row r="35" spans="1:34" x14ac:dyDescent="0.3">
      <c r="A35" s="75" t="s">
        <v>267</v>
      </c>
      <c r="B35" s="19" t="s">
        <v>293</v>
      </c>
      <c r="C35" s="19" t="s">
        <v>294</v>
      </c>
      <c r="D35" s="20">
        <v>45553</v>
      </c>
      <c r="E35" s="21">
        <v>150000</v>
      </c>
      <c r="F35" s="19" t="s">
        <v>32</v>
      </c>
      <c r="G35" s="19" t="s">
        <v>33</v>
      </c>
      <c r="H35" s="21">
        <v>150000</v>
      </c>
      <c r="I35" s="21">
        <v>67300</v>
      </c>
      <c r="J35" s="22">
        <f t="shared" si="7"/>
        <v>44.866666666666667</v>
      </c>
      <c r="K35" s="21">
        <v>151218</v>
      </c>
      <c r="L35" s="21">
        <f>H35-133909</f>
        <v>16091</v>
      </c>
      <c r="M35" s="21">
        <v>17309</v>
      </c>
      <c r="N35" s="67">
        <f t="shared" si="8"/>
        <v>0.11539333333333333</v>
      </c>
      <c r="O35" s="23">
        <v>85.26</v>
      </c>
      <c r="P35" s="24">
        <v>142</v>
      </c>
      <c r="Q35" s="25">
        <v>0.26100000000000001</v>
      </c>
      <c r="R35" s="25">
        <v>0.26100000000000001</v>
      </c>
      <c r="S35" s="21">
        <f t="shared" si="9"/>
        <v>188.72859488623035</v>
      </c>
      <c r="T35" s="21">
        <f t="shared" si="10"/>
        <v>61651.340996168583</v>
      </c>
      <c r="U35" s="26">
        <f t="shared" si="11"/>
        <v>1.4153200412343567</v>
      </c>
      <c r="V35" s="25">
        <v>80</v>
      </c>
      <c r="W35" s="25">
        <f t="shared" si="12"/>
        <v>30000</v>
      </c>
      <c r="X35" s="25">
        <f t="shared" si="13"/>
        <v>375</v>
      </c>
      <c r="Y35" s="27" t="s">
        <v>266</v>
      </c>
      <c r="Z35" s="19" t="s">
        <v>35</v>
      </c>
      <c r="AA35" s="19" t="s">
        <v>35</v>
      </c>
      <c r="AB35" s="19" t="s">
        <v>267</v>
      </c>
      <c r="AC35" s="19">
        <v>0</v>
      </c>
      <c r="AD35" s="19">
        <v>1</v>
      </c>
      <c r="AE35" s="19" t="s">
        <v>295</v>
      </c>
      <c r="AF35" s="19" t="s">
        <v>43</v>
      </c>
      <c r="AG35" s="19" t="s">
        <v>38</v>
      </c>
      <c r="AH35" s="19" t="s">
        <v>92</v>
      </c>
    </row>
    <row r="36" spans="1:34" x14ac:dyDescent="0.3">
      <c r="A36" s="74" t="s">
        <v>267</v>
      </c>
      <c r="B36" s="10" t="s">
        <v>460</v>
      </c>
      <c r="C36" s="10" t="s">
        <v>461</v>
      </c>
      <c r="D36" s="11">
        <v>45464</v>
      </c>
      <c r="E36" s="12">
        <v>93700</v>
      </c>
      <c r="F36" s="10" t="s">
        <v>32</v>
      </c>
      <c r="G36" s="10" t="s">
        <v>33</v>
      </c>
      <c r="H36" s="12">
        <v>93700</v>
      </c>
      <c r="I36" s="12">
        <v>41700</v>
      </c>
      <c r="J36" s="13">
        <f t="shared" si="7"/>
        <v>44.503735325506938</v>
      </c>
      <c r="K36" s="12">
        <v>94215</v>
      </c>
      <c r="L36" s="12">
        <f>H36-85224</f>
        <v>8476</v>
      </c>
      <c r="M36" s="12">
        <v>8991</v>
      </c>
      <c r="N36" s="66">
        <f t="shared" si="8"/>
        <v>9.5955176093916753E-2</v>
      </c>
      <c r="O36" s="14">
        <v>44.29</v>
      </c>
      <c r="P36" s="15">
        <v>121.1</v>
      </c>
      <c r="Q36" s="16">
        <v>0.125</v>
      </c>
      <c r="R36" s="16">
        <v>0.125</v>
      </c>
      <c r="S36" s="12">
        <f t="shared" si="9"/>
        <v>191.37502822307519</v>
      </c>
      <c r="T36" s="12">
        <f t="shared" si="10"/>
        <v>67808</v>
      </c>
      <c r="U36" s="17">
        <f t="shared" si="11"/>
        <v>1.5566574839302112</v>
      </c>
      <c r="V36" s="16">
        <v>45</v>
      </c>
      <c r="W36" s="16">
        <f t="shared" si="12"/>
        <v>18740</v>
      </c>
      <c r="X36" s="16">
        <f t="shared" si="13"/>
        <v>416.44444444444446</v>
      </c>
      <c r="Y36" s="18" t="s">
        <v>266</v>
      </c>
      <c r="Z36" s="10" t="s">
        <v>35</v>
      </c>
      <c r="AA36" s="10" t="s">
        <v>35</v>
      </c>
      <c r="AB36" s="10" t="s">
        <v>267</v>
      </c>
      <c r="AC36" s="10">
        <v>0</v>
      </c>
      <c r="AD36" s="10">
        <v>1</v>
      </c>
      <c r="AE36" s="10" t="s">
        <v>412</v>
      </c>
      <c r="AF36" s="10" t="s">
        <v>43</v>
      </c>
      <c r="AG36" s="10" t="s">
        <v>38</v>
      </c>
      <c r="AH36" s="10" t="s">
        <v>92</v>
      </c>
    </row>
    <row r="37" spans="1:34" x14ac:dyDescent="0.3">
      <c r="A37" s="75" t="s">
        <v>267</v>
      </c>
      <c r="B37" s="19" t="s">
        <v>326</v>
      </c>
      <c r="C37" s="19" t="s">
        <v>327</v>
      </c>
      <c r="D37" s="20">
        <v>45567</v>
      </c>
      <c r="E37" s="21">
        <v>120000</v>
      </c>
      <c r="F37" s="19" t="s">
        <v>32</v>
      </c>
      <c r="G37" s="19" t="s">
        <v>33</v>
      </c>
      <c r="H37" s="21">
        <v>120000</v>
      </c>
      <c r="I37" s="21">
        <v>55100</v>
      </c>
      <c r="J37" s="22">
        <f t="shared" si="7"/>
        <v>45.916666666666664</v>
      </c>
      <c r="K37" s="21">
        <v>120457</v>
      </c>
      <c r="L37" s="21">
        <f>H37-112144</f>
        <v>7856</v>
      </c>
      <c r="M37" s="21">
        <v>8313</v>
      </c>
      <c r="N37" s="67">
        <f t="shared" si="8"/>
        <v>6.9275000000000003E-2</v>
      </c>
      <c r="O37" s="23">
        <v>40.94</v>
      </c>
      <c r="P37" s="24">
        <v>131</v>
      </c>
      <c r="Q37" s="25">
        <v>0.12</v>
      </c>
      <c r="R37" s="25">
        <v>0.12</v>
      </c>
      <c r="S37" s="21">
        <f t="shared" si="9"/>
        <v>191.89057156814852</v>
      </c>
      <c r="T37" s="21">
        <f t="shared" si="10"/>
        <v>65466.666666666672</v>
      </c>
      <c r="U37" s="26">
        <f t="shared" si="11"/>
        <v>1.5029078665442304</v>
      </c>
      <c r="V37" s="25">
        <v>40</v>
      </c>
      <c r="W37" s="25">
        <f t="shared" si="12"/>
        <v>24000</v>
      </c>
      <c r="X37" s="25">
        <f t="shared" si="13"/>
        <v>600</v>
      </c>
      <c r="Y37" s="27" t="s">
        <v>266</v>
      </c>
      <c r="Z37" s="19" t="s">
        <v>35</v>
      </c>
      <c r="AA37" s="19" t="s">
        <v>35</v>
      </c>
      <c r="AB37" s="19" t="s">
        <v>267</v>
      </c>
      <c r="AC37" s="19">
        <v>0</v>
      </c>
      <c r="AD37" s="19">
        <v>1</v>
      </c>
      <c r="AE37" s="19" t="s">
        <v>37</v>
      </c>
      <c r="AF37" s="19" t="s">
        <v>35</v>
      </c>
      <c r="AG37" s="19" t="s">
        <v>38</v>
      </c>
      <c r="AH37" s="19" t="s">
        <v>92</v>
      </c>
    </row>
    <row r="38" spans="1:34" x14ac:dyDescent="0.3">
      <c r="A38" s="75" t="s">
        <v>267</v>
      </c>
      <c r="B38" s="19" t="s">
        <v>343</v>
      </c>
      <c r="C38" s="19" t="s">
        <v>344</v>
      </c>
      <c r="D38" s="20">
        <v>45099</v>
      </c>
      <c r="E38" s="21">
        <v>140000</v>
      </c>
      <c r="F38" s="19" t="s">
        <v>32</v>
      </c>
      <c r="G38" s="19" t="s">
        <v>33</v>
      </c>
      <c r="H38" s="21">
        <v>140000</v>
      </c>
      <c r="I38" s="21">
        <v>52900</v>
      </c>
      <c r="J38" s="22">
        <f t="shared" si="7"/>
        <v>37.785714285714285</v>
      </c>
      <c r="K38" s="21">
        <v>140087</v>
      </c>
      <c r="L38" s="21">
        <f>H38-128661</f>
        <v>11339</v>
      </c>
      <c r="M38" s="21">
        <v>11426</v>
      </c>
      <c r="N38" s="67">
        <f t="shared" si="8"/>
        <v>8.1614285714285709E-2</v>
      </c>
      <c r="O38" s="23">
        <v>56.28</v>
      </c>
      <c r="P38" s="24">
        <v>110</v>
      </c>
      <c r="Q38" s="25">
        <v>0.152</v>
      </c>
      <c r="R38" s="25">
        <v>0.152</v>
      </c>
      <c r="S38" s="21">
        <f t="shared" si="9"/>
        <v>201.47476901208245</v>
      </c>
      <c r="T38" s="21">
        <f t="shared" si="10"/>
        <v>74598.68421052632</v>
      </c>
      <c r="U38" s="26">
        <f t="shared" si="11"/>
        <v>1.7125501425740661</v>
      </c>
      <c r="V38" s="25">
        <v>60</v>
      </c>
      <c r="W38" s="25">
        <f t="shared" si="12"/>
        <v>28000</v>
      </c>
      <c r="X38" s="25">
        <f t="shared" si="13"/>
        <v>466.66666666666669</v>
      </c>
      <c r="Y38" s="27" t="s">
        <v>266</v>
      </c>
      <c r="Z38" s="19" t="s">
        <v>35</v>
      </c>
      <c r="AA38" s="19" t="s">
        <v>35</v>
      </c>
      <c r="AB38" s="19" t="s">
        <v>267</v>
      </c>
      <c r="AC38" s="19">
        <v>0</v>
      </c>
      <c r="AD38" s="19">
        <v>1</v>
      </c>
      <c r="AE38" s="19" t="s">
        <v>42</v>
      </c>
      <c r="AF38" s="19" t="s">
        <v>314</v>
      </c>
      <c r="AG38" s="19" t="s">
        <v>38</v>
      </c>
      <c r="AH38" s="19" t="s">
        <v>92</v>
      </c>
    </row>
    <row r="39" spans="1:34" x14ac:dyDescent="0.3">
      <c r="A39" s="74" t="s">
        <v>267</v>
      </c>
      <c r="B39" s="10" t="s">
        <v>440</v>
      </c>
      <c r="C39" s="10" t="s">
        <v>441</v>
      </c>
      <c r="D39" s="11">
        <v>45126</v>
      </c>
      <c r="E39" s="12">
        <v>125000</v>
      </c>
      <c r="F39" s="10" t="s">
        <v>32</v>
      </c>
      <c r="G39" s="10" t="s">
        <v>33</v>
      </c>
      <c r="H39" s="12">
        <v>125000</v>
      </c>
      <c r="I39" s="12">
        <v>46800</v>
      </c>
      <c r="J39" s="13">
        <f t="shared" si="7"/>
        <v>37.44</v>
      </c>
      <c r="K39" s="12">
        <v>124669</v>
      </c>
      <c r="L39" s="12">
        <f>H39-116737</f>
        <v>8263</v>
      </c>
      <c r="M39" s="12">
        <v>7932</v>
      </c>
      <c r="N39" s="66">
        <f t="shared" si="8"/>
        <v>6.3455999999999999E-2</v>
      </c>
      <c r="O39" s="14">
        <v>39.07</v>
      </c>
      <c r="P39" s="15">
        <v>119.28</v>
      </c>
      <c r="Q39" s="16">
        <v>0.11</v>
      </c>
      <c r="R39" s="16">
        <v>0.11</v>
      </c>
      <c r="S39" s="12">
        <f t="shared" si="9"/>
        <v>211.49219349884822</v>
      </c>
      <c r="T39" s="12">
        <f t="shared" si="10"/>
        <v>75118.181818181823</v>
      </c>
      <c r="U39" s="17">
        <f t="shared" si="11"/>
        <v>1.7244761666249271</v>
      </c>
      <c r="V39" s="16">
        <v>40</v>
      </c>
      <c r="W39" s="16">
        <f t="shared" si="12"/>
        <v>25000</v>
      </c>
      <c r="X39" s="16">
        <f t="shared" si="13"/>
        <v>625</v>
      </c>
      <c r="Y39" s="18" t="s">
        <v>266</v>
      </c>
      <c r="Z39" s="10" t="s">
        <v>35</v>
      </c>
      <c r="AA39" s="10" t="s">
        <v>35</v>
      </c>
      <c r="AB39" s="10" t="s">
        <v>267</v>
      </c>
      <c r="AC39" s="10">
        <v>0</v>
      </c>
      <c r="AD39" s="10">
        <v>1</v>
      </c>
      <c r="AE39" s="10" t="s">
        <v>442</v>
      </c>
      <c r="AF39" s="10" t="s">
        <v>43</v>
      </c>
      <c r="AG39" s="10" t="s">
        <v>38</v>
      </c>
      <c r="AH39" s="10" t="s">
        <v>92</v>
      </c>
    </row>
    <row r="40" spans="1:34" x14ac:dyDescent="0.3">
      <c r="A40" s="75" t="s">
        <v>267</v>
      </c>
      <c r="B40" s="19" t="s">
        <v>300</v>
      </c>
      <c r="C40" s="19" t="s">
        <v>301</v>
      </c>
      <c r="D40" s="20">
        <v>45195</v>
      </c>
      <c r="E40" s="21">
        <v>155000</v>
      </c>
      <c r="F40" s="19" t="s">
        <v>32</v>
      </c>
      <c r="G40" s="19" t="s">
        <v>33</v>
      </c>
      <c r="H40" s="21">
        <v>155000</v>
      </c>
      <c r="I40" s="21">
        <v>58600</v>
      </c>
      <c r="J40" s="22">
        <f t="shared" si="7"/>
        <v>37.806451612903224</v>
      </c>
      <c r="K40" s="21">
        <v>153474</v>
      </c>
      <c r="L40" s="21">
        <f>H40-134771</f>
        <v>20229</v>
      </c>
      <c r="M40" s="21">
        <v>18703</v>
      </c>
      <c r="N40" s="67">
        <f t="shared" si="8"/>
        <v>0.12066451612903226</v>
      </c>
      <c r="O40" s="23">
        <v>92.13</v>
      </c>
      <c r="P40" s="24">
        <v>131</v>
      </c>
      <c r="Q40" s="25">
        <v>0.27100000000000002</v>
      </c>
      <c r="R40" s="25">
        <v>0.27100000000000002</v>
      </c>
      <c r="S40" s="21">
        <f t="shared" si="9"/>
        <v>219.57017258222078</v>
      </c>
      <c r="T40" s="21">
        <f t="shared" si="10"/>
        <v>74645.756457564567</v>
      </c>
      <c r="U40" s="26">
        <f t="shared" si="11"/>
        <v>1.7136307726713629</v>
      </c>
      <c r="V40" s="25">
        <v>90</v>
      </c>
      <c r="W40" s="25">
        <f t="shared" si="12"/>
        <v>31000</v>
      </c>
      <c r="X40" s="25">
        <f t="shared" si="13"/>
        <v>344.44444444444446</v>
      </c>
      <c r="Y40" s="27" t="s">
        <v>266</v>
      </c>
      <c r="Z40" s="19" t="s">
        <v>35</v>
      </c>
      <c r="AA40" s="19" t="s">
        <v>35</v>
      </c>
      <c r="AB40" s="19" t="s">
        <v>267</v>
      </c>
      <c r="AC40" s="19">
        <v>0</v>
      </c>
      <c r="AD40" s="19">
        <v>1</v>
      </c>
      <c r="AE40" s="19" t="s">
        <v>37</v>
      </c>
      <c r="AF40" s="19" t="s">
        <v>43</v>
      </c>
      <c r="AG40" s="19" t="s">
        <v>38</v>
      </c>
      <c r="AH40" s="19" t="s">
        <v>92</v>
      </c>
    </row>
    <row r="41" spans="1:34" x14ac:dyDescent="0.3">
      <c r="A41" s="75" t="s">
        <v>267</v>
      </c>
      <c r="B41" s="19" t="s">
        <v>341</v>
      </c>
      <c r="C41" s="19" t="s">
        <v>342</v>
      </c>
      <c r="D41" s="20">
        <v>45506</v>
      </c>
      <c r="E41" s="21">
        <v>130000</v>
      </c>
      <c r="F41" s="19" t="s">
        <v>32</v>
      </c>
      <c r="G41" s="19" t="s">
        <v>33</v>
      </c>
      <c r="H41" s="21">
        <v>130000</v>
      </c>
      <c r="I41" s="21">
        <v>59500</v>
      </c>
      <c r="J41" s="22">
        <f t="shared" si="7"/>
        <v>45.769230769230766</v>
      </c>
      <c r="K41" s="21">
        <v>128440</v>
      </c>
      <c r="L41" s="21">
        <f>H41-120823</f>
        <v>9177</v>
      </c>
      <c r="M41" s="21">
        <v>7617</v>
      </c>
      <c r="N41" s="67">
        <f t="shared" si="8"/>
        <v>5.8592307692307694E-2</v>
      </c>
      <c r="O41" s="23">
        <v>37.520000000000003</v>
      </c>
      <c r="P41" s="24">
        <v>110</v>
      </c>
      <c r="Q41" s="25">
        <v>0.10100000000000001</v>
      </c>
      <c r="R41" s="25">
        <v>0.10100000000000001</v>
      </c>
      <c r="S41" s="21">
        <f t="shared" si="9"/>
        <v>244.58955223880594</v>
      </c>
      <c r="T41" s="21">
        <f t="shared" si="10"/>
        <v>90861.38613861386</v>
      </c>
      <c r="U41" s="26">
        <f t="shared" si="11"/>
        <v>2.0858904072225406</v>
      </c>
      <c r="V41" s="25">
        <v>40</v>
      </c>
      <c r="W41" s="25">
        <f t="shared" si="12"/>
        <v>26000</v>
      </c>
      <c r="X41" s="25">
        <f t="shared" si="13"/>
        <v>650</v>
      </c>
      <c r="Y41" s="27" t="s">
        <v>266</v>
      </c>
      <c r="Z41" s="19" t="s">
        <v>35</v>
      </c>
      <c r="AA41" s="19" t="s">
        <v>35</v>
      </c>
      <c r="AB41" s="19" t="s">
        <v>267</v>
      </c>
      <c r="AC41" s="19">
        <v>0</v>
      </c>
      <c r="AD41" s="19">
        <v>1</v>
      </c>
      <c r="AE41" s="19" t="s">
        <v>37</v>
      </c>
      <c r="AF41" s="19" t="s">
        <v>314</v>
      </c>
      <c r="AG41" s="19" t="s">
        <v>38</v>
      </c>
      <c r="AH41" s="19" t="s">
        <v>92</v>
      </c>
    </row>
    <row r="42" spans="1:34" x14ac:dyDescent="0.3">
      <c r="A42" s="74" t="s">
        <v>267</v>
      </c>
      <c r="B42" s="10" t="s">
        <v>289</v>
      </c>
      <c r="C42" s="10" t="s">
        <v>290</v>
      </c>
      <c r="D42" s="11">
        <v>45177</v>
      </c>
      <c r="E42" s="12">
        <v>116500</v>
      </c>
      <c r="F42" s="10" t="s">
        <v>32</v>
      </c>
      <c r="G42" s="10" t="s">
        <v>33</v>
      </c>
      <c r="H42" s="12">
        <v>116500</v>
      </c>
      <c r="I42" s="12">
        <v>45500</v>
      </c>
      <c r="J42" s="13">
        <f t="shared" si="7"/>
        <v>39.055793991416309</v>
      </c>
      <c r="K42" s="12">
        <v>114600</v>
      </c>
      <c r="L42" s="12">
        <f>H42-106887</f>
        <v>9613</v>
      </c>
      <c r="M42" s="12">
        <v>7713</v>
      </c>
      <c r="N42" s="66">
        <f t="shared" si="8"/>
        <v>6.6206008583690981E-2</v>
      </c>
      <c r="O42" s="14">
        <v>37.99</v>
      </c>
      <c r="P42" s="15">
        <v>132.6</v>
      </c>
      <c r="Q42" s="16">
        <v>0.112</v>
      </c>
      <c r="R42" s="16">
        <v>0.112</v>
      </c>
      <c r="S42" s="12">
        <f t="shared" si="9"/>
        <v>253.04027375625162</v>
      </c>
      <c r="T42" s="12">
        <f t="shared" si="10"/>
        <v>85830.357142857145</v>
      </c>
      <c r="U42" s="17">
        <f t="shared" si="11"/>
        <v>1.9703938738029647</v>
      </c>
      <c r="V42" s="16">
        <v>36.89</v>
      </c>
      <c r="W42" s="16">
        <f t="shared" si="12"/>
        <v>23300</v>
      </c>
      <c r="X42" s="16">
        <f t="shared" si="13"/>
        <v>631.60748170235831</v>
      </c>
      <c r="Y42" s="18" t="s">
        <v>266</v>
      </c>
      <c r="Z42" s="10" t="s">
        <v>35</v>
      </c>
      <c r="AA42" s="10" t="s">
        <v>35</v>
      </c>
      <c r="AB42" s="10" t="s">
        <v>267</v>
      </c>
      <c r="AC42" s="10">
        <v>0</v>
      </c>
      <c r="AD42" s="10">
        <v>1</v>
      </c>
      <c r="AE42" s="10" t="s">
        <v>37</v>
      </c>
      <c r="AF42" s="10" t="s">
        <v>43</v>
      </c>
      <c r="AG42" s="10" t="s">
        <v>38</v>
      </c>
      <c r="AH42" s="10" t="s">
        <v>92</v>
      </c>
    </row>
    <row r="43" spans="1:34" x14ac:dyDescent="0.3">
      <c r="A43" s="75" t="s">
        <v>267</v>
      </c>
      <c r="B43" s="19" t="s">
        <v>455</v>
      </c>
      <c r="C43" s="19" t="s">
        <v>456</v>
      </c>
      <c r="D43" s="20">
        <v>45642</v>
      </c>
      <c r="E43" s="21">
        <v>110000</v>
      </c>
      <c r="F43" s="19" t="s">
        <v>32</v>
      </c>
      <c r="G43" s="19" t="s">
        <v>33</v>
      </c>
      <c r="H43" s="21">
        <v>110000</v>
      </c>
      <c r="I43" s="21">
        <v>47500</v>
      </c>
      <c r="J43" s="22">
        <f t="shared" si="7"/>
        <v>43.18181818181818</v>
      </c>
      <c r="K43" s="21">
        <v>106860</v>
      </c>
      <c r="L43" s="21">
        <f>H43-98261</f>
        <v>11739</v>
      </c>
      <c r="M43" s="21">
        <v>8599</v>
      </c>
      <c r="N43" s="67">
        <f t="shared" si="8"/>
        <v>7.8172727272727269E-2</v>
      </c>
      <c r="O43" s="23">
        <v>42.35</v>
      </c>
      <c r="P43" s="24">
        <v>140.18</v>
      </c>
      <c r="Q43" s="25">
        <v>0.129</v>
      </c>
      <c r="R43" s="25">
        <v>0.129</v>
      </c>
      <c r="S43" s="21">
        <f t="shared" si="9"/>
        <v>277.19008264462809</v>
      </c>
      <c r="T43" s="21">
        <f t="shared" si="10"/>
        <v>91000</v>
      </c>
      <c r="U43" s="26">
        <f t="shared" si="11"/>
        <v>2.089072543617998</v>
      </c>
      <c r="V43" s="25">
        <v>40</v>
      </c>
      <c r="W43" s="25">
        <f t="shared" si="12"/>
        <v>22000</v>
      </c>
      <c r="X43" s="25">
        <f t="shared" si="13"/>
        <v>550</v>
      </c>
      <c r="Y43" s="27" t="s">
        <v>266</v>
      </c>
      <c r="Z43" s="19" t="s">
        <v>35</v>
      </c>
      <c r="AA43" s="19" t="s">
        <v>35</v>
      </c>
      <c r="AB43" s="19" t="s">
        <v>267</v>
      </c>
      <c r="AC43" s="19">
        <v>0</v>
      </c>
      <c r="AD43" s="19">
        <v>1</v>
      </c>
      <c r="AE43" s="19" t="s">
        <v>42</v>
      </c>
      <c r="AF43" s="19" t="s">
        <v>35</v>
      </c>
      <c r="AG43" s="19" t="s">
        <v>38</v>
      </c>
      <c r="AH43" s="19" t="s">
        <v>92</v>
      </c>
    </row>
    <row r="44" spans="1:34" x14ac:dyDescent="0.3">
      <c r="A44" s="74" t="s">
        <v>267</v>
      </c>
      <c r="B44" s="10" t="s">
        <v>472</v>
      </c>
      <c r="C44" s="10" t="s">
        <v>473</v>
      </c>
      <c r="D44" s="11">
        <v>45239</v>
      </c>
      <c r="E44" s="12">
        <v>170000</v>
      </c>
      <c r="F44" s="10" t="s">
        <v>32</v>
      </c>
      <c r="G44" s="10" t="s">
        <v>33</v>
      </c>
      <c r="H44" s="12">
        <v>170000</v>
      </c>
      <c r="I44" s="12">
        <v>62800</v>
      </c>
      <c r="J44" s="13">
        <f t="shared" si="7"/>
        <v>36.941176470588232</v>
      </c>
      <c r="K44" s="12">
        <v>166716</v>
      </c>
      <c r="L44" s="12">
        <f>H44-158277</f>
        <v>11723</v>
      </c>
      <c r="M44" s="12">
        <v>8439</v>
      </c>
      <c r="N44" s="66">
        <f t="shared" si="8"/>
        <v>4.9641176470588237E-2</v>
      </c>
      <c r="O44" s="14">
        <v>41.56</v>
      </c>
      <c r="P44" s="15">
        <v>135</v>
      </c>
      <c r="Q44" s="16">
        <v>0.124</v>
      </c>
      <c r="R44" s="16">
        <v>0.124</v>
      </c>
      <c r="S44" s="12">
        <f t="shared" si="9"/>
        <v>282.07410972088547</v>
      </c>
      <c r="T44" s="12">
        <f t="shared" si="10"/>
        <v>94540.322580645166</v>
      </c>
      <c r="U44" s="17">
        <f t="shared" si="11"/>
        <v>2.1703471666814775</v>
      </c>
      <c r="V44" s="16">
        <v>40</v>
      </c>
      <c r="W44" s="16">
        <f t="shared" si="12"/>
        <v>34000</v>
      </c>
      <c r="X44" s="16">
        <f t="shared" si="13"/>
        <v>850</v>
      </c>
      <c r="Y44" s="18" t="s">
        <v>266</v>
      </c>
      <c r="Z44" s="10" t="s">
        <v>35</v>
      </c>
      <c r="AA44" s="10" t="s">
        <v>35</v>
      </c>
      <c r="AB44" s="10" t="s">
        <v>267</v>
      </c>
      <c r="AC44" s="10">
        <v>0</v>
      </c>
      <c r="AD44" s="10">
        <v>1</v>
      </c>
      <c r="AE44" s="10" t="s">
        <v>37</v>
      </c>
      <c r="AF44" s="10" t="s">
        <v>43</v>
      </c>
      <c r="AG44" s="10" t="s">
        <v>38</v>
      </c>
      <c r="AH44" s="10" t="s">
        <v>92</v>
      </c>
    </row>
    <row r="45" spans="1:34" x14ac:dyDescent="0.3">
      <c r="A45" s="74" t="s">
        <v>267</v>
      </c>
      <c r="B45" s="10" t="s">
        <v>280</v>
      </c>
      <c r="C45" s="10" t="s">
        <v>281</v>
      </c>
      <c r="D45" s="11">
        <v>45503</v>
      </c>
      <c r="E45" s="12">
        <v>240001</v>
      </c>
      <c r="F45" s="10" t="s">
        <v>32</v>
      </c>
      <c r="G45" s="10" t="s">
        <v>66</v>
      </c>
      <c r="H45" s="12">
        <v>240001</v>
      </c>
      <c r="I45" s="12">
        <v>107900</v>
      </c>
      <c r="J45" s="13">
        <f t="shared" si="7"/>
        <v>44.95814600772497</v>
      </c>
      <c r="K45" s="12">
        <v>227774</v>
      </c>
      <c r="L45" s="12">
        <f>H45-202836</f>
        <v>37165</v>
      </c>
      <c r="M45" s="12">
        <v>24938</v>
      </c>
      <c r="N45" s="66">
        <f t="shared" si="8"/>
        <v>0.10390790038374841</v>
      </c>
      <c r="O45" s="14">
        <v>122.84</v>
      </c>
      <c r="P45" s="15">
        <v>262</v>
      </c>
      <c r="Q45" s="16">
        <v>0.36099999999999999</v>
      </c>
      <c r="R45" s="16">
        <v>0.24099999999999999</v>
      </c>
      <c r="S45" s="12">
        <f t="shared" si="9"/>
        <v>302.54802995766852</v>
      </c>
      <c r="T45" s="12">
        <f t="shared" si="10"/>
        <v>102950.13850415513</v>
      </c>
      <c r="U45" s="17">
        <f t="shared" si="11"/>
        <v>2.3634099748428632</v>
      </c>
      <c r="V45" s="16">
        <v>120</v>
      </c>
      <c r="W45" s="16">
        <f t="shared" si="12"/>
        <v>48000.200000000004</v>
      </c>
      <c r="X45" s="16">
        <f t="shared" si="13"/>
        <v>400.00166666666672</v>
      </c>
      <c r="Y45" s="18" t="s">
        <v>266</v>
      </c>
      <c r="Z45" s="10" t="s">
        <v>35</v>
      </c>
      <c r="AA45" s="10" t="s">
        <v>282</v>
      </c>
      <c r="AB45" s="10" t="s">
        <v>267</v>
      </c>
      <c r="AC45" s="10">
        <v>0</v>
      </c>
      <c r="AD45" s="10">
        <v>1</v>
      </c>
      <c r="AE45" s="10" t="s">
        <v>37</v>
      </c>
      <c r="AF45" s="10" t="s">
        <v>43</v>
      </c>
      <c r="AG45" s="10" t="s">
        <v>38</v>
      </c>
      <c r="AH45" s="10" t="s">
        <v>92</v>
      </c>
    </row>
    <row r="46" spans="1:34" x14ac:dyDescent="0.3">
      <c r="A46" s="75" t="s">
        <v>267</v>
      </c>
      <c r="B46" s="19" t="s">
        <v>268</v>
      </c>
      <c r="C46" s="19" t="s">
        <v>269</v>
      </c>
      <c r="D46" s="20">
        <v>45719</v>
      </c>
      <c r="E46" s="21">
        <v>13000</v>
      </c>
      <c r="F46" s="19" t="s">
        <v>32</v>
      </c>
      <c r="G46" s="19" t="s">
        <v>33</v>
      </c>
      <c r="H46" s="21">
        <v>13000</v>
      </c>
      <c r="I46" s="21">
        <v>61500</v>
      </c>
      <c r="J46" s="22">
        <f t="shared" si="7"/>
        <v>473.07692307692309</v>
      </c>
      <c r="K46" s="21">
        <v>8281</v>
      </c>
      <c r="L46" s="21">
        <f>H46-0</f>
        <v>13000</v>
      </c>
      <c r="M46" s="21">
        <v>8281</v>
      </c>
      <c r="N46" s="67">
        <f t="shared" si="8"/>
        <v>0.63700000000000001</v>
      </c>
      <c r="O46" s="23">
        <v>40.79</v>
      </c>
      <c r="P46" s="24">
        <v>130</v>
      </c>
      <c r="Q46" s="25">
        <v>0.11899999999999999</v>
      </c>
      <c r="R46" s="25">
        <v>0.11899999999999999</v>
      </c>
      <c r="S46" s="21">
        <f t="shared" si="9"/>
        <v>318.70556508948272</v>
      </c>
      <c r="T46" s="21">
        <f t="shared" si="10"/>
        <v>109243.6974789916</v>
      </c>
      <c r="U46" s="26">
        <f t="shared" si="11"/>
        <v>2.5078902084249677</v>
      </c>
      <c r="V46" s="25">
        <v>40</v>
      </c>
      <c r="W46" s="25">
        <f t="shared" si="12"/>
        <v>2600</v>
      </c>
      <c r="X46" s="25">
        <f t="shared" si="13"/>
        <v>65</v>
      </c>
      <c r="Y46" s="27" t="s">
        <v>266</v>
      </c>
      <c r="Z46" s="19" t="s">
        <v>35</v>
      </c>
      <c r="AA46" s="19" t="s">
        <v>35</v>
      </c>
      <c r="AB46" s="19" t="s">
        <v>267</v>
      </c>
      <c r="AC46" s="19">
        <v>0</v>
      </c>
      <c r="AD46" s="19">
        <v>1</v>
      </c>
      <c r="AE46" s="19" t="s">
        <v>42</v>
      </c>
      <c r="AF46" s="19" t="s">
        <v>35</v>
      </c>
      <c r="AG46" s="19" t="s">
        <v>61</v>
      </c>
      <c r="AH46" s="19" t="s">
        <v>92</v>
      </c>
    </row>
    <row r="47" spans="1:34" x14ac:dyDescent="0.3">
      <c r="A47" s="75" t="s">
        <v>267</v>
      </c>
      <c r="B47" s="19" t="s">
        <v>429</v>
      </c>
      <c r="C47" s="19" t="s">
        <v>430</v>
      </c>
      <c r="D47" s="20">
        <v>45191</v>
      </c>
      <c r="E47" s="21">
        <v>117000</v>
      </c>
      <c r="F47" s="19" t="s">
        <v>32</v>
      </c>
      <c r="G47" s="19" t="s">
        <v>66</v>
      </c>
      <c r="H47" s="21">
        <v>117000</v>
      </c>
      <c r="I47" s="21">
        <v>41200</v>
      </c>
      <c r="J47" s="22">
        <f t="shared" si="7"/>
        <v>35.213675213675216</v>
      </c>
      <c r="K47" s="21">
        <v>107977</v>
      </c>
      <c r="L47" s="21">
        <f>H47-94858</f>
        <v>22142</v>
      </c>
      <c r="M47" s="21">
        <v>13119</v>
      </c>
      <c r="N47" s="67">
        <f t="shared" si="8"/>
        <v>0.11212820512820512</v>
      </c>
      <c r="O47" s="23">
        <v>64.62</v>
      </c>
      <c r="P47" s="24">
        <v>290</v>
      </c>
      <c r="Q47" s="25">
        <v>0.2</v>
      </c>
      <c r="R47" s="25">
        <v>0.13300000000000001</v>
      </c>
      <c r="S47" s="21">
        <f t="shared" si="9"/>
        <v>342.64933457134009</v>
      </c>
      <c r="T47" s="21">
        <f t="shared" si="10"/>
        <v>110710</v>
      </c>
      <c r="U47" s="26">
        <f t="shared" si="11"/>
        <v>2.5415518824609733</v>
      </c>
      <c r="V47" s="25">
        <v>60</v>
      </c>
      <c r="W47" s="25">
        <f t="shared" si="12"/>
        <v>23400</v>
      </c>
      <c r="X47" s="25">
        <f t="shared" si="13"/>
        <v>390</v>
      </c>
      <c r="Y47" s="27" t="s">
        <v>266</v>
      </c>
      <c r="Z47" s="19" t="s">
        <v>35</v>
      </c>
      <c r="AA47" s="19" t="s">
        <v>431</v>
      </c>
      <c r="AB47" s="19" t="s">
        <v>267</v>
      </c>
      <c r="AC47" s="19">
        <v>0</v>
      </c>
      <c r="AD47" s="19">
        <v>1</v>
      </c>
      <c r="AE47" s="19" t="s">
        <v>42</v>
      </c>
      <c r="AF47" s="19" t="s">
        <v>43</v>
      </c>
      <c r="AG47" s="19" t="s">
        <v>38</v>
      </c>
      <c r="AH47" s="19" t="s">
        <v>92</v>
      </c>
    </row>
    <row r="48" spans="1:34" x14ac:dyDescent="0.3">
      <c r="A48" s="74" t="s">
        <v>267</v>
      </c>
      <c r="B48" s="10" t="s">
        <v>330</v>
      </c>
      <c r="C48" s="10" t="s">
        <v>331</v>
      </c>
      <c r="D48" s="11">
        <v>45198</v>
      </c>
      <c r="E48" s="12">
        <v>150000</v>
      </c>
      <c r="F48" s="10" t="s">
        <v>32</v>
      </c>
      <c r="G48" s="10" t="s">
        <v>33</v>
      </c>
      <c r="H48" s="12">
        <v>150000</v>
      </c>
      <c r="I48" s="12">
        <v>56000</v>
      </c>
      <c r="J48" s="13">
        <f t="shared" si="7"/>
        <v>37.333333333333336</v>
      </c>
      <c r="K48" s="12">
        <v>142607</v>
      </c>
      <c r="L48" s="12">
        <f>H48-132216</f>
        <v>17784</v>
      </c>
      <c r="M48" s="12">
        <v>10391</v>
      </c>
      <c r="N48" s="66">
        <f t="shared" si="8"/>
        <v>6.927333333333334E-2</v>
      </c>
      <c r="O48" s="14">
        <v>51.18</v>
      </c>
      <c r="P48" s="15">
        <v>131</v>
      </c>
      <c r="Q48" s="16">
        <v>0.15</v>
      </c>
      <c r="R48" s="16">
        <v>0.15</v>
      </c>
      <c r="S48" s="12">
        <f t="shared" si="9"/>
        <v>347.47948417350528</v>
      </c>
      <c r="T48" s="12">
        <f t="shared" si="10"/>
        <v>118560</v>
      </c>
      <c r="U48" s="17">
        <f t="shared" si="11"/>
        <v>2.721763085399449</v>
      </c>
      <c r="V48" s="16">
        <v>50</v>
      </c>
      <c r="W48" s="16">
        <f t="shared" si="12"/>
        <v>30000</v>
      </c>
      <c r="X48" s="16">
        <f t="shared" si="13"/>
        <v>600</v>
      </c>
      <c r="Y48" s="18" t="s">
        <v>266</v>
      </c>
      <c r="Z48" s="10" t="s">
        <v>35</v>
      </c>
      <c r="AA48" s="10" t="s">
        <v>35</v>
      </c>
      <c r="AB48" s="10" t="s">
        <v>267</v>
      </c>
      <c r="AC48" s="10">
        <v>0</v>
      </c>
      <c r="AD48" s="10">
        <v>1</v>
      </c>
      <c r="AE48" s="10" t="s">
        <v>37</v>
      </c>
      <c r="AF48" s="10" t="s">
        <v>43</v>
      </c>
      <c r="AG48" s="10" t="s">
        <v>38</v>
      </c>
      <c r="AH48" s="10" t="s">
        <v>92</v>
      </c>
    </row>
    <row r="49" spans="1:34" x14ac:dyDescent="0.3">
      <c r="A49" s="74" t="s">
        <v>267</v>
      </c>
      <c r="B49" s="10" t="s">
        <v>542</v>
      </c>
      <c r="C49" s="10" t="s">
        <v>543</v>
      </c>
      <c r="D49" s="11">
        <v>45631</v>
      </c>
      <c r="E49" s="12">
        <v>150000</v>
      </c>
      <c r="F49" s="10" t="s">
        <v>32</v>
      </c>
      <c r="G49" s="10" t="s">
        <v>33</v>
      </c>
      <c r="H49" s="12">
        <v>150000</v>
      </c>
      <c r="I49" s="12">
        <v>59900</v>
      </c>
      <c r="J49" s="13">
        <f t="shared" si="7"/>
        <v>39.93333333333333</v>
      </c>
      <c r="K49" s="12">
        <v>134349</v>
      </c>
      <c r="L49" s="12">
        <f>H49-112878</f>
        <v>37122</v>
      </c>
      <c r="M49" s="12">
        <v>21471</v>
      </c>
      <c r="N49" s="66">
        <f t="shared" si="8"/>
        <v>0.14313999999999999</v>
      </c>
      <c r="O49" s="14">
        <v>105.76</v>
      </c>
      <c r="P49" s="15">
        <v>293.02999999999997</v>
      </c>
      <c r="Q49" s="16">
        <v>0.46500000000000002</v>
      </c>
      <c r="R49" s="16">
        <v>0.46500000000000002</v>
      </c>
      <c r="S49" s="12">
        <f t="shared" si="9"/>
        <v>351.00226928895609</v>
      </c>
      <c r="T49" s="12">
        <f t="shared" si="10"/>
        <v>79832.258064516122</v>
      </c>
      <c r="U49" s="17">
        <f t="shared" si="11"/>
        <v>1.8326964661275511</v>
      </c>
      <c r="V49" s="16">
        <v>69.12</v>
      </c>
      <c r="W49" s="16">
        <f t="shared" si="12"/>
        <v>30000</v>
      </c>
      <c r="X49" s="16">
        <f t="shared" si="13"/>
        <v>434.02777777777777</v>
      </c>
      <c r="Y49" s="18" t="s">
        <v>266</v>
      </c>
      <c r="Z49" s="10" t="s">
        <v>35</v>
      </c>
      <c r="AA49" s="10" t="s">
        <v>35</v>
      </c>
      <c r="AB49" s="10" t="s">
        <v>267</v>
      </c>
      <c r="AC49" s="10">
        <v>0</v>
      </c>
      <c r="AD49" s="10">
        <v>1</v>
      </c>
      <c r="AE49" s="10" t="s">
        <v>42</v>
      </c>
      <c r="AF49" s="10" t="s">
        <v>35</v>
      </c>
      <c r="AG49" s="10" t="s">
        <v>38</v>
      </c>
      <c r="AH49" s="10" t="s">
        <v>92</v>
      </c>
    </row>
    <row r="50" spans="1:34" x14ac:dyDescent="0.3">
      <c r="A50" s="75" t="s">
        <v>267</v>
      </c>
      <c r="B50" s="19" t="s">
        <v>485</v>
      </c>
      <c r="C50" s="19" t="s">
        <v>486</v>
      </c>
      <c r="D50" s="20">
        <v>45568</v>
      </c>
      <c r="E50" s="21">
        <v>129000</v>
      </c>
      <c r="F50" s="19" t="s">
        <v>32</v>
      </c>
      <c r="G50" s="19" t="s">
        <v>33</v>
      </c>
      <c r="H50" s="21">
        <v>129000</v>
      </c>
      <c r="I50" s="21">
        <v>53600</v>
      </c>
      <c r="J50" s="22">
        <f t="shared" si="7"/>
        <v>41.550387596899228</v>
      </c>
      <c r="K50" s="21">
        <v>120873</v>
      </c>
      <c r="L50" s="21">
        <f>H50-112434</f>
        <v>16566</v>
      </c>
      <c r="M50" s="21">
        <v>8439</v>
      </c>
      <c r="N50" s="67">
        <f t="shared" si="8"/>
        <v>6.5418604651162796E-2</v>
      </c>
      <c r="O50" s="23">
        <v>41.56</v>
      </c>
      <c r="P50" s="24">
        <v>135</v>
      </c>
      <c r="Q50" s="25">
        <v>0.124</v>
      </c>
      <c r="R50" s="25">
        <v>0.124</v>
      </c>
      <c r="S50" s="21">
        <f t="shared" si="9"/>
        <v>398.60442733397497</v>
      </c>
      <c r="T50" s="21">
        <f t="shared" si="10"/>
        <v>133596.77419354839</v>
      </c>
      <c r="U50" s="26">
        <f t="shared" si="11"/>
        <v>3.0669599217986314</v>
      </c>
      <c r="V50" s="25">
        <v>40</v>
      </c>
      <c r="W50" s="25">
        <f t="shared" si="12"/>
        <v>25800</v>
      </c>
      <c r="X50" s="25">
        <f t="shared" si="13"/>
        <v>645</v>
      </c>
      <c r="Y50" s="27" t="s">
        <v>266</v>
      </c>
      <c r="Z50" s="19" t="s">
        <v>35</v>
      </c>
      <c r="AA50" s="19" t="s">
        <v>35</v>
      </c>
      <c r="AB50" s="19" t="s">
        <v>267</v>
      </c>
      <c r="AC50" s="19">
        <v>0</v>
      </c>
      <c r="AD50" s="19">
        <v>1</v>
      </c>
      <c r="AE50" s="19" t="s">
        <v>42</v>
      </c>
      <c r="AF50" s="19" t="s">
        <v>43</v>
      </c>
      <c r="AG50" s="19" t="s">
        <v>38</v>
      </c>
      <c r="AH50" s="19" t="s">
        <v>92</v>
      </c>
    </row>
    <row r="51" spans="1:34" x14ac:dyDescent="0.3">
      <c r="A51" s="74" t="s">
        <v>267</v>
      </c>
      <c r="B51" s="10" t="s">
        <v>322</v>
      </c>
      <c r="C51" s="10" t="s">
        <v>323</v>
      </c>
      <c r="D51" s="11">
        <v>45504</v>
      </c>
      <c r="E51" s="12">
        <v>159000</v>
      </c>
      <c r="F51" s="10" t="s">
        <v>32</v>
      </c>
      <c r="G51" s="10" t="s">
        <v>33</v>
      </c>
      <c r="H51" s="12">
        <v>159000</v>
      </c>
      <c r="I51" s="12">
        <v>61900</v>
      </c>
      <c r="J51" s="13">
        <f t="shared" si="7"/>
        <v>38.930817610062896</v>
      </c>
      <c r="K51" s="12">
        <v>139303</v>
      </c>
      <c r="L51" s="12">
        <f>H51-120057</f>
        <v>38943</v>
      </c>
      <c r="M51" s="12">
        <v>19246</v>
      </c>
      <c r="N51" s="66">
        <f t="shared" si="8"/>
        <v>0.1210440251572327</v>
      </c>
      <c r="O51" s="14">
        <v>94.8</v>
      </c>
      <c r="P51" s="15">
        <v>131.9</v>
      </c>
      <c r="Q51" s="16">
        <v>0.28000000000000003</v>
      </c>
      <c r="R51" s="16">
        <v>0.28000000000000003</v>
      </c>
      <c r="S51" s="12">
        <f t="shared" si="9"/>
        <v>410.79113924050637</v>
      </c>
      <c r="T51" s="12">
        <f t="shared" si="10"/>
        <v>139082.14285714284</v>
      </c>
      <c r="U51" s="17">
        <f t="shared" si="11"/>
        <v>3.1928866587957492</v>
      </c>
      <c r="V51" s="16">
        <v>92.18</v>
      </c>
      <c r="W51" s="16">
        <f t="shared" si="12"/>
        <v>31800</v>
      </c>
      <c r="X51" s="16">
        <f t="shared" si="13"/>
        <v>344.97721848557165</v>
      </c>
      <c r="Y51" s="18" t="s">
        <v>266</v>
      </c>
      <c r="Z51" s="10" t="s">
        <v>35</v>
      </c>
      <c r="AA51" s="10" t="s">
        <v>35</v>
      </c>
      <c r="AB51" s="10" t="s">
        <v>267</v>
      </c>
      <c r="AC51" s="10">
        <v>0</v>
      </c>
      <c r="AD51" s="10">
        <v>1</v>
      </c>
      <c r="AE51" s="10" t="s">
        <v>42</v>
      </c>
      <c r="AF51" s="10" t="s">
        <v>43</v>
      </c>
      <c r="AG51" s="10" t="s">
        <v>38</v>
      </c>
      <c r="AH51" s="10" t="s">
        <v>92</v>
      </c>
    </row>
    <row r="52" spans="1:34" x14ac:dyDescent="0.3">
      <c r="A52" s="75" t="s">
        <v>267</v>
      </c>
      <c r="B52" s="19" t="s">
        <v>495</v>
      </c>
      <c r="C52" s="19" t="s">
        <v>496</v>
      </c>
      <c r="D52" s="20">
        <v>45728</v>
      </c>
      <c r="E52" s="21">
        <v>138100</v>
      </c>
      <c r="F52" s="19" t="s">
        <v>32</v>
      </c>
      <c r="G52" s="19" t="s">
        <v>33</v>
      </c>
      <c r="H52" s="21">
        <v>138100</v>
      </c>
      <c r="I52" s="21">
        <v>56900</v>
      </c>
      <c r="J52" s="22">
        <f t="shared" si="7"/>
        <v>41.202027516292546</v>
      </c>
      <c r="K52" s="21">
        <v>128853</v>
      </c>
      <c r="L52" s="21">
        <f>H52-120414</f>
        <v>17686</v>
      </c>
      <c r="M52" s="21">
        <v>8439</v>
      </c>
      <c r="N52" s="67">
        <f t="shared" si="8"/>
        <v>6.1107892831281679E-2</v>
      </c>
      <c r="O52" s="23">
        <v>41.56</v>
      </c>
      <c r="P52" s="24">
        <v>135</v>
      </c>
      <c r="Q52" s="25">
        <v>0.124</v>
      </c>
      <c r="R52" s="25">
        <v>0.124</v>
      </c>
      <c r="S52" s="21">
        <f t="shared" si="9"/>
        <v>425.55341674687196</v>
      </c>
      <c r="T52" s="21">
        <f t="shared" si="10"/>
        <v>142629.03225806452</v>
      </c>
      <c r="U52" s="26">
        <f t="shared" si="11"/>
        <v>3.2743120353091029</v>
      </c>
      <c r="V52" s="25">
        <v>40</v>
      </c>
      <c r="W52" s="25">
        <f t="shared" si="12"/>
        <v>27620</v>
      </c>
      <c r="X52" s="25">
        <f t="shared" si="13"/>
        <v>690.5</v>
      </c>
      <c r="Y52" s="27" t="s">
        <v>266</v>
      </c>
      <c r="Z52" s="19" t="s">
        <v>35</v>
      </c>
      <c r="AA52" s="19" t="s">
        <v>35</v>
      </c>
      <c r="AB52" s="19" t="s">
        <v>267</v>
      </c>
      <c r="AC52" s="19">
        <v>0</v>
      </c>
      <c r="AD52" s="19">
        <v>1</v>
      </c>
      <c r="AE52" s="19" t="s">
        <v>37</v>
      </c>
      <c r="AF52" s="19" t="s">
        <v>35</v>
      </c>
      <c r="AG52" s="19" t="s">
        <v>38</v>
      </c>
      <c r="AH52" s="19" t="s">
        <v>92</v>
      </c>
    </row>
    <row r="53" spans="1:34" x14ac:dyDescent="0.3">
      <c r="A53" s="74" t="s">
        <v>267</v>
      </c>
      <c r="B53" s="10" t="s">
        <v>536</v>
      </c>
      <c r="C53" s="10" t="s">
        <v>537</v>
      </c>
      <c r="D53" s="11">
        <v>45660</v>
      </c>
      <c r="E53" s="12">
        <v>160000</v>
      </c>
      <c r="F53" s="10" t="s">
        <v>32</v>
      </c>
      <c r="G53" s="10" t="s">
        <v>33</v>
      </c>
      <c r="H53" s="12">
        <v>160000</v>
      </c>
      <c r="I53" s="12">
        <v>66700</v>
      </c>
      <c r="J53" s="13">
        <f t="shared" si="7"/>
        <v>41.6875</v>
      </c>
      <c r="K53" s="12">
        <v>144480</v>
      </c>
      <c r="L53" s="12">
        <f>H53-132251</f>
        <v>27749</v>
      </c>
      <c r="M53" s="12">
        <v>12229</v>
      </c>
      <c r="N53" s="66">
        <f t="shared" si="8"/>
        <v>7.6431250000000006E-2</v>
      </c>
      <c r="O53" s="14">
        <v>60.23</v>
      </c>
      <c r="P53" s="15">
        <v>126</v>
      </c>
      <c r="Q53" s="16">
        <v>0.17399999999999999</v>
      </c>
      <c r="R53" s="16">
        <v>0.17399999999999999</v>
      </c>
      <c r="S53" s="12">
        <f t="shared" si="9"/>
        <v>460.71725053959824</v>
      </c>
      <c r="T53" s="12">
        <f t="shared" si="10"/>
        <v>159477.01149425289</v>
      </c>
      <c r="U53" s="17">
        <f t="shared" si="11"/>
        <v>3.66108841814171</v>
      </c>
      <c r="V53" s="16">
        <v>60</v>
      </c>
      <c r="W53" s="16">
        <f t="shared" si="12"/>
        <v>32000</v>
      </c>
      <c r="X53" s="16">
        <f t="shared" si="13"/>
        <v>533.33333333333337</v>
      </c>
      <c r="Y53" s="18" t="s">
        <v>266</v>
      </c>
      <c r="Z53" s="10" t="s">
        <v>35</v>
      </c>
      <c r="AA53" s="10" t="s">
        <v>35</v>
      </c>
      <c r="AB53" s="10" t="s">
        <v>267</v>
      </c>
      <c r="AC53" s="10">
        <v>0</v>
      </c>
      <c r="AD53" s="10">
        <v>1</v>
      </c>
      <c r="AE53" s="10" t="s">
        <v>412</v>
      </c>
      <c r="AF53" s="10" t="s">
        <v>35</v>
      </c>
      <c r="AG53" s="10" t="s">
        <v>38</v>
      </c>
      <c r="AH53" s="10" t="s">
        <v>92</v>
      </c>
    </row>
    <row r="54" spans="1:34" x14ac:dyDescent="0.3">
      <c r="A54" s="75" t="s">
        <v>267</v>
      </c>
      <c r="B54" s="19" t="s">
        <v>453</v>
      </c>
      <c r="C54" s="19" t="s">
        <v>454</v>
      </c>
      <c r="D54" s="20">
        <v>45357</v>
      </c>
      <c r="E54" s="21">
        <v>106000</v>
      </c>
      <c r="F54" s="19" t="s">
        <v>32</v>
      </c>
      <c r="G54" s="19" t="s">
        <v>33</v>
      </c>
      <c r="H54" s="21">
        <v>106000</v>
      </c>
      <c r="I54" s="21">
        <v>36100</v>
      </c>
      <c r="J54" s="22">
        <f t="shared" si="7"/>
        <v>34.056603773584904</v>
      </c>
      <c r="K54" s="21">
        <v>95000</v>
      </c>
      <c r="L54" s="21">
        <f>H54-86561</f>
        <v>19439</v>
      </c>
      <c r="M54" s="21">
        <v>8439</v>
      </c>
      <c r="N54" s="67">
        <f t="shared" si="8"/>
        <v>7.9613207547169815E-2</v>
      </c>
      <c r="O54" s="23">
        <v>41.56</v>
      </c>
      <c r="P54" s="24">
        <v>135</v>
      </c>
      <c r="Q54" s="25">
        <v>0.124</v>
      </c>
      <c r="R54" s="25">
        <v>0.124</v>
      </c>
      <c r="S54" s="21">
        <f t="shared" si="9"/>
        <v>467.73339749759384</v>
      </c>
      <c r="T54" s="21">
        <f t="shared" si="10"/>
        <v>156766.12903225806</v>
      </c>
      <c r="U54" s="26">
        <f t="shared" si="11"/>
        <v>3.598855120116117</v>
      </c>
      <c r="V54" s="25">
        <v>40</v>
      </c>
      <c r="W54" s="25">
        <f t="shared" si="12"/>
        <v>21200</v>
      </c>
      <c r="X54" s="25">
        <f t="shared" si="13"/>
        <v>530</v>
      </c>
      <c r="Y54" s="27" t="s">
        <v>266</v>
      </c>
      <c r="Z54" s="19" t="s">
        <v>35</v>
      </c>
      <c r="AA54" s="19" t="s">
        <v>35</v>
      </c>
      <c r="AB54" s="19" t="s">
        <v>267</v>
      </c>
      <c r="AC54" s="19">
        <v>0</v>
      </c>
      <c r="AD54" s="19">
        <v>1</v>
      </c>
      <c r="AE54" s="19" t="s">
        <v>42</v>
      </c>
      <c r="AF54" s="19" t="s">
        <v>43</v>
      </c>
      <c r="AG54" s="19" t="s">
        <v>38</v>
      </c>
      <c r="AH54" s="19" t="s">
        <v>92</v>
      </c>
    </row>
    <row r="55" spans="1:34" x14ac:dyDescent="0.3">
      <c r="A55" s="74" t="s">
        <v>267</v>
      </c>
      <c r="B55" s="10" t="s">
        <v>351</v>
      </c>
      <c r="C55" s="10" t="s">
        <v>352</v>
      </c>
      <c r="D55" s="11">
        <v>45257</v>
      </c>
      <c r="E55" s="12">
        <v>245000</v>
      </c>
      <c r="F55" s="10" t="s">
        <v>32</v>
      </c>
      <c r="G55" s="10" t="s">
        <v>33</v>
      </c>
      <c r="H55" s="12">
        <v>245000</v>
      </c>
      <c r="I55" s="12">
        <v>84300</v>
      </c>
      <c r="J55" s="13">
        <f t="shared" si="7"/>
        <v>34.408163265306122</v>
      </c>
      <c r="K55" s="12">
        <v>211752</v>
      </c>
      <c r="L55" s="12">
        <f>H55-187542</f>
        <v>57458</v>
      </c>
      <c r="M55" s="12">
        <v>24210</v>
      </c>
      <c r="N55" s="66">
        <f t="shared" si="8"/>
        <v>9.8816326530612245E-2</v>
      </c>
      <c r="O55" s="14">
        <v>119.26</v>
      </c>
      <c r="P55" s="15">
        <v>123.47</v>
      </c>
      <c r="Q55" s="16">
        <v>0.34</v>
      </c>
      <c r="R55" s="16">
        <v>0.34</v>
      </c>
      <c r="S55" s="12">
        <f t="shared" si="9"/>
        <v>481.78769075968472</v>
      </c>
      <c r="T55" s="12">
        <f t="shared" si="10"/>
        <v>168994.11764705883</v>
      </c>
      <c r="U55" s="17">
        <f t="shared" si="11"/>
        <v>3.8795711121914329</v>
      </c>
      <c r="V55" s="16">
        <v>120</v>
      </c>
      <c r="W55" s="16">
        <f t="shared" si="12"/>
        <v>49000</v>
      </c>
      <c r="X55" s="16">
        <f t="shared" si="13"/>
        <v>408.33333333333331</v>
      </c>
      <c r="Y55" s="18" t="s">
        <v>266</v>
      </c>
      <c r="Z55" s="10" t="s">
        <v>35</v>
      </c>
      <c r="AA55" s="10" t="s">
        <v>35</v>
      </c>
      <c r="AB55" s="10" t="s">
        <v>267</v>
      </c>
      <c r="AC55" s="10">
        <v>0</v>
      </c>
      <c r="AD55" s="10">
        <v>1</v>
      </c>
      <c r="AE55" s="10" t="s">
        <v>42</v>
      </c>
      <c r="AF55" s="10" t="s">
        <v>43</v>
      </c>
      <c r="AG55" s="10" t="s">
        <v>38</v>
      </c>
      <c r="AH55" s="10" t="s">
        <v>92</v>
      </c>
    </row>
    <row r="56" spans="1:34" x14ac:dyDescent="0.3">
      <c r="A56" s="74" t="s">
        <v>267</v>
      </c>
      <c r="B56" s="10" t="s">
        <v>497</v>
      </c>
      <c r="C56" s="10" t="s">
        <v>498</v>
      </c>
      <c r="D56" s="11">
        <v>45245</v>
      </c>
      <c r="E56" s="12">
        <v>139900</v>
      </c>
      <c r="F56" s="10" t="s">
        <v>32</v>
      </c>
      <c r="G56" s="10" t="s">
        <v>33</v>
      </c>
      <c r="H56" s="12">
        <v>139900</v>
      </c>
      <c r="I56" s="12">
        <v>51300</v>
      </c>
      <c r="J56" s="13">
        <f t="shared" si="7"/>
        <v>36.669049320943529</v>
      </c>
      <c r="K56" s="12">
        <v>127927</v>
      </c>
      <c r="L56" s="12">
        <f>H56-119520</f>
        <v>20380</v>
      </c>
      <c r="M56" s="12">
        <v>8407</v>
      </c>
      <c r="N56" s="66">
        <f t="shared" si="8"/>
        <v>6.0092923516797715E-2</v>
      </c>
      <c r="O56" s="14">
        <v>41.41</v>
      </c>
      <c r="P56" s="15">
        <v>134</v>
      </c>
      <c r="Q56" s="16">
        <v>0.123</v>
      </c>
      <c r="R56" s="16">
        <v>0.123</v>
      </c>
      <c r="S56" s="12">
        <f t="shared" si="9"/>
        <v>492.15165418980928</v>
      </c>
      <c r="T56" s="12">
        <f t="shared" si="10"/>
        <v>165691.05691056911</v>
      </c>
      <c r="U56" s="17">
        <f t="shared" si="11"/>
        <v>3.8037432715924955</v>
      </c>
      <c r="V56" s="16">
        <v>40</v>
      </c>
      <c r="W56" s="16">
        <f t="shared" si="12"/>
        <v>27980</v>
      </c>
      <c r="X56" s="16">
        <f t="shared" si="13"/>
        <v>699.5</v>
      </c>
      <c r="Y56" s="18" t="s">
        <v>266</v>
      </c>
      <c r="Z56" s="10" t="s">
        <v>35</v>
      </c>
      <c r="AA56" s="10" t="s">
        <v>35</v>
      </c>
      <c r="AB56" s="10" t="s">
        <v>267</v>
      </c>
      <c r="AC56" s="10">
        <v>0</v>
      </c>
      <c r="AD56" s="10">
        <v>1</v>
      </c>
      <c r="AE56" s="10" t="s">
        <v>37</v>
      </c>
      <c r="AF56" s="10" t="s">
        <v>43</v>
      </c>
      <c r="AG56" s="10" t="s">
        <v>38</v>
      </c>
      <c r="AH56" s="10" t="s">
        <v>92</v>
      </c>
    </row>
    <row r="57" spans="1:34" x14ac:dyDescent="0.3">
      <c r="A57" s="75" t="s">
        <v>267</v>
      </c>
      <c r="B57" s="19" t="s">
        <v>479</v>
      </c>
      <c r="C57" s="19" t="s">
        <v>480</v>
      </c>
      <c r="D57" s="20">
        <v>45631</v>
      </c>
      <c r="E57" s="21">
        <v>118500</v>
      </c>
      <c r="F57" s="19" t="s">
        <v>32</v>
      </c>
      <c r="G57" s="19" t="s">
        <v>33</v>
      </c>
      <c r="H57" s="21">
        <v>118500</v>
      </c>
      <c r="I57" s="21">
        <v>47000</v>
      </c>
      <c r="J57" s="22">
        <f t="shared" si="7"/>
        <v>39.662447257383967</v>
      </c>
      <c r="K57" s="21">
        <v>107485</v>
      </c>
      <c r="L57" s="21">
        <f>H57-99868</f>
        <v>18632</v>
      </c>
      <c r="M57" s="21">
        <v>7617</v>
      </c>
      <c r="N57" s="67">
        <f t="shared" si="8"/>
        <v>6.4278481012658234E-2</v>
      </c>
      <c r="O57" s="23">
        <v>37.520000000000003</v>
      </c>
      <c r="P57" s="24">
        <v>110</v>
      </c>
      <c r="Q57" s="25">
        <v>0.10100000000000001</v>
      </c>
      <c r="R57" s="25">
        <v>0.10100000000000001</v>
      </c>
      <c r="S57" s="21">
        <f t="shared" si="9"/>
        <v>496.58848614072491</v>
      </c>
      <c r="T57" s="21">
        <f t="shared" si="10"/>
        <v>184475.24752475246</v>
      </c>
      <c r="U57" s="26">
        <f t="shared" si="11"/>
        <v>4.2349689514405986</v>
      </c>
      <c r="V57" s="25">
        <v>40</v>
      </c>
      <c r="W57" s="25">
        <f t="shared" si="12"/>
        <v>23700</v>
      </c>
      <c r="X57" s="25">
        <f t="shared" si="13"/>
        <v>592.5</v>
      </c>
      <c r="Y57" s="27" t="s">
        <v>266</v>
      </c>
      <c r="Z57" s="19" t="s">
        <v>35</v>
      </c>
      <c r="AA57" s="19" t="s">
        <v>35</v>
      </c>
      <c r="AB57" s="19" t="s">
        <v>267</v>
      </c>
      <c r="AC57" s="19">
        <v>0</v>
      </c>
      <c r="AD57" s="19">
        <v>1</v>
      </c>
      <c r="AE57" s="19" t="s">
        <v>37</v>
      </c>
      <c r="AF57" s="19" t="s">
        <v>35</v>
      </c>
      <c r="AG57" s="19" t="s">
        <v>38</v>
      </c>
      <c r="AH57" s="19" t="s">
        <v>92</v>
      </c>
    </row>
    <row r="58" spans="1:34" x14ac:dyDescent="0.3">
      <c r="A58" s="75" t="s">
        <v>267</v>
      </c>
      <c r="B58" s="19" t="s">
        <v>285</v>
      </c>
      <c r="C58" s="19" t="s">
        <v>286</v>
      </c>
      <c r="D58" s="20">
        <v>45461</v>
      </c>
      <c r="E58" s="21">
        <v>140000</v>
      </c>
      <c r="F58" s="19" t="s">
        <v>32</v>
      </c>
      <c r="G58" s="19" t="s">
        <v>33</v>
      </c>
      <c r="H58" s="21">
        <v>140000</v>
      </c>
      <c r="I58" s="21">
        <v>56800</v>
      </c>
      <c r="J58" s="22">
        <f t="shared" si="7"/>
        <v>40.571428571428569</v>
      </c>
      <c r="K58" s="21">
        <v>127981</v>
      </c>
      <c r="L58" s="21">
        <f>H58-119668</f>
        <v>20332</v>
      </c>
      <c r="M58" s="21">
        <v>8313</v>
      </c>
      <c r="N58" s="67">
        <f t="shared" si="8"/>
        <v>5.9378571428571426E-2</v>
      </c>
      <c r="O58" s="23">
        <v>40.94</v>
      </c>
      <c r="P58" s="24">
        <v>131</v>
      </c>
      <c r="Q58" s="25">
        <v>0.12</v>
      </c>
      <c r="R58" s="25">
        <v>0.12</v>
      </c>
      <c r="S58" s="21">
        <f t="shared" si="9"/>
        <v>496.62921348314609</v>
      </c>
      <c r="T58" s="21">
        <f t="shared" si="10"/>
        <v>169433.33333333334</v>
      </c>
      <c r="U58" s="26">
        <f t="shared" si="11"/>
        <v>3.8896541169268444</v>
      </c>
      <c r="V58" s="25">
        <v>40</v>
      </c>
      <c r="W58" s="25">
        <f t="shared" si="12"/>
        <v>28000</v>
      </c>
      <c r="X58" s="25">
        <f t="shared" si="13"/>
        <v>700</v>
      </c>
      <c r="Y58" s="27" t="s">
        <v>266</v>
      </c>
      <c r="Z58" s="19" t="s">
        <v>35</v>
      </c>
      <c r="AA58" s="19" t="s">
        <v>35</v>
      </c>
      <c r="AB58" s="19" t="s">
        <v>267</v>
      </c>
      <c r="AC58" s="19">
        <v>0</v>
      </c>
      <c r="AD58" s="19">
        <v>1</v>
      </c>
      <c r="AE58" s="19" t="s">
        <v>42</v>
      </c>
      <c r="AF58" s="19" t="s">
        <v>43</v>
      </c>
      <c r="AG58" s="19" t="s">
        <v>38</v>
      </c>
      <c r="AH58" s="19" t="s">
        <v>92</v>
      </c>
    </row>
    <row r="59" spans="1:34" x14ac:dyDescent="0.3">
      <c r="A59" s="74" t="s">
        <v>267</v>
      </c>
      <c r="B59" s="10" t="s">
        <v>304</v>
      </c>
      <c r="C59" s="10" t="s">
        <v>305</v>
      </c>
      <c r="D59" s="11">
        <v>45065</v>
      </c>
      <c r="E59" s="12">
        <v>160000</v>
      </c>
      <c r="F59" s="10" t="s">
        <v>32</v>
      </c>
      <c r="G59" s="10" t="s">
        <v>33</v>
      </c>
      <c r="H59" s="12">
        <v>160000</v>
      </c>
      <c r="I59" s="12">
        <v>61100</v>
      </c>
      <c r="J59" s="13">
        <f t="shared" si="7"/>
        <v>38.1875</v>
      </c>
      <c r="K59" s="12">
        <v>147785</v>
      </c>
      <c r="L59" s="12">
        <f>H59-139472</f>
        <v>20528</v>
      </c>
      <c r="M59" s="12">
        <v>8313</v>
      </c>
      <c r="N59" s="66">
        <f t="shared" si="8"/>
        <v>5.1956250000000002E-2</v>
      </c>
      <c r="O59" s="14">
        <v>40.94</v>
      </c>
      <c r="P59" s="15">
        <v>131</v>
      </c>
      <c r="Q59" s="16">
        <v>0.12</v>
      </c>
      <c r="R59" s="16">
        <v>0.12</v>
      </c>
      <c r="S59" s="12">
        <f t="shared" si="9"/>
        <v>501.41670737664879</v>
      </c>
      <c r="T59" s="12">
        <f t="shared" si="10"/>
        <v>171066.66666666669</v>
      </c>
      <c r="U59" s="17">
        <f t="shared" si="11"/>
        <v>3.9271502907866549</v>
      </c>
      <c r="V59" s="16">
        <v>40</v>
      </c>
      <c r="W59" s="16">
        <f t="shared" si="12"/>
        <v>32000</v>
      </c>
      <c r="X59" s="16">
        <f t="shared" si="13"/>
        <v>800</v>
      </c>
      <c r="Y59" s="18" t="s">
        <v>266</v>
      </c>
      <c r="Z59" s="10" t="s">
        <v>35</v>
      </c>
      <c r="AA59" s="10" t="s">
        <v>35</v>
      </c>
      <c r="AB59" s="10" t="s">
        <v>267</v>
      </c>
      <c r="AC59" s="10">
        <v>0</v>
      </c>
      <c r="AD59" s="10">
        <v>1</v>
      </c>
      <c r="AE59" s="10" t="s">
        <v>42</v>
      </c>
      <c r="AF59" s="10" t="s">
        <v>43</v>
      </c>
      <c r="AG59" s="10" t="s">
        <v>38</v>
      </c>
      <c r="AH59" s="10" t="s">
        <v>92</v>
      </c>
    </row>
    <row r="60" spans="1:34" x14ac:dyDescent="0.3">
      <c r="A60" s="74" t="s">
        <v>267</v>
      </c>
      <c r="B60" s="10" t="s">
        <v>491</v>
      </c>
      <c r="C60" s="10" t="s">
        <v>492</v>
      </c>
      <c r="D60" s="11">
        <v>45232</v>
      </c>
      <c r="E60" s="12">
        <v>130000</v>
      </c>
      <c r="F60" s="10" t="s">
        <v>32</v>
      </c>
      <c r="G60" s="10" t="s">
        <v>33</v>
      </c>
      <c r="H60" s="12">
        <v>130000</v>
      </c>
      <c r="I60" s="12">
        <v>44200</v>
      </c>
      <c r="J60" s="13">
        <f t="shared" si="7"/>
        <v>34</v>
      </c>
      <c r="K60" s="12">
        <v>117103</v>
      </c>
      <c r="L60" s="12">
        <f>H60-108664</f>
        <v>21336</v>
      </c>
      <c r="M60" s="12">
        <v>8439</v>
      </c>
      <c r="N60" s="66">
        <f t="shared" si="8"/>
        <v>6.4915384615384611E-2</v>
      </c>
      <c r="O60" s="14">
        <v>41.56</v>
      </c>
      <c r="P60" s="15">
        <v>135</v>
      </c>
      <c r="Q60" s="16">
        <v>0.124</v>
      </c>
      <c r="R60" s="16">
        <v>0.124</v>
      </c>
      <c r="S60" s="12">
        <f t="shared" si="9"/>
        <v>513.3782483156881</v>
      </c>
      <c r="T60" s="12">
        <f t="shared" si="10"/>
        <v>172064.51612903227</v>
      </c>
      <c r="U60" s="17">
        <f t="shared" si="11"/>
        <v>3.9500577623744784</v>
      </c>
      <c r="V60" s="16">
        <v>40</v>
      </c>
      <c r="W60" s="16">
        <f t="shared" si="12"/>
        <v>26000</v>
      </c>
      <c r="X60" s="16">
        <f t="shared" si="13"/>
        <v>650</v>
      </c>
      <c r="Y60" s="18" t="s">
        <v>266</v>
      </c>
      <c r="Z60" s="10" t="s">
        <v>35</v>
      </c>
      <c r="AA60" s="10" t="s">
        <v>35</v>
      </c>
      <c r="AB60" s="10" t="s">
        <v>267</v>
      </c>
      <c r="AC60" s="10">
        <v>0</v>
      </c>
      <c r="AD60" s="10">
        <v>1</v>
      </c>
      <c r="AE60" s="10" t="s">
        <v>42</v>
      </c>
      <c r="AF60" s="10" t="s">
        <v>43</v>
      </c>
      <c r="AG60" s="10" t="s">
        <v>38</v>
      </c>
      <c r="AH60" s="10" t="s">
        <v>92</v>
      </c>
    </row>
    <row r="61" spans="1:34" x14ac:dyDescent="0.3">
      <c r="A61" s="75" t="s">
        <v>267</v>
      </c>
      <c r="B61" s="19" t="s">
        <v>347</v>
      </c>
      <c r="C61" s="19" t="s">
        <v>348</v>
      </c>
      <c r="D61" s="20">
        <v>45509</v>
      </c>
      <c r="E61" s="21">
        <v>155000</v>
      </c>
      <c r="F61" s="19" t="s">
        <v>32</v>
      </c>
      <c r="G61" s="19" t="s">
        <v>33</v>
      </c>
      <c r="H61" s="21">
        <v>155000</v>
      </c>
      <c r="I61" s="21">
        <v>65300</v>
      </c>
      <c r="J61" s="22">
        <f t="shared" si="7"/>
        <v>42.129032258064512</v>
      </c>
      <c r="K61" s="21">
        <v>141826</v>
      </c>
      <c r="L61" s="21">
        <f>H61-133545</f>
        <v>21455</v>
      </c>
      <c r="M61" s="21">
        <v>8281</v>
      </c>
      <c r="N61" s="67">
        <f t="shared" si="8"/>
        <v>5.3425806451612906E-2</v>
      </c>
      <c r="O61" s="23">
        <v>40.79</v>
      </c>
      <c r="P61" s="24">
        <v>130</v>
      </c>
      <c r="Q61" s="25">
        <v>0.11899999999999999</v>
      </c>
      <c r="R61" s="25">
        <v>0.11899999999999999</v>
      </c>
      <c r="S61" s="21">
        <f t="shared" si="9"/>
        <v>525.98676146114246</v>
      </c>
      <c r="T61" s="21">
        <f t="shared" si="10"/>
        <v>180294.11764705883</v>
      </c>
      <c r="U61" s="26">
        <f t="shared" si="11"/>
        <v>4.1389834170582835</v>
      </c>
      <c r="V61" s="25">
        <v>40</v>
      </c>
      <c r="W61" s="25">
        <f t="shared" si="12"/>
        <v>31000</v>
      </c>
      <c r="X61" s="25">
        <f t="shared" si="13"/>
        <v>775</v>
      </c>
      <c r="Y61" s="27" t="s">
        <v>266</v>
      </c>
      <c r="Z61" s="19" t="s">
        <v>35</v>
      </c>
      <c r="AA61" s="19" t="s">
        <v>35</v>
      </c>
      <c r="AB61" s="19" t="s">
        <v>267</v>
      </c>
      <c r="AC61" s="19">
        <v>0</v>
      </c>
      <c r="AD61" s="19">
        <v>1</v>
      </c>
      <c r="AE61" s="19" t="s">
        <v>42</v>
      </c>
      <c r="AF61" s="19" t="s">
        <v>43</v>
      </c>
      <c r="AG61" s="19" t="s">
        <v>38</v>
      </c>
      <c r="AH61" s="19" t="s">
        <v>92</v>
      </c>
    </row>
    <row r="62" spans="1:34" x14ac:dyDescent="0.3">
      <c r="A62" s="75" t="s">
        <v>267</v>
      </c>
      <c r="B62" s="19" t="s">
        <v>536</v>
      </c>
      <c r="C62" s="19" t="s">
        <v>537</v>
      </c>
      <c r="D62" s="20">
        <v>45373</v>
      </c>
      <c r="E62" s="21">
        <v>165000</v>
      </c>
      <c r="F62" s="19" t="s">
        <v>32</v>
      </c>
      <c r="G62" s="19" t="s">
        <v>33</v>
      </c>
      <c r="H62" s="21">
        <v>165000</v>
      </c>
      <c r="I62" s="21">
        <v>57800</v>
      </c>
      <c r="J62" s="22">
        <f t="shared" si="7"/>
        <v>35.030303030303031</v>
      </c>
      <c r="K62" s="21">
        <v>144480</v>
      </c>
      <c r="L62" s="21">
        <f>H62-132251</f>
        <v>32749</v>
      </c>
      <c r="M62" s="21">
        <v>12229</v>
      </c>
      <c r="N62" s="67">
        <f t="shared" si="8"/>
        <v>7.4115151515151509E-2</v>
      </c>
      <c r="O62" s="23">
        <v>60.23</v>
      </c>
      <c r="P62" s="24">
        <v>126</v>
      </c>
      <c r="Q62" s="25">
        <v>0.17399999999999999</v>
      </c>
      <c r="R62" s="25">
        <v>0.17399999999999999</v>
      </c>
      <c r="S62" s="21">
        <f t="shared" si="9"/>
        <v>543.73235928939073</v>
      </c>
      <c r="T62" s="21">
        <f t="shared" si="10"/>
        <v>188212.64367816094</v>
      </c>
      <c r="U62" s="26">
        <f t="shared" si="11"/>
        <v>4.3207677612066329</v>
      </c>
      <c r="V62" s="25">
        <v>60</v>
      </c>
      <c r="W62" s="25">
        <f t="shared" si="12"/>
        <v>33000</v>
      </c>
      <c r="X62" s="25">
        <f t="shared" si="13"/>
        <v>550</v>
      </c>
      <c r="Y62" s="27" t="s">
        <v>266</v>
      </c>
      <c r="Z62" s="19" t="s">
        <v>35</v>
      </c>
      <c r="AA62" s="19" t="s">
        <v>35</v>
      </c>
      <c r="AB62" s="19" t="s">
        <v>267</v>
      </c>
      <c r="AC62" s="19">
        <v>0</v>
      </c>
      <c r="AD62" s="19">
        <v>1</v>
      </c>
      <c r="AE62" s="19" t="s">
        <v>412</v>
      </c>
      <c r="AF62" s="19" t="s">
        <v>43</v>
      </c>
      <c r="AG62" s="19" t="s">
        <v>38</v>
      </c>
      <c r="AH62" s="19" t="s">
        <v>92</v>
      </c>
    </row>
    <row r="63" spans="1:34" x14ac:dyDescent="0.3">
      <c r="A63" s="74" t="s">
        <v>267</v>
      </c>
      <c r="B63" s="10" t="s">
        <v>538</v>
      </c>
      <c r="C63" s="10" t="s">
        <v>539</v>
      </c>
      <c r="D63" s="11">
        <v>45272</v>
      </c>
      <c r="E63" s="12">
        <v>165000</v>
      </c>
      <c r="F63" s="10" t="s">
        <v>32</v>
      </c>
      <c r="G63" s="10" t="s">
        <v>33</v>
      </c>
      <c r="H63" s="12">
        <v>165000</v>
      </c>
      <c r="I63" s="12">
        <v>56900</v>
      </c>
      <c r="J63" s="13">
        <f t="shared" ref="J63:J87" si="14">I63/H63*100</f>
        <v>34.484848484848484</v>
      </c>
      <c r="K63" s="12">
        <v>142003</v>
      </c>
      <c r="L63" s="12">
        <f>H63-129774</f>
        <v>35226</v>
      </c>
      <c r="M63" s="12">
        <v>12229</v>
      </c>
      <c r="N63" s="66">
        <f t="shared" ref="N63:N87" si="15">M63/E63</f>
        <v>7.4115151515151509E-2</v>
      </c>
      <c r="O63" s="14">
        <v>60.23</v>
      </c>
      <c r="P63" s="15">
        <v>126</v>
      </c>
      <c r="Q63" s="16">
        <v>0.17399999999999999</v>
      </c>
      <c r="R63" s="16">
        <v>0.17399999999999999</v>
      </c>
      <c r="S63" s="12">
        <f t="shared" ref="S63:S87" si="16">L63/O63</f>
        <v>584.85804416403789</v>
      </c>
      <c r="T63" s="12">
        <f t="shared" ref="T63:T87" si="17">L63/Q63</f>
        <v>202448.27586206899</v>
      </c>
      <c r="U63" s="17">
        <f t="shared" ref="U63:U87" si="18">L63/Q63/43560</f>
        <v>4.6475729077609964</v>
      </c>
      <c r="V63" s="16">
        <v>60</v>
      </c>
      <c r="W63" s="16">
        <f t="shared" ref="W63:W87" si="19">0.2*E63</f>
        <v>33000</v>
      </c>
      <c r="X63" s="16">
        <f t="shared" ref="X63:X87" si="20">W63/V63</f>
        <v>550</v>
      </c>
      <c r="Y63" s="18" t="s">
        <v>266</v>
      </c>
      <c r="Z63" s="10" t="s">
        <v>35</v>
      </c>
      <c r="AA63" s="10" t="s">
        <v>35</v>
      </c>
      <c r="AB63" s="10" t="s">
        <v>267</v>
      </c>
      <c r="AC63" s="10">
        <v>0</v>
      </c>
      <c r="AD63" s="10">
        <v>1</v>
      </c>
      <c r="AE63" s="10" t="s">
        <v>37</v>
      </c>
      <c r="AF63" s="10" t="s">
        <v>43</v>
      </c>
      <c r="AG63" s="10" t="s">
        <v>38</v>
      </c>
      <c r="AH63" s="10" t="s">
        <v>92</v>
      </c>
    </row>
    <row r="64" spans="1:34" x14ac:dyDescent="0.3">
      <c r="A64" s="74" t="s">
        <v>267</v>
      </c>
      <c r="B64" s="10" t="s">
        <v>443</v>
      </c>
      <c r="C64" s="10" t="s">
        <v>444</v>
      </c>
      <c r="D64" s="11">
        <v>45561</v>
      </c>
      <c r="E64" s="12">
        <v>115000</v>
      </c>
      <c r="F64" s="10" t="s">
        <v>32</v>
      </c>
      <c r="G64" s="10" t="s">
        <v>33</v>
      </c>
      <c r="H64" s="12">
        <v>115000</v>
      </c>
      <c r="I64" s="12">
        <v>44500</v>
      </c>
      <c r="J64" s="13">
        <f t="shared" si="14"/>
        <v>38.695652173913039</v>
      </c>
      <c r="K64" s="12">
        <v>99977</v>
      </c>
      <c r="L64" s="12">
        <f>H64-92015</f>
        <v>22985</v>
      </c>
      <c r="M64" s="12">
        <v>7962</v>
      </c>
      <c r="N64" s="66">
        <f t="shared" si="15"/>
        <v>6.9234782608695658E-2</v>
      </c>
      <c r="O64" s="14">
        <v>39.22</v>
      </c>
      <c r="P64" s="15">
        <v>120.18</v>
      </c>
      <c r="Q64" s="16">
        <v>0.11</v>
      </c>
      <c r="R64" s="16">
        <v>0.11</v>
      </c>
      <c r="S64" s="12">
        <f t="shared" si="16"/>
        <v>586.05303416624179</v>
      </c>
      <c r="T64" s="12">
        <f t="shared" si="17"/>
        <v>208954.54545454544</v>
      </c>
      <c r="U64" s="17">
        <f t="shared" si="18"/>
        <v>4.7969363052007674</v>
      </c>
      <c r="V64" s="16">
        <v>40</v>
      </c>
      <c r="W64" s="16">
        <f t="shared" si="19"/>
        <v>23000</v>
      </c>
      <c r="X64" s="16">
        <f t="shared" si="20"/>
        <v>575</v>
      </c>
      <c r="Y64" s="18" t="s">
        <v>266</v>
      </c>
      <c r="Z64" s="10" t="s">
        <v>35</v>
      </c>
      <c r="AA64" s="10" t="s">
        <v>35</v>
      </c>
      <c r="AB64" s="10" t="s">
        <v>267</v>
      </c>
      <c r="AC64" s="10">
        <v>0</v>
      </c>
      <c r="AD64" s="10">
        <v>1</v>
      </c>
      <c r="AE64" s="10" t="s">
        <v>42</v>
      </c>
      <c r="AF64" s="10" t="s">
        <v>43</v>
      </c>
      <c r="AG64" s="10" t="s">
        <v>38</v>
      </c>
      <c r="AH64" s="10" t="s">
        <v>92</v>
      </c>
    </row>
    <row r="65" spans="1:34" x14ac:dyDescent="0.3">
      <c r="A65" s="74" t="s">
        <v>267</v>
      </c>
      <c r="B65" s="10" t="s">
        <v>345</v>
      </c>
      <c r="C65" s="10" t="s">
        <v>346</v>
      </c>
      <c r="D65" s="11">
        <v>45576</v>
      </c>
      <c r="E65" s="12">
        <v>160000</v>
      </c>
      <c r="F65" s="10" t="s">
        <v>32</v>
      </c>
      <c r="G65" s="10" t="s">
        <v>33</v>
      </c>
      <c r="H65" s="12">
        <v>160000</v>
      </c>
      <c r="I65" s="12">
        <v>63700</v>
      </c>
      <c r="J65" s="13">
        <f t="shared" si="14"/>
        <v>39.8125</v>
      </c>
      <c r="K65" s="12">
        <v>143795</v>
      </c>
      <c r="L65" s="12">
        <f>H65-135381</f>
        <v>24619</v>
      </c>
      <c r="M65" s="12">
        <v>8414</v>
      </c>
      <c r="N65" s="66">
        <f t="shared" si="15"/>
        <v>5.2587500000000002E-2</v>
      </c>
      <c r="O65" s="14">
        <v>41.44</v>
      </c>
      <c r="P65" s="15">
        <v>129</v>
      </c>
      <c r="Q65" s="16">
        <v>0.121</v>
      </c>
      <c r="R65" s="16">
        <v>0.121</v>
      </c>
      <c r="S65" s="12">
        <f t="shared" si="16"/>
        <v>594.08783783783792</v>
      </c>
      <c r="T65" s="12">
        <f t="shared" si="17"/>
        <v>203462.80991735536</v>
      </c>
      <c r="U65" s="17">
        <f t="shared" si="18"/>
        <v>4.6708634048979656</v>
      </c>
      <c r="V65" s="16">
        <v>40.72</v>
      </c>
      <c r="W65" s="16">
        <f t="shared" si="19"/>
        <v>32000</v>
      </c>
      <c r="X65" s="16">
        <f t="shared" si="20"/>
        <v>785.8546168958743</v>
      </c>
      <c r="Y65" s="18" t="s">
        <v>266</v>
      </c>
      <c r="Z65" s="10" t="s">
        <v>35</v>
      </c>
      <c r="AA65" s="10" t="s">
        <v>35</v>
      </c>
      <c r="AB65" s="10" t="s">
        <v>267</v>
      </c>
      <c r="AC65" s="10">
        <v>0</v>
      </c>
      <c r="AD65" s="10">
        <v>1</v>
      </c>
      <c r="AE65" s="10" t="s">
        <v>42</v>
      </c>
      <c r="AF65" s="10" t="s">
        <v>35</v>
      </c>
      <c r="AG65" s="10" t="s">
        <v>38</v>
      </c>
      <c r="AH65" s="10" t="s">
        <v>92</v>
      </c>
    </row>
    <row r="66" spans="1:34" x14ac:dyDescent="0.3">
      <c r="A66" s="74" t="s">
        <v>267</v>
      </c>
      <c r="B66" s="10" t="s">
        <v>550</v>
      </c>
      <c r="C66" s="10" t="s">
        <v>551</v>
      </c>
      <c r="D66" s="11">
        <v>45609</v>
      </c>
      <c r="E66" s="12">
        <v>126500</v>
      </c>
      <c r="F66" s="10" t="s">
        <v>32</v>
      </c>
      <c r="G66" s="10" t="s">
        <v>33</v>
      </c>
      <c r="H66" s="12">
        <v>126500</v>
      </c>
      <c r="I66" s="12">
        <v>47500</v>
      </c>
      <c r="J66" s="13">
        <f t="shared" si="14"/>
        <v>37.549407114624508</v>
      </c>
      <c r="K66" s="12">
        <v>106542</v>
      </c>
      <c r="L66" s="12">
        <f>H66-96191</f>
        <v>30309</v>
      </c>
      <c r="M66" s="12">
        <v>10351</v>
      </c>
      <c r="N66" s="66">
        <f t="shared" si="15"/>
        <v>8.1826086956521743E-2</v>
      </c>
      <c r="O66" s="14">
        <v>50.99</v>
      </c>
      <c r="P66" s="15">
        <v>130</v>
      </c>
      <c r="Q66" s="16">
        <v>0.14899999999999999</v>
      </c>
      <c r="R66" s="16">
        <v>0.14899999999999999</v>
      </c>
      <c r="S66" s="12">
        <f t="shared" si="16"/>
        <v>594.41066875858007</v>
      </c>
      <c r="T66" s="12">
        <f t="shared" si="17"/>
        <v>203416.10738255034</v>
      </c>
      <c r="U66" s="17">
        <f t="shared" si="18"/>
        <v>4.6697912622256732</v>
      </c>
      <c r="V66" s="16">
        <v>50</v>
      </c>
      <c r="W66" s="16">
        <f t="shared" si="19"/>
        <v>25300</v>
      </c>
      <c r="X66" s="16">
        <f t="shared" si="20"/>
        <v>506</v>
      </c>
      <c r="Y66" s="18" t="s">
        <v>266</v>
      </c>
      <c r="Z66" s="10" t="s">
        <v>35</v>
      </c>
      <c r="AA66" s="10" t="s">
        <v>35</v>
      </c>
      <c r="AB66" s="10" t="s">
        <v>267</v>
      </c>
      <c r="AC66" s="10">
        <v>0</v>
      </c>
      <c r="AD66" s="10">
        <v>1</v>
      </c>
      <c r="AE66" s="10" t="s">
        <v>37</v>
      </c>
      <c r="AF66" s="10" t="s">
        <v>35</v>
      </c>
      <c r="AG66" s="10" t="s">
        <v>38</v>
      </c>
      <c r="AH66" s="10" t="s">
        <v>92</v>
      </c>
    </row>
    <row r="67" spans="1:34" x14ac:dyDescent="0.3">
      <c r="A67" s="74" t="s">
        <v>267</v>
      </c>
      <c r="B67" s="10" t="s">
        <v>274</v>
      </c>
      <c r="C67" s="10" t="s">
        <v>275</v>
      </c>
      <c r="D67" s="11">
        <v>45463</v>
      </c>
      <c r="E67" s="12">
        <v>130000</v>
      </c>
      <c r="F67" s="10" t="s">
        <v>32</v>
      </c>
      <c r="G67" s="10" t="s">
        <v>33</v>
      </c>
      <c r="H67" s="12">
        <v>130000</v>
      </c>
      <c r="I67" s="12">
        <v>52300</v>
      </c>
      <c r="J67" s="13">
        <f t="shared" si="14"/>
        <v>40.230769230769234</v>
      </c>
      <c r="K67" s="12">
        <v>113949</v>
      </c>
      <c r="L67" s="12">
        <f>H67-105668</f>
        <v>24332</v>
      </c>
      <c r="M67" s="12">
        <v>8281</v>
      </c>
      <c r="N67" s="66">
        <f t="shared" si="15"/>
        <v>6.3700000000000007E-2</v>
      </c>
      <c r="O67" s="14">
        <v>40.79</v>
      </c>
      <c r="P67" s="15">
        <v>130</v>
      </c>
      <c r="Q67" s="16">
        <v>0.11899999999999999</v>
      </c>
      <c r="R67" s="16">
        <v>0.11899999999999999</v>
      </c>
      <c r="S67" s="12">
        <f t="shared" si="16"/>
        <v>596.51875459671487</v>
      </c>
      <c r="T67" s="12">
        <f t="shared" si="17"/>
        <v>204470.58823529413</v>
      </c>
      <c r="U67" s="17">
        <f t="shared" si="18"/>
        <v>4.6939988116458711</v>
      </c>
      <c r="V67" s="16">
        <v>40</v>
      </c>
      <c r="W67" s="16">
        <f t="shared" si="19"/>
        <v>26000</v>
      </c>
      <c r="X67" s="16">
        <f t="shared" si="20"/>
        <v>650</v>
      </c>
      <c r="Y67" s="18" t="s">
        <v>266</v>
      </c>
      <c r="Z67" s="10" t="s">
        <v>35</v>
      </c>
      <c r="AA67" s="10" t="s">
        <v>35</v>
      </c>
      <c r="AB67" s="10" t="s">
        <v>267</v>
      </c>
      <c r="AC67" s="10">
        <v>0</v>
      </c>
      <c r="AD67" s="10">
        <v>1</v>
      </c>
      <c r="AE67" s="10" t="s">
        <v>37</v>
      </c>
      <c r="AF67" s="10" t="s">
        <v>43</v>
      </c>
      <c r="AG67" s="10" t="s">
        <v>38</v>
      </c>
      <c r="AH67" s="10" t="s">
        <v>92</v>
      </c>
    </row>
    <row r="68" spans="1:34" x14ac:dyDescent="0.3">
      <c r="A68" s="74" t="s">
        <v>267</v>
      </c>
      <c r="B68" s="10" t="s">
        <v>451</v>
      </c>
      <c r="C68" s="10" t="s">
        <v>452</v>
      </c>
      <c r="D68" s="11">
        <v>45203</v>
      </c>
      <c r="E68" s="12">
        <v>130000</v>
      </c>
      <c r="F68" s="10" t="s">
        <v>32</v>
      </c>
      <c r="G68" s="10" t="s">
        <v>33</v>
      </c>
      <c r="H68" s="12">
        <v>130000</v>
      </c>
      <c r="I68" s="12">
        <v>44300</v>
      </c>
      <c r="J68" s="13">
        <f t="shared" si="14"/>
        <v>34.07692307692308</v>
      </c>
      <c r="K68" s="12">
        <v>112642</v>
      </c>
      <c r="L68" s="12">
        <f>H68-104203</f>
        <v>25797</v>
      </c>
      <c r="M68" s="12">
        <v>8439</v>
      </c>
      <c r="N68" s="66">
        <f t="shared" si="15"/>
        <v>6.4915384615384611E-2</v>
      </c>
      <c r="O68" s="14">
        <v>41.56</v>
      </c>
      <c r="P68" s="15">
        <v>135</v>
      </c>
      <c r="Q68" s="16">
        <v>0.124</v>
      </c>
      <c r="R68" s="16">
        <v>0.124</v>
      </c>
      <c r="S68" s="12">
        <f t="shared" si="16"/>
        <v>620.71703561116453</v>
      </c>
      <c r="T68" s="12">
        <f t="shared" si="17"/>
        <v>208040.32258064515</v>
      </c>
      <c r="U68" s="17">
        <f t="shared" si="18"/>
        <v>4.7759486359193106</v>
      </c>
      <c r="V68" s="16">
        <v>40</v>
      </c>
      <c r="W68" s="16">
        <f t="shared" si="19"/>
        <v>26000</v>
      </c>
      <c r="X68" s="16">
        <f t="shared" si="20"/>
        <v>650</v>
      </c>
      <c r="Y68" s="18" t="s">
        <v>266</v>
      </c>
      <c r="Z68" s="10" t="s">
        <v>35</v>
      </c>
      <c r="AA68" s="10" t="s">
        <v>35</v>
      </c>
      <c r="AB68" s="10" t="s">
        <v>267</v>
      </c>
      <c r="AC68" s="10">
        <v>0</v>
      </c>
      <c r="AD68" s="10">
        <v>1</v>
      </c>
      <c r="AE68" s="10" t="s">
        <v>37</v>
      </c>
      <c r="AF68" s="10" t="s">
        <v>43</v>
      </c>
      <c r="AG68" s="10" t="s">
        <v>38</v>
      </c>
      <c r="AH68" s="10" t="s">
        <v>92</v>
      </c>
    </row>
    <row r="69" spans="1:34" x14ac:dyDescent="0.3">
      <c r="A69" s="75" t="s">
        <v>267</v>
      </c>
      <c r="B69" s="19" t="s">
        <v>335</v>
      </c>
      <c r="C69" s="19" t="s">
        <v>336</v>
      </c>
      <c r="D69" s="20">
        <v>45251</v>
      </c>
      <c r="E69" s="21">
        <v>114000</v>
      </c>
      <c r="F69" s="19" t="s">
        <v>32</v>
      </c>
      <c r="G69" s="19" t="s">
        <v>33</v>
      </c>
      <c r="H69" s="21">
        <v>114000</v>
      </c>
      <c r="I69" s="21">
        <v>36400</v>
      </c>
      <c r="J69" s="22">
        <f t="shared" si="14"/>
        <v>31.929824561403507</v>
      </c>
      <c r="K69" s="21">
        <v>95761</v>
      </c>
      <c r="L69" s="21">
        <f>H69-87448</f>
        <v>26552</v>
      </c>
      <c r="M69" s="21">
        <v>8313</v>
      </c>
      <c r="N69" s="67">
        <f t="shared" si="15"/>
        <v>7.2921052631578942E-2</v>
      </c>
      <c r="O69" s="23">
        <v>40.94</v>
      </c>
      <c r="P69" s="24">
        <v>131</v>
      </c>
      <c r="Q69" s="25">
        <v>0.12</v>
      </c>
      <c r="R69" s="25">
        <v>0.12</v>
      </c>
      <c r="S69" s="21">
        <f t="shared" si="16"/>
        <v>648.55886663409876</v>
      </c>
      <c r="T69" s="21">
        <f t="shared" si="17"/>
        <v>221266.66666666669</v>
      </c>
      <c r="U69" s="26">
        <f t="shared" si="18"/>
        <v>5.0795837159473525</v>
      </c>
      <c r="V69" s="25">
        <v>40</v>
      </c>
      <c r="W69" s="25">
        <f t="shared" si="19"/>
        <v>22800</v>
      </c>
      <c r="X69" s="25">
        <f t="shared" si="20"/>
        <v>570</v>
      </c>
      <c r="Y69" s="27" t="s">
        <v>266</v>
      </c>
      <c r="Z69" s="19" t="s">
        <v>35</v>
      </c>
      <c r="AA69" s="19" t="s">
        <v>35</v>
      </c>
      <c r="AB69" s="19" t="s">
        <v>267</v>
      </c>
      <c r="AC69" s="19">
        <v>0</v>
      </c>
      <c r="AD69" s="19">
        <v>1</v>
      </c>
      <c r="AE69" s="19" t="s">
        <v>42</v>
      </c>
      <c r="AF69" s="19" t="s">
        <v>43</v>
      </c>
      <c r="AG69" s="19" t="s">
        <v>38</v>
      </c>
      <c r="AH69" s="19" t="s">
        <v>92</v>
      </c>
    </row>
    <row r="70" spans="1:34" x14ac:dyDescent="0.3">
      <c r="A70" s="75" t="s">
        <v>267</v>
      </c>
      <c r="B70" s="19" t="s">
        <v>487</v>
      </c>
      <c r="C70" s="19" t="s">
        <v>488</v>
      </c>
      <c r="D70" s="20">
        <v>45687</v>
      </c>
      <c r="E70" s="21">
        <v>145000</v>
      </c>
      <c r="F70" s="19" t="s">
        <v>32</v>
      </c>
      <c r="G70" s="19" t="s">
        <v>33</v>
      </c>
      <c r="H70" s="21">
        <v>145000</v>
      </c>
      <c r="I70" s="21">
        <v>56200</v>
      </c>
      <c r="J70" s="22">
        <f t="shared" si="14"/>
        <v>38.758620689655174</v>
      </c>
      <c r="K70" s="21">
        <v>122535</v>
      </c>
      <c r="L70" s="21">
        <f>H70-114096</f>
        <v>30904</v>
      </c>
      <c r="M70" s="21">
        <v>8439</v>
      </c>
      <c r="N70" s="67">
        <f t="shared" si="15"/>
        <v>5.8200000000000002E-2</v>
      </c>
      <c r="O70" s="23">
        <v>41.56</v>
      </c>
      <c r="P70" s="24">
        <v>135</v>
      </c>
      <c r="Q70" s="25">
        <v>0.124</v>
      </c>
      <c r="R70" s="25">
        <v>0.124</v>
      </c>
      <c r="S70" s="21">
        <f t="shared" si="16"/>
        <v>743.59961501443695</v>
      </c>
      <c r="T70" s="21">
        <f t="shared" si="17"/>
        <v>249225.80645161291</v>
      </c>
      <c r="U70" s="26">
        <f t="shared" si="18"/>
        <v>5.7214372463639327</v>
      </c>
      <c r="V70" s="25">
        <v>40</v>
      </c>
      <c r="W70" s="25">
        <f t="shared" si="19"/>
        <v>29000</v>
      </c>
      <c r="X70" s="25">
        <f t="shared" si="20"/>
        <v>725</v>
      </c>
      <c r="Y70" s="27" t="s">
        <v>266</v>
      </c>
      <c r="Z70" s="19" t="s">
        <v>35</v>
      </c>
      <c r="AA70" s="19" t="s">
        <v>35</v>
      </c>
      <c r="AB70" s="19" t="s">
        <v>267</v>
      </c>
      <c r="AC70" s="19">
        <v>0</v>
      </c>
      <c r="AD70" s="19">
        <v>1</v>
      </c>
      <c r="AE70" s="19" t="s">
        <v>37</v>
      </c>
      <c r="AF70" s="19" t="s">
        <v>35</v>
      </c>
      <c r="AG70" s="19" t="s">
        <v>38</v>
      </c>
      <c r="AH70" s="19" t="s">
        <v>92</v>
      </c>
    </row>
    <row r="71" spans="1:34" x14ac:dyDescent="0.3">
      <c r="A71" s="75" t="s">
        <v>267</v>
      </c>
      <c r="B71" s="19" t="s">
        <v>476</v>
      </c>
      <c r="C71" s="19" t="s">
        <v>477</v>
      </c>
      <c r="D71" s="20">
        <v>45687</v>
      </c>
      <c r="E71" s="21">
        <v>126000</v>
      </c>
      <c r="F71" s="19" t="s">
        <v>32</v>
      </c>
      <c r="G71" s="19" t="s">
        <v>33</v>
      </c>
      <c r="H71" s="21">
        <v>126000</v>
      </c>
      <c r="I71" s="21">
        <v>47000</v>
      </c>
      <c r="J71" s="22">
        <f t="shared" si="14"/>
        <v>37.301587301587304</v>
      </c>
      <c r="K71" s="21">
        <v>105516</v>
      </c>
      <c r="L71" s="21">
        <f>H71-97899</f>
        <v>28101</v>
      </c>
      <c r="M71" s="21">
        <v>7617</v>
      </c>
      <c r="N71" s="67">
        <f t="shared" si="15"/>
        <v>6.0452380952380952E-2</v>
      </c>
      <c r="O71" s="23">
        <v>37.520000000000003</v>
      </c>
      <c r="P71" s="24">
        <v>110</v>
      </c>
      <c r="Q71" s="25">
        <v>0.10100000000000001</v>
      </c>
      <c r="R71" s="25">
        <v>0.10100000000000001</v>
      </c>
      <c r="S71" s="21">
        <f t="shared" si="16"/>
        <v>748.9605543710021</v>
      </c>
      <c r="T71" s="21">
        <f t="shared" si="17"/>
        <v>278227.72277227719</v>
      </c>
      <c r="U71" s="26">
        <f t="shared" si="18"/>
        <v>6.3872296320541135</v>
      </c>
      <c r="V71" s="25">
        <v>40</v>
      </c>
      <c r="W71" s="25">
        <f t="shared" si="19"/>
        <v>25200</v>
      </c>
      <c r="X71" s="25">
        <f t="shared" si="20"/>
        <v>630</v>
      </c>
      <c r="Y71" s="27" t="s">
        <v>266</v>
      </c>
      <c r="Z71" s="19" t="s">
        <v>35</v>
      </c>
      <c r="AA71" s="19" t="s">
        <v>35</v>
      </c>
      <c r="AB71" s="19" t="s">
        <v>267</v>
      </c>
      <c r="AC71" s="19">
        <v>0</v>
      </c>
      <c r="AD71" s="19">
        <v>1</v>
      </c>
      <c r="AE71" s="19" t="s">
        <v>478</v>
      </c>
      <c r="AF71" s="19" t="s">
        <v>35</v>
      </c>
      <c r="AG71" s="19" t="s">
        <v>38</v>
      </c>
      <c r="AH71" s="19" t="s">
        <v>92</v>
      </c>
    </row>
    <row r="72" spans="1:34" x14ac:dyDescent="0.3">
      <c r="A72" s="75" t="s">
        <v>267</v>
      </c>
      <c r="B72" s="19" t="s">
        <v>432</v>
      </c>
      <c r="C72" s="19" t="s">
        <v>433</v>
      </c>
      <c r="D72" s="20">
        <v>45393</v>
      </c>
      <c r="E72" s="21">
        <v>135000</v>
      </c>
      <c r="F72" s="19" t="s">
        <v>32</v>
      </c>
      <c r="G72" s="19" t="s">
        <v>33</v>
      </c>
      <c r="H72" s="21">
        <v>135000</v>
      </c>
      <c r="I72" s="21">
        <v>48700</v>
      </c>
      <c r="J72" s="22">
        <f t="shared" si="14"/>
        <v>36.074074074074076</v>
      </c>
      <c r="K72" s="21">
        <v>110509</v>
      </c>
      <c r="L72" s="21">
        <f>H72-101763</f>
        <v>33237</v>
      </c>
      <c r="M72" s="21">
        <v>8746</v>
      </c>
      <c r="N72" s="67">
        <f t="shared" si="15"/>
        <v>6.4785185185185182E-2</v>
      </c>
      <c r="O72" s="23">
        <v>43.08</v>
      </c>
      <c r="P72" s="24">
        <v>145</v>
      </c>
      <c r="Q72" s="25">
        <v>0.13300000000000001</v>
      </c>
      <c r="R72" s="25">
        <v>0.13300000000000001</v>
      </c>
      <c r="S72" s="21">
        <f t="shared" si="16"/>
        <v>771.51810584958218</v>
      </c>
      <c r="T72" s="21">
        <f t="shared" si="17"/>
        <v>249902.25563909774</v>
      </c>
      <c r="U72" s="26">
        <f t="shared" si="18"/>
        <v>5.7369663828993973</v>
      </c>
      <c r="V72" s="25">
        <v>40</v>
      </c>
      <c r="W72" s="25">
        <f t="shared" si="19"/>
        <v>27000</v>
      </c>
      <c r="X72" s="25">
        <f t="shared" si="20"/>
        <v>675</v>
      </c>
      <c r="Y72" s="27" t="s">
        <v>266</v>
      </c>
      <c r="Z72" s="19" t="s">
        <v>35</v>
      </c>
      <c r="AA72" s="19" t="s">
        <v>35</v>
      </c>
      <c r="AB72" s="19" t="s">
        <v>267</v>
      </c>
      <c r="AC72" s="19">
        <v>0</v>
      </c>
      <c r="AD72" s="19">
        <v>1</v>
      </c>
      <c r="AE72" s="19" t="s">
        <v>37</v>
      </c>
      <c r="AF72" s="19" t="s">
        <v>43</v>
      </c>
      <c r="AG72" s="19" t="s">
        <v>38</v>
      </c>
      <c r="AH72" s="19" t="s">
        <v>92</v>
      </c>
    </row>
    <row r="73" spans="1:34" x14ac:dyDescent="0.3">
      <c r="A73" s="74" t="s">
        <v>267</v>
      </c>
      <c r="B73" s="10" t="s">
        <v>264</v>
      </c>
      <c r="C73" s="10" t="s">
        <v>265</v>
      </c>
      <c r="D73" s="11">
        <v>45135</v>
      </c>
      <c r="E73" s="12">
        <v>161000</v>
      </c>
      <c r="F73" s="10" t="s">
        <v>32</v>
      </c>
      <c r="G73" s="10" t="s">
        <v>33</v>
      </c>
      <c r="H73" s="12">
        <v>161000</v>
      </c>
      <c r="I73" s="12">
        <v>53500</v>
      </c>
      <c r="J73" s="13">
        <f t="shared" si="14"/>
        <v>33.229813664596278</v>
      </c>
      <c r="K73" s="12">
        <v>136568</v>
      </c>
      <c r="L73" s="12">
        <f>H73-128287</f>
        <v>32713</v>
      </c>
      <c r="M73" s="12">
        <v>8281</v>
      </c>
      <c r="N73" s="66">
        <f t="shared" si="15"/>
        <v>5.1434782608695655E-2</v>
      </c>
      <c r="O73" s="14">
        <v>40.79</v>
      </c>
      <c r="P73" s="15">
        <v>130</v>
      </c>
      <c r="Q73" s="16">
        <v>0.11899999999999999</v>
      </c>
      <c r="R73" s="16">
        <v>0.11899999999999999</v>
      </c>
      <c r="S73" s="12">
        <f t="shared" si="16"/>
        <v>801.98578082863446</v>
      </c>
      <c r="T73" s="12">
        <f t="shared" si="17"/>
        <v>274899.15966386558</v>
      </c>
      <c r="U73" s="17">
        <f t="shared" si="18"/>
        <v>6.3108163375543063</v>
      </c>
      <c r="V73" s="16">
        <v>40</v>
      </c>
      <c r="W73" s="16">
        <f t="shared" si="19"/>
        <v>32200</v>
      </c>
      <c r="X73" s="16">
        <f t="shared" si="20"/>
        <v>805</v>
      </c>
      <c r="Y73" s="18" t="s">
        <v>266</v>
      </c>
      <c r="Z73" s="10" t="s">
        <v>35</v>
      </c>
      <c r="AA73" s="10" t="s">
        <v>35</v>
      </c>
      <c r="AB73" s="10" t="s">
        <v>267</v>
      </c>
      <c r="AC73" s="10">
        <v>0</v>
      </c>
      <c r="AD73" s="10">
        <v>1</v>
      </c>
      <c r="AE73" s="10" t="s">
        <v>42</v>
      </c>
      <c r="AF73" s="10" t="s">
        <v>43</v>
      </c>
      <c r="AG73" s="10" t="s">
        <v>38</v>
      </c>
      <c r="AH73" s="10" t="s">
        <v>92</v>
      </c>
    </row>
    <row r="74" spans="1:34" x14ac:dyDescent="0.3">
      <c r="A74" s="74" t="s">
        <v>267</v>
      </c>
      <c r="B74" s="10" t="s">
        <v>474</v>
      </c>
      <c r="C74" s="10" t="s">
        <v>475</v>
      </c>
      <c r="D74" s="11">
        <v>45114</v>
      </c>
      <c r="E74" s="12">
        <v>129000</v>
      </c>
      <c r="F74" s="10" t="s">
        <v>32</v>
      </c>
      <c r="G74" s="10" t="s">
        <v>33</v>
      </c>
      <c r="H74" s="12">
        <v>129000</v>
      </c>
      <c r="I74" s="12">
        <v>40300</v>
      </c>
      <c r="J74" s="13">
        <f t="shared" si="14"/>
        <v>31.240310077519378</v>
      </c>
      <c r="K74" s="12">
        <v>106412</v>
      </c>
      <c r="L74" s="12">
        <f>H74-98795</f>
        <v>30205</v>
      </c>
      <c r="M74" s="12">
        <v>7617</v>
      </c>
      <c r="N74" s="66">
        <f t="shared" si="15"/>
        <v>5.9046511627906979E-2</v>
      </c>
      <c r="O74" s="14">
        <v>37.520000000000003</v>
      </c>
      <c r="P74" s="15">
        <v>110</v>
      </c>
      <c r="Q74" s="16">
        <v>0.10100000000000001</v>
      </c>
      <c r="R74" s="16">
        <v>0.10100000000000001</v>
      </c>
      <c r="S74" s="12">
        <f t="shared" si="16"/>
        <v>805.03731343283573</v>
      </c>
      <c r="T74" s="12">
        <f t="shared" si="17"/>
        <v>299059.40594059404</v>
      </c>
      <c r="U74" s="17">
        <f t="shared" si="18"/>
        <v>6.865459273200047</v>
      </c>
      <c r="V74" s="16">
        <v>40</v>
      </c>
      <c r="W74" s="16">
        <f t="shared" si="19"/>
        <v>25800</v>
      </c>
      <c r="X74" s="16">
        <f t="shared" si="20"/>
        <v>645</v>
      </c>
      <c r="Y74" s="18" t="s">
        <v>266</v>
      </c>
      <c r="Z74" s="10" t="s">
        <v>35</v>
      </c>
      <c r="AA74" s="10" t="s">
        <v>35</v>
      </c>
      <c r="AB74" s="10" t="s">
        <v>267</v>
      </c>
      <c r="AC74" s="10">
        <v>0</v>
      </c>
      <c r="AD74" s="10">
        <v>1</v>
      </c>
      <c r="AE74" s="10" t="s">
        <v>37</v>
      </c>
      <c r="AF74" s="10" t="s">
        <v>43</v>
      </c>
      <c r="AG74" s="10" t="s">
        <v>38</v>
      </c>
      <c r="AH74" s="10" t="s">
        <v>92</v>
      </c>
    </row>
    <row r="75" spans="1:34" x14ac:dyDescent="0.3">
      <c r="A75" s="74" t="s">
        <v>267</v>
      </c>
      <c r="B75" s="10" t="s">
        <v>578</v>
      </c>
      <c r="C75" s="10" t="s">
        <v>579</v>
      </c>
      <c r="D75" s="11">
        <v>45476</v>
      </c>
      <c r="E75" s="12">
        <v>118000</v>
      </c>
      <c r="F75" s="10" t="s">
        <v>32</v>
      </c>
      <c r="G75" s="10" t="s">
        <v>33</v>
      </c>
      <c r="H75" s="12">
        <v>118000</v>
      </c>
      <c r="I75" s="12">
        <v>40900</v>
      </c>
      <c r="J75" s="13">
        <f t="shared" si="14"/>
        <v>34.66101694915254</v>
      </c>
      <c r="K75" s="12">
        <v>92171</v>
      </c>
      <c r="L75" s="12">
        <f>H75-83734</f>
        <v>34266</v>
      </c>
      <c r="M75" s="12">
        <v>8437</v>
      </c>
      <c r="N75" s="66">
        <f t="shared" si="15"/>
        <v>7.1499999999999994E-2</v>
      </c>
      <c r="O75" s="14">
        <v>41.55</v>
      </c>
      <c r="P75" s="15">
        <v>134.94</v>
      </c>
      <c r="Q75" s="16">
        <v>0.124</v>
      </c>
      <c r="R75" s="16">
        <v>0.124</v>
      </c>
      <c r="S75" s="12">
        <f t="shared" si="16"/>
        <v>824.69314079422384</v>
      </c>
      <c r="T75" s="12">
        <f t="shared" si="17"/>
        <v>276338.70967741933</v>
      </c>
      <c r="U75" s="17">
        <f t="shared" si="18"/>
        <v>6.3438638585266149</v>
      </c>
      <c r="V75" s="16">
        <v>40</v>
      </c>
      <c r="W75" s="16">
        <f t="shared" si="19"/>
        <v>23600</v>
      </c>
      <c r="X75" s="16">
        <f t="shared" si="20"/>
        <v>590</v>
      </c>
      <c r="Y75" s="18" t="s">
        <v>266</v>
      </c>
      <c r="Z75" s="10" t="s">
        <v>35</v>
      </c>
      <c r="AA75" s="10" t="s">
        <v>35</v>
      </c>
      <c r="AB75" s="10" t="s">
        <v>267</v>
      </c>
      <c r="AC75" s="10">
        <v>0</v>
      </c>
      <c r="AD75" s="10">
        <v>1</v>
      </c>
      <c r="AE75" s="10" t="s">
        <v>42</v>
      </c>
      <c r="AF75" s="10" t="s">
        <v>43</v>
      </c>
      <c r="AG75" s="10" t="s">
        <v>38</v>
      </c>
      <c r="AH75" s="10" t="s">
        <v>92</v>
      </c>
    </row>
    <row r="76" spans="1:34" x14ac:dyDescent="0.3">
      <c r="A76" s="74" t="s">
        <v>267</v>
      </c>
      <c r="B76" s="10" t="s">
        <v>576</v>
      </c>
      <c r="C76" s="10" t="s">
        <v>577</v>
      </c>
      <c r="D76" s="11">
        <v>45728</v>
      </c>
      <c r="E76" s="12">
        <v>155000</v>
      </c>
      <c r="F76" s="10" t="s">
        <v>32</v>
      </c>
      <c r="G76" s="10" t="s">
        <v>33</v>
      </c>
      <c r="H76" s="12">
        <v>155000</v>
      </c>
      <c r="I76" s="12">
        <v>56700</v>
      </c>
      <c r="J76" s="13">
        <f t="shared" si="14"/>
        <v>36.58064516129032</v>
      </c>
      <c r="K76" s="12">
        <v>127617</v>
      </c>
      <c r="L76" s="12">
        <f>H76-119180</f>
        <v>35820</v>
      </c>
      <c r="M76" s="12">
        <v>8437</v>
      </c>
      <c r="N76" s="66">
        <f t="shared" si="15"/>
        <v>5.4432258064516126E-2</v>
      </c>
      <c r="O76" s="14">
        <v>41.55</v>
      </c>
      <c r="P76" s="15">
        <v>134.94</v>
      </c>
      <c r="Q76" s="16">
        <v>0.124</v>
      </c>
      <c r="R76" s="16">
        <v>0.124</v>
      </c>
      <c r="S76" s="12">
        <f t="shared" si="16"/>
        <v>862.09386281588456</v>
      </c>
      <c r="T76" s="12">
        <f t="shared" si="17"/>
        <v>288870.96774193551</v>
      </c>
      <c r="U76" s="17">
        <f t="shared" si="18"/>
        <v>6.6315649160223948</v>
      </c>
      <c r="V76" s="16">
        <v>40</v>
      </c>
      <c r="W76" s="16">
        <f t="shared" si="19"/>
        <v>31000</v>
      </c>
      <c r="X76" s="16">
        <f t="shared" si="20"/>
        <v>775</v>
      </c>
      <c r="Y76" s="18" t="s">
        <v>266</v>
      </c>
      <c r="Z76" s="10" t="s">
        <v>35</v>
      </c>
      <c r="AA76" s="10" t="s">
        <v>35</v>
      </c>
      <c r="AB76" s="10" t="s">
        <v>267</v>
      </c>
      <c r="AC76" s="10">
        <v>0</v>
      </c>
      <c r="AD76" s="10">
        <v>1</v>
      </c>
      <c r="AE76" s="10" t="s">
        <v>42</v>
      </c>
      <c r="AF76" s="10" t="s">
        <v>35</v>
      </c>
      <c r="AG76" s="10" t="s">
        <v>38</v>
      </c>
      <c r="AH76" s="10" t="s">
        <v>92</v>
      </c>
    </row>
    <row r="77" spans="1:34" x14ac:dyDescent="0.3">
      <c r="A77" s="74" t="s">
        <v>267</v>
      </c>
      <c r="B77" s="10" t="s">
        <v>434</v>
      </c>
      <c r="C77" s="10" t="s">
        <v>435</v>
      </c>
      <c r="D77" s="11">
        <v>45422</v>
      </c>
      <c r="E77" s="12">
        <v>155000</v>
      </c>
      <c r="F77" s="10" t="s">
        <v>32</v>
      </c>
      <c r="G77" s="10" t="s">
        <v>33</v>
      </c>
      <c r="H77" s="12">
        <v>155000</v>
      </c>
      <c r="I77" s="12">
        <v>56600</v>
      </c>
      <c r="J77" s="13">
        <f t="shared" si="14"/>
        <v>36.516129032258064</v>
      </c>
      <c r="K77" s="12">
        <v>127409</v>
      </c>
      <c r="L77" s="12">
        <f>H77-118970</f>
        <v>36030</v>
      </c>
      <c r="M77" s="12">
        <v>8439</v>
      </c>
      <c r="N77" s="66">
        <f t="shared" si="15"/>
        <v>5.4445161290322577E-2</v>
      </c>
      <c r="O77" s="14">
        <v>41.56</v>
      </c>
      <c r="P77" s="15">
        <v>135</v>
      </c>
      <c r="Q77" s="16">
        <v>0.124</v>
      </c>
      <c r="R77" s="16">
        <v>0.124</v>
      </c>
      <c r="S77" s="12">
        <f t="shared" si="16"/>
        <v>866.9393647738209</v>
      </c>
      <c r="T77" s="12">
        <f t="shared" si="17"/>
        <v>290564.51612903224</v>
      </c>
      <c r="U77" s="17">
        <f t="shared" si="18"/>
        <v>6.6704434373056074</v>
      </c>
      <c r="V77" s="16">
        <v>40</v>
      </c>
      <c r="W77" s="16">
        <f t="shared" si="19"/>
        <v>31000</v>
      </c>
      <c r="X77" s="16">
        <f t="shared" si="20"/>
        <v>775</v>
      </c>
      <c r="Y77" s="18" t="s">
        <v>266</v>
      </c>
      <c r="Z77" s="10" t="s">
        <v>35</v>
      </c>
      <c r="AA77" s="10" t="s">
        <v>35</v>
      </c>
      <c r="AB77" s="10" t="s">
        <v>267</v>
      </c>
      <c r="AC77" s="10">
        <v>0</v>
      </c>
      <c r="AD77" s="10">
        <v>1</v>
      </c>
      <c r="AE77" s="10" t="s">
        <v>37</v>
      </c>
      <c r="AF77" s="10" t="s">
        <v>43</v>
      </c>
      <c r="AG77" s="10" t="s">
        <v>38</v>
      </c>
      <c r="AH77" s="10" t="s">
        <v>92</v>
      </c>
    </row>
    <row r="78" spans="1:34" x14ac:dyDescent="0.3">
      <c r="A78" s="75" t="s">
        <v>267</v>
      </c>
      <c r="B78" s="19" t="s">
        <v>332</v>
      </c>
      <c r="C78" s="19" t="s">
        <v>333</v>
      </c>
      <c r="D78" s="20">
        <v>45426</v>
      </c>
      <c r="E78" s="21">
        <v>199000</v>
      </c>
      <c r="F78" s="19" t="s">
        <v>32</v>
      </c>
      <c r="G78" s="19" t="s">
        <v>33</v>
      </c>
      <c r="H78" s="21">
        <v>199000</v>
      </c>
      <c r="I78" s="21">
        <v>78500</v>
      </c>
      <c r="J78" s="22">
        <f t="shared" si="14"/>
        <v>39.447236180904518</v>
      </c>
      <c r="K78" s="21">
        <v>171598</v>
      </c>
      <c r="L78" s="21">
        <f>H78-163285</f>
        <v>35715</v>
      </c>
      <c r="M78" s="21">
        <v>8313</v>
      </c>
      <c r="N78" s="67">
        <f t="shared" si="15"/>
        <v>4.1773869346733668E-2</v>
      </c>
      <c r="O78" s="23">
        <v>40.94</v>
      </c>
      <c r="P78" s="24">
        <v>131</v>
      </c>
      <c r="Q78" s="25">
        <v>0.12</v>
      </c>
      <c r="R78" s="25">
        <v>0.12</v>
      </c>
      <c r="S78" s="21">
        <f t="shared" si="16"/>
        <v>872.37420615534938</v>
      </c>
      <c r="T78" s="21">
        <f t="shared" si="17"/>
        <v>297625</v>
      </c>
      <c r="U78" s="26">
        <f t="shared" si="18"/>
        <v>6.8325298438934805</v>
      </c>
      <c r="V78" s="25">
        <v>40</v>
      </c>
      <c r="W78" s="25">
        <f t="shared" si="19"/>
        <v>39800</v>
      </c>
      <c r="X78" s="25">
        <f t="shared" si="20"/>
        <v>995</v>
      </c>
      <c r="Y78" s="27" t="s">
        <v>266</v>
      </c>
      <c r="Z78" s="19" t="s">
        <v>35</v>
      </c>
      <c r="AA78" s="19" t="s">
        <v>35</v>
      </c>
      <c r="AB78" s="19" t="s">
        <v>267</v>
      </c>
      <c r="AC78" s="19">
        <v>0</v>
      </c>
      <c r="AD78" s="19">
        <v>1</v>
      </c>
      <c r="AE78" s="19" t="s">
        <v>334</v>
      </c>
      <c r="AF78" s="19" t="s">
        <v>43</v>
      </c>
      <c r="AG78" s="19" t="s">
        <v>38</v>
      </c>
      <c r="AH78" s="19" t="s">
        <v>92</v>
      </c>
    </row>
    <row r="79" spans="1:34" x14ac:dyDescent="0.3">
      <c r="A79" s="74" t="s">
        <v>267</v>
      </c>
      <c r="B79" s="10" t="s">
        <v>315</v>
      </c>
      <c r="C79" s="10" t="s">
        <v>316</v>
      </c>
      <c r="D79" s="11">
        <v>45097</v>
      </c>
      <c r="E79" s="12">
        <v>130000</v>
      </c>
      <c r="F79" s="10" t="s">
        <v>32</v>
      </c>
      <c r="G79" s="10" t="s">
        <v>33</v>
      </c>
      <c r="H79" s="12">
        <v>130000</v>
      </c>
      <c r="I79" s="12">
        <v>37700</v>
      </c>
      <c r="J79" s="13">
        <f t="shared" si="14"/>
        <v>28.999999999999996</v>
      </c>
      <c r="K79" s="12">
        <v>99519</v>
      </c>
      <c r="L79" s="12">
        <f>H79-91238</f>
        <v>38762</v>
      </c>
      <c r="M79" s="12">
        <v>8281</v>
      </c>
      <c r="N79" s="66">
        <f t="shared" si="15"/>
        <v>6.3700000000000007E-2</v>
      </c>
      <c r="O79" s="14">
        <v>40.79</v>
      </c>
      <c r="P79" s="15">
        <v>130</v>
      </c>
      <c r="Q79" s="16">
        <v>0.11899999999999999</v>
      </c>
      <c r="R79" s="16">
        <v>0.11899999999999999</v>
      </c>
      <c r="S79" s="12">
        <f t="shared" si="16"/>
        <v>950.28193184604072</v>
      </c>
      <c r="T79" s="12">
        <f t="shared" si="17"/>
        <v>325731.09243697481</v>
      </c>
      <c r="U79" s="17">
        <f t="shared" si="18"/>
        <v>7.4777569429975852</v>
      </c>
      <c r="V79" s="16">
        <v>40</v>
      </c>
      <c r="W79" s="16">
        <f t="shared" si="19"/>
        <v>26000</v>
      </c>
      <c r="X79" s="16">
        <f t="shared" si="20"/>
        <v>650</v>
      </c>
      <c r="Y79" s="18" t="s">
        <v>266</v>
      </c>
      <c r="Z79" s="10" t="s">
        <v>35</v>
      </c>
      <c r="AA79" s="10" t="s">
        <v>35</v>
      </c>
      <c r="AB79" s="10" t="s">
        <v>267</v>
      </c>
      <c r="AC79" s="10">
        <v>0</v>
      </c>
      <c r="AD79" s="10">
        <v>1</v>
      </c>
      <c r="AE79" s="10" t="s">
        <v>42</v>
      </c>
      <c r="AF79" s="10" t="s">
        <v>43</v>
      </c>
      <c r="AG79" s="10" t="s">
        <v>38</v>
      </c>
      <c r="AH79" s="10" t="s">
        <v>92</v>
      </c>
    </row>
    <row r="80" spans="1:34" x14ac:dyDescent="0.3">
      <c r="A80" s="74" t="s">
        <v>267</v>
      </c>
      <c r="B80" s="10" t="s">
        <v>287</v>
      </c>
      <c r="C80" s="10" t="s">
        <v>288</v>
      </c>
      <c r="D80" s="11">
        <v>45618</v>
      </c>
      <c r="E80" s="12">
        <v>156000</v>
      </c>
      <c r="F80" s="10" t="s">
        <v>32</v>
      </c>
      <c r="G80" s="10" t="s">
        <v>33</v>
      </c>
      <c r="H80" s="12">
        <v>156000</v>
      </c>
      <c r="I80" s="12">
        <v>54300</v>
      </c>
      <c r="J80" s="13">
        <f t="shared" si="14"/>
        <v>34.807692307692307</v>
      </c>
      <c r="K80" s="12">
        <v>122373</v>
      </c>
      <c r="L80" s="12">
        <f>H80-114060</f>
        <v>41940</v>
      </c>
      <c r="M80" s="12">
        <v>8313</v>
      </c>
      <c r="N80" s="66">
        <f t="shared" si="15"/>
        <v>5.3288461538461541E-2</v>
      </c>
      <c r="O80" s="14">
        <v>40.94</v>
      </c>
      <c r="P80" s="15">
        <v>131</v>
      </c>
      <c r="Q80" s="16">
        <v>0.12</v>
      </c>
      <c r="R80" s="16">
        <v>0.12</v>
      </c>
      <c r="S80" s="12">
        <f t="shared" si="16"/>
        <v>1024.4259892525647</v>
      </c>
      <c r="T80" s="12">
        <f t="shared" si="17"/>
        <v>349500</v>
      </c>
      <c r="U80" s="17">
        <f t="shared" si="18"/>
        <v>8.0234159779614327</v>
      </c>
      <c r="V80" s="16">
        <v>40</v>
      </c>
      <c r="W80" s="16">
        <f t="shared" si="19"/>
        <v>31200</v>
      </c>
      <c r="X80" s="16">
        <f t="shared" si="20"/>
        <v>780</v>
      </c>
      <c r="Y80" s="18" t="s">
        <v>266</v>
      </c>
      <c r="Z80" s="10" t="s">
        <v>35</v>
      </c>
      <c r="AA80" s="10" t="s">
        <v>35</v>
      </c>
      <c r="AB80" s="10" t="s">
        <v>267</v>
      </c>
      <c r="AC80" s="10">
        <v>0</v>
      </c>
      <c r="AD80" s="10">
        <v>1</v>
      </c>
      <c r="AE80" s="10" t="s">
        <v>42</v>
      </c>
      <c r="AF80" s="10" t="s">
        <v>35</v>
      </c>
      <c r="AG80" s="10" t="s">
        <v>38</v>
      </c>
      <c r="AH80" s="10" t="s">
        <v>92</v>
      </c>
    </row>
    <row r="81" spans="1:34" x14ac:dyDescent="0.3">
      <c r="A81" s="75" t="s">
        <v>267</v>
      </c>
      <c r="B81" s="19" t="s">
        <v>470</v>
      </c>
      <c r="C81" s="19" t="s">
        <v>471</v>
      </c>
      <c r="D81" s="20">
        <v>45497</v>
      </c>
      <c r="E81" s="21">
        <v>152000</v>
      </c>
      <c r="F81" s="19" t="s">
        <v>32</v>
      </c>
      <c r="G81" s="19" t="s">
        <v>33</v>
      </c>
      <c r="H81" s="21">
        <v>152000</v>
      </c>
      <c r="I81" s="21">
        <v>52200</v>
      </c>
      <c r="J81" s="22">
        <f t="shared" si="14"/>
        <v>34.342105263157897</v>
      </c>
      <c r="K81" s="21">
        <v>117693</v>
      </c>
      <c r="L81" s="21">
        <f>H81-109254</f>
        <v>42746</v>
      </c>
      <c r="M81" s="21">
        <v>8439</v>
      </c>
      <c r="N81" s="67">
        <f t="shared" si="15"/>
        <v>5.5519736842105261E-2</v>
      </c>
      <c r="O81" s="23">
        <v>41.56</v>
      </c>
      <c r="P81" s="24">
        <v>135</v>
      </c>
      <c r="Q81" s="25">
        <v>0.124</v>
      </c>
      <c r="R81" s="25">
        <v>0.124</v>
      </c>
      <c r="S81" s="21">
        <f t="shared" si="16"/>
        <v>1028.5370548604426</v>
      </c>
      <c r="T81" s="21">
        <f t="shared" si="17"/>
        <v>344725.80645161291</v>
      </c>
      <c r="U81" s="26">
        <f t="shared" si="18"/>
        <v>7.9138155751058976</v>
      </c>
      <c r="V81" s="25">
        <v>40</v>
      </c>
      <c r="W81" s="25">
        <f t="shared" si="19"/>
        <v>30400</v>
      </c>
      <c r="X81" s="25">
        <f t="shared" si="20"/>
        <v>760</v>
      </c>
      <c r="Y81" s="27" t="s">
        <v>266</v>
      </c>
      <c r="Z81" s="19" t="s">
        <v>35</v>
      </c>
      <c r="AA81" s="19" t="s">
        <v>35</v>
      </c>
      <c r="AB81" s="19" t="s">
        <v>267</v>
      </c>
      <c r="AC81" s="19">
        <v>0</v>
      </c>
      <c r="AD81" s="19">
        <v>1</v>
      </c>
      <c r="AE81" s="19" t="s">
        <v>42</v>
      </c>
      <c r="AF81" s="19" t="s">
        <v>43</v>
      </c>
      <c r="AG81" s="19" t="s">
        <v>38</v>
      </c>
      <c r="AH81" s="19" t="s">
        <v>92</v>
      </c>
    </row>
    <row r="82" spans="1:34" x14ac:dyDescent="0.3">
      <c r="A82" s="74" t="s">
        <v>267</v>
      </c>
      <c r="B82" s="10" t="s">
        <v>272</v>
      </c>
      <c r="C82" s="10" t="s">
        <v>273</v>
      </c>
      <c r="D82" s="11">
        <v>45716</v>
      </c>
      <c r="E82" s="12">
        <v>140000</v>
      </c>
      <c r="F82" s="10" t="s">
        <v>32</v>
      </c>
      <c r="G82" s="10" t="s">
        <v>33</v>
      </c>
      <c r="H82" s="12">
        <v>140000</v>
      </c>
      <c r="I82" s="12">
        <v>46500</v>
      </c>
      <c r="J82" s="13">
        <f t="shared" si="14"/>
        <v>33.214285714285715</v>
      </c>
      <c r="K82" s="12">
        <v>100390</v>
      </c>
      <c r="L82" s="12">
        <f>H82-92109</f>
        <v>47891</v>
      </c>
      <c r="M82" s="12">
        <v>8281</v>
      </c>
      <c r="N82" s="66">
        <f t="shared" si="15"/>
        <v>5.9150000000000001E-2</v>
      </c>
      <c r="O82" s="14">
        <v>40.79</v>
      </c>
      <c r="P82" s="15">
        <v>130</v>
      </c>
      <c r="Q82" s="16">
        <v>0.11899999999999999</v>
      </c>
      <c r="R82" s="16">
        <v>0.11899999999999999</v>
      </c>
      <c r="S82" s="12">
        <f t="shared" si="16"/>
        <v>1174.0867859769551</v>
      </c>
      <c r="T82" s="12">
        <f t="shared" si="17"/>
        <v>402445.37815126055</v>
      </c>
      <c r="U82" s="17">
        <f t="shared" si="18"/>
        <v>9.2388746132061659</v>
      </c>
      <c r="V82" s="16">
        <v>40</v>
      </c>
      <c r="W82" s="16">
        <f t="shared" si="19"/>
        <v>28000</v>
      </c>
      <c r="X82" s="16">
        <f t="shared" si="20"/>
        <v>700</v>
      </c>
      <c r="Y82" s="18" t="s">
        <v>266</v>
      </c>
      <c r="Z82" s="10" t="s">
        <v>35</v>
      </c>
      <c r="AA82" s="10" t="s">
        <v>35</v>
      </c>
      <c r="AB82" s="10" t="s">
        <v>267</v>
      </c>
      <c r="AC82" s="10">
        <v>0</v>
      </c>
      <c r="AD82" s="10">
        <v>1</v>
      </c>
      <c r="AE82" s="10" t="s">
        <v>42</v>
      </c>
      <c r="AF82" s="10" t="s">
        <v>35</v>
      </c>
      <c r="AG82" s="10" t="s">
        <v>38</v>
      </c>
      <c r="AH82" s="10" t="s">
        <v>92</v>
      </c>
    </row>
    <row r="83" spans="1:34" x14ac:dyDescent="0.3">
      <c r="A83" s="75" t="s">
        <v>267</v>
      </c>
      <c r="B83" s="19" t="s">
        <v>276</v>
      </c>
      <c r="C83" s="19" t="s">
        <v>277</v>
      </c>
      <c r="D83" s="20">
        <v>45582</v>
      </c>
      <c r="E83" s="21">
        <v>145000</v>
      </c>
      <c r="F83" s="19" t="s">
        <v>32</v>
      </c>
      <c r="G83" s="19" t="s">
        <v>33</v>
      </c>
      <c r="H83" s="21">
        <v>145000</v>
      </c>
      <c r="I83" s="21">
        <v>48700</v>
      </c>
      <c r="J83" s="22">
        <f t="shared" si="14"/>
        <v>33.586206896551722</v>
      </c>
      <c r="K83" s="21">
        <v>104981</v>
      </c>
      <c r="L83" s="21">
        <f>H83-96700</f>
        <v>48300</v>
      </c>
      <c r="M83" s="21">
        <v>8281</v>
      </c>
      <c r="N83" s="67">
        <f t="shared" si="15"/>
        <v>5.7110344827586208E-2</v>
      </c>
      <c r="O83" s="23">
        <v>40.79</v>
      </c>
      <c r="P83" s="24">
        <v>130</v>
      </c>
      <c r="Q83" s="25">
        <v>0.11899999999999999</v>
      </c>
      <c r="R83" s="25">
        <v>0.11899999999999999</v>
      </c>
      <c r="S83" s="21">
        <f t="shared" si="16"/>
        <v>1184.1137533709243</v>
      </c>
      <c r="T83" s="21">
        <f t="shared" si="17"/>
        <v>405882.3529411765</v>
      </c>
      <c r="U83" s="26">
        <f t="shared" si="18"/>
        <v>9.3177766974558427</v>
      </c>
      <c r="V83" s="25">
        <v>40</v>
      </c>
      <c r="W83" s="25">
        <f t="shared" si="19"/>
        <v>29000</v>
      </c>
      <c r="X83" s="25">
        <f t="shared" si="20"/>
        <v>725</v>
      </c>
      <c r="Y83" s="27" t="s">
        <v>266</v>
      </c>
      <c r="Z83" s="19" t="s">
        <v>35</v>
      </c>
      <c r="AA83" s="19" t="s">
        <v>35</v>
      </c>
      <c r="AB83" s="19" t="s">
        <v>267</v>
      </c>
      <c r="AC83" s="19">
        <v>0</v>
      </c>
      <c r="AD83" s="19">
        <v>1</v>
      </c>
      <c r="AE83" s="19" t="s">
        <v>37</v>
      </c>
      <c r="AF83" s="19" t="s">
        <v>35</v>
      </c>
      <c r="AG83" s="19" t="s">
        <v>38</v>
      </c>
      <c r="AH83" s="19" t="s">
        <v>92</v>
      </c>
    </row>
    <row r="84" spans="1:34" x14ac:dyDescent="0.3">
      <c r="A84" s="74" t="s">
        <v>267</v>
      </c>
      <c r="B84" s="10" t="s">
        <v>427</v>
      </c>
      <c r="C84" s="10" t="s">
        <v>428</v>
      </c>
      <c r="D84" s="11">
        <v>45551</v>
      </c>
      <c r="E84" s="12">
        <v>150000</v>
      </c>
      <c r="F84" s="10" t="s">
        <v>32</v>
      </c>
      <c r="G84" s="10" t="s">
        <v>33</v>
      </c>
      <c r="H84" s="12">
        <v>150000</v>
      </c>
      <c r="I84" s="12">
        <v>48900</v>
      </c>
      <c r="J84" s="13">
        <f t="shared" si="14"/>
        <v>32.6</v>
      </c>
      <c r="K84" s="12">
        <v>110989</v>
      </c>
      <c r="L84" s="12">
        <f>H84-103372</f>
        <v>46628</v>
      </c>
      <c r="M84" s="12">
        <v>7617</v>
      </c>
      <c r="N84" s="66">
        <f t="shared" si="15"/>
        <v>5.0779999999999999E-2</v>
      </c>
      <c r="O84" s="14">
        <v>37.520000000000003</v>
      </c>
      <c r="P84" s="15">
        <v>110</v>
      </c>
      <c r="Q84" s="16">
        <v>0.10100000000000001</v>
      </c>
      <c r="R84" s="16">
        <v>0.10100000000000001</v>
      </c>
      <c r="S84" s="12">
        <f t="shared" si="16"/>
        <v>1242.7505330490403</v>
      </c>
      <c r="T84" s="12">
        <f t="shared" si="17"/>
        <v>461663.36633663363</v>
      </c>
      <c r="U84" s="17">
        <f t="shared" si="18"/>
        <v>10.59833256052878</v>
      </c>
      <c r="V84" s="16">
        <v>40</v>
      </c>
      <c r="W84" s="16">
        <f t="shared" si="19"/>
        <v>30000</v>
      </c>
      <c r="X84" s="16">
        <f t="shared" si="20"/>
        <v>750</v>
      </c>
      <c r="Y84" s="18" t="s">
        <v>266</v>
      </c>
      <c r="Z84" s="10" t="s">
        <v>35</v>
      </c>
      <c r="AA84" s="10" t="s">
        <v>35</v>
      </c>
      <c r="AB84" s="10" t="s">
        <v>267</v>
      </c>
      <c r="AC84" s="10">
        <v>0</v>
      </c>
      <c r="AD84" s="10">
        <v>1</v>
      </c>
      <c r="AE84" s="10" t="s">
        <v>37</v>
      </c>
      <c r="AF84" s="10" t="s">
        <v>314</v>
      </c>
      <c r="AG84" s="10" t="s">
        <v>38</v>
      </c>
      <c r="AH84" s="10" t="s">
        <v>92</v>
      </c>
    </row>
    <row r="85" spans="1:34" x14ac:dyDescent="0.3">
      <c r="A85" s="75" t="s">
        <v>267</v>
      </c>
      <c r="B85" s="19" t="s">
        <v>462</v>
      </c>
      <c r="C85" s="19" t="s">
        <v>463</v>
      </c>
      <c r="D85" s="20">
        <v>45293</v>
      </c>
      <c r="E85" s="21">
        <v>188000</v>
      </c>
      <c r="F85" s="19" t="s">
        <v>32</v>
      </c>
      <c r="G85" s="19" t="s">
        <v>33</v>
      </c>
      <c r="H85" s="21">
        <v>188000</v>
      </c>
      <c r="I85" s="21">
        <v>39000</v>
      </c>
      <c r="J85" s="22">
        <f t="shared" si="14"/>
        <v>20.74468085106383</v>
      </c>
      <c r="K85" s="21">
        <v>101427</v>
      </c>
      <c r="L85" s="21">
        <f>H85-84655</f>
        <v>103345</v>
      </c>
      <c r="M85" s="21">
        <v>16772</v>
      </c>
      <c r="N85" s="67">
        <f t="shared" si="15"/>
        <v>8.9212765957446802E-2</v>
      </c>
      <c r="O85" s="23">
        <v>82.61</v>
      </c>
      <c r="P85" s="24">
        <v>133.32</v>
      </c>
      <c r="Q85" s="25">
        <v>0.245</v>
      </c>
      <c r="R85" s="25">
        <v>0.245</v>
      </c>
      <c r="S85" s="21">
        <f t="shared" si="16"/>
        <v>1250.9986684420771</v>
      </c>
      <c r="T85" s="21">
        <f t="shared" si="17"/>
        <v>421816.32653061225</v>
      </c>
      <c r="U85" s="26">
        <f t="shared" si="18"/>
        <v>9.6835703978561121</v>
      </c>
      <c r="V85" s="25">
        <v>80</v>
      </c>
      <c r="W85" s="25">
        <f t="shared" si="19"/>
        <v>37600</v>
      </c>
      <c r="X85" s="25">
        <f t="shared" si="20"/>
        <v>470</v>
      </c>
      <c r="Y85" s="27" t="s">
        <v>266</v>
      </c>
      <c r="Z85" s="19" t="s">
        <v>35</v>
      </c>
      <c r="AA85" s="19" t="s">
        <v>35</v>
      </c>
      <c r="AB85" s="19" t="s">
        <v>267</v>
      </c>
      <c r="AC85" s="19">
        <v>0</v>
      </c>
      <c r="AD85" s="19">
        <v>1</v>
      </c>
      <c r="AE85" s="19" t="s">
        <v>464</v>
      </c>
      <c r="AF85" s="19" t="s">
        <v>43</v>
      </c>
      <c r="AG85" s="19" t="s">
        <v>38</v>
      </c>
      <c r="AH85" s="19" t="s">
        <v>92</v>
      </c>
    </row>
    <row r="86" spans="1:34" x14ac:dyDescent="0.3">
      <c r="A86" s="74" t="s">
        <v>267</v>
      </c>
      <c r="B86" s="10" t="s">
        <v>312</v>
      </c>
      <c r="C86" s="10" t="s">
        <v>313</v>
      </c>
      <c r="D86" s="11">
        <v>45457</v>
      </c>
      <c r="E86" s="12">
        <v>180000</v>
      </c>
      <c r="F86" s="10" t="s">
        <v>32</v>
      </c>
      <c r="G86" s="10" t="s">
        <v>33</v>
      </c>
      <c r="H86" s="12">
        <v>180000</v>
      </c>
      <c r="I86" s="12">
        <v>48700</v>
      </c>
      <c r="J86" s="13">
        <f t="shared" si="14"/>
        <v>27.055555555555554</v>
      </c>
      <c r="K86" s="12">
        <v>140557</v>
      </c>
      <c r="L86" s="12">
        <f>H86-132940</f>
        <v>47060</v>
      </c>
      <c r="M86" s="12">
        <v>7617</v>
      </c>
      <c r="N86" s="66">
        <f t="shared" si="15"/>
        <v>4.2316666666666669E-2</v>
      </c>
      <c r="O86" s="14">
        <v>37.520000000000003</v>
      </c>
      <c r="P86" s="15">
        <v>110</v>
      </c>
      <c r="Q86" s="16">
        <v>0.10100000000000001</v>
      </c>
      <c r="R86" s="16">
        <v>0.10100000000000001</v>
      </c>
      <c r="S86" s="12">
        <f t="shared" si="16"/>
        <v>1254.2643923240937</v>
      </c>
      <c r="T86" s="12">
        <f t="shared" si="17"/>
        <v>465940.59405940591</v>
      </c>
      <c r="U86" s="17">
        <f t="shared" si="18"/>
        <v>10.696524197874332</v>
      </c>
      <c r="V86" s="16">
        <v>40</v>
      </c>
      <c r="W86" s="16">
        <f t="shared" si="19"/>
        <v>36000</v>
      </c>
      <c r="X86" s="16">
        <f t="shared" si="20"/>
        <v>900</v>
      </c>
      <c r="Y86" s="18" t="s">
        <v>266</v>
      </c>
      <c r="Z86" s="10" t="s">
        <v>35</v>
      </c>
      <c r="AA86" s="10" t="s">
        <v>35</v>
      </c>
      <c r="AB86" s="10" t="s">
        <v>267</v>
      </c>
      <c r="AC86" s="10">
        <v>0</v>
      </c>
      <c r="AD86" s="10">
        <v>1</v>
      </c>
      <c r="AE86" s="10" t="s">
        <v>37</v>
      </c>
      <c r="AF86" s="10" t="s">
        <v>314</v>
      </c>
      <c r="AG86" s="10" t="s">
        <v>38</v>
      </c>
      <c r="AH86" s="10" t="s">
        <v>92</v>
      </c>
    </row>
    <row r="87" spans="1:34" ht="15" thickBot="1" x14ac:dyDescent="0.35">
      <c r="A87" s="75" t="s">
        <v>267</v>
      </c>
      <c r="B87" s="19" t="s">
        <v>438</v>
      </c>
      <c r="C87" s="19" t="s">
        <v>439</v>
      </c>
      <c r="D87" s="20">
        <v>45463</v>
      </c>
      <c r="E87" s="21">
        <v>145000</v>
      </c>
      <c r="F87" s="19" t="s">
        <v>32</v>
      </c>
      <c r="G87" s="19" t="s">
        <v>33</v>
      </c>
      <c r="H87" s="21">
        <v>145000</v>
      </c>
      <c r="I87" s="21">
        <v>45500</v>
      </c>
      <c r="J87" s="22">
        <f t="shared" si="14"/>
        <v>31.379310344827587</v>
      </c>
      <c r="K87" s="21">
        <v>100897</v>
      </c>
      <c r="L87" s="21">
        <f>H87-92972</f>
        <v>52028</v>
      </c>
      <c r="M87" s="21">
        <v>7925</v>
      </c>
      <c r="N87" s="67">
        <f t="shared" si="15"/>
        <v>5.4655172413793106E-2</v>
      </c>
      <c r="O87" s="23">
        <v>39.03</v>
      </c>
      <c r="P87" s="24">
        <v>119.07</v>
      </c>
      <c r="Q87" s="25">
        <v>0.109</v>
      </c>
      <c r="R87" s="25">
        <v>0.109</v>
      </c>
      <c r="S87" s="21">
        <f t="shared" si="16"/>
        <v>1333.0258775301049</v>
      </c>
      <c r="T87" s="21">
        <f t="shared" si="17"/>
        <v>477321.10091743118</v>
      </c>
      <c r="U87" s="26">
        <f t="shared" si="18"/>
        <v>10.957784685891442</v>
      </c>
      <c r="V87" s="25">
        <v>40</v>
      </c>
      <c r="W87" s="25">
        <f t="shared" si="19"/>
        <v>29000</v>
      </c>
      <c r="X87" s="25">
        <f t="shared" si="20"/>
        <v>725</v>
      </c>
      <c r="Y87" s="27" t="s">
        <v>266</v>
      </c>
      <c r="Z87" s="19" t="s">
        <v>35</v>
      </c>
      <c r="AA87" s="19" t="s">
        <v>35</v>
      </c>
      <c r="AB87" s="19" t="s">
        <v>267</v>
      </c>
      <c r="AC87" s="19">
        <v>0</v>
      </c>
      <c r="AD87" s="19">
        <v>1</v>
      </c>
      <c r="AE87" s="19" t="s">
        <v>42</v>
      </c>
      <c r="AF87" s="19" t="s">
        <v>43</v>
      </c>
      <c r="AG87" s="19" t="s">
        <v>38</v>
      </c>
      <c r="AH87" s="19" t="s">
        <v>92</v>
      </c>
    </row>
    <row r="88" spans="1:34" ht="15" thickTop="1" x14ac:dyDescent="0.3">
      <c r="A88" s="76"/>
      <c r="B88" s="37"/>
      <c r="C88" s="37"/>
      <c r="D88" s="38" t="s">
        <v>2876</v>
      </c>
      <c r="E88" s="39">
        <f>+SUM(E2:E87)</f>
        <v>11546492</v>
      </c>
      <c r="F88" s="37"/>
      <c r="G88" s="37"/>
      <c r="H88" s="39">
        <f>+SUM(H2:H87)</f>
        <v>11546492</v>
      </c>
      <c r="I88" s="39">
        <f>+SUM(I2:I87)</f>
        <v>4729600</v>
      </c>
      <c r="J88" s="40"/>
      <c r="K88" s="39">
        <f>+SUM(K2:K87)</f>
        <v>11070734</v>
      </c>
      <c r="L88" s="39">
        <f>+SUM(L2:L87)</f>
        <v>1488998</v>
      </c>
      <c r="M88" s="39">
        <f>+SUM(M2:M87)</f>
        <v>1002416</v>
      </c>
      <c r="N88" s="81">
        <f>AVERAGE(N2:N87)</f>
        <v>9.365845474918412E-2</v>
      </c>
      <c r="O88" s="41">
        <f>+SUM(O2:O87)</f>
        <v>4937.420000000001</v>
      </c>
      <c r="P88" s="42"/>
      <c r="Q88" s="43">
        <f>+SUM(Q2:Q87)</f>
        <v>15.324000000000003</v>
      </c>
      <c r="R88" s="43">
        <f>+SUM(R2:R87)</f>
        <v>15.000000000000002</v>
      </c>
      <c r="S88" s="39"/>
      <c r="T88" s="39"/>
      <c r="U88" s="44"/>
      <c r="V88" s="43"/>
      <c r="W88" s="82">
        <f>AVERAGE(W2:W87)</f>
        <v>26852.306976744185</v>
      </c>
      <c r="X88" s="83">
        <f>AVERAGE(X2:X87)</f>
        <v>554.78409417070191</v>
      </c>
      <c r="Y88" s="45"/>
      <c r="Z88" s="37"/>
      <c r="AA88" s="37"/>
      <c r="AB88" s="37"/>
      <c r="AC88" s="37"/>
      <c r="AD88" s="37"/>
      <c r="AE88" s="37"/>
      <c r="AF88" s="37"/>
      <c r="AG88" s="37"/>
      <c r="AH88" s="37"/>
    </row>
    <row r="89" spans="1:34" x14ac:dyDescent="0.3">
      <c r="A89" s="77"/>
      <c r="B89" s="28"/>
      <c r="C89" s="28"/>
      <c r="D89" s="29"/>
      <c r="E89" s="30"/>
      <c r="F89" s="28"/>
      <c r="G89" s="28"/>
      <c r="H89" s="30"/>
      <c r="I89" s="30" t="s">
        <v>2877</v>
      </c>
      <c r="J89" s="31">
        <f>I88/H88*100</f>
        <v>40.961358653346835</v>
      </c>
      <c r="K89" s="30"/>
      <c r="L89" s="30"/>
      <c r="M89" s="30" t="s">
        <v>2879</v>
      </c>
      <c r="N89" s="79"/>
      <c r="O89" s="32"/>
      <c r="P89" s="33"/>
      <c r="Q89" s="34" t="s">
        <v>2879</v>
      </c>
      <c r="R89" s="34"/>
      <c r="S89" s="30"/>
      <c r="T89" s="30" t="s">
        <v>2879</v>
      </c>
      <c r="U89" s="35"/>
      <c r="V89" s="34"/>
      <c r="W89" s="63"/>
      <c r="X89" s="68"/>
      <c r="Y89" s="36"/>
      <c r="Z89" s="28"/>
      <c r="AA89" s="28"/>
      <c r="AB89" s="28"/>
      <c r="AC89" s="28"/>
      <c r="AD89" s="28"/>
      <c r="AE89" s="28"/>
      <c r="AF89" s="28"/>
      <c r="AG89" s="28"/>
      <c r="AH89" s="28"/>
    </row>
    <row r="90" spans="1:34" x14ac:dyDescent="0.3">
      <c r="A90" s="78"/>
      <c r="B90" s="46"/>
      <c r="C90" s="46"/>
      <c r="D90" s="47"/>
      <c r="E90" s="48"/>
      <c r="F90" s="46"/>
      <c r="G90" s="46"/>
      <c r="H90" s="48"/>
      <c r="I90" s="48" t="s">
        <v>2878</v>
      </c>
      <c r="J90" s="49">
        <f>STDEV(J2:J87)</f>
        <v>47.136612877056209</v>
      </c>
      <c r="K90" s="48"/>
      <c r="L90" s="48"/>
      <c r="M90" s="48" t="s">
        <v>2880</v>
      </c>
      <c r="N90" s="80"/>
      <c r="O90" s="54">
        <f>L88/O88</f>
        <v>301.57410145379566</v>
      </c>
      <c r="P90" s="50"/>
      <c r="Q90" s="51" t="s">
        <v>2881</v>
      </c>
      <c r="R90" s="51">
        <f>L88/Q88</f>
        <v>97167.710780475056</v>
      </c>
      <c r="S90" s="48"/>
      <c r="T90" s="48" t="s">
        <v>2882</v>
      </c>
      <c r="U90" s="52">
        <f>L88/Q88/43560</f>
        <v>2.2306637001945604</v>
      </c>
      <c r="V90" s="51"/>
      <c r="W90" s="64"/>
      <c r="X90" s="69"/>
      <c r="Y90" s="53"/>
      <c r="Z90" s="46"/>
      <c r="AA90" s="46"/>
      <c r="AB90" s="46"/>
      <c r="AC90" s="46"/>
      <c r="AD90" s="46"/>
      <c r="AE90" s="46"/>
      <c r="AF90" s="46"/>
      <c r="AG90" s="46"/>
      <c r="AH90" s="46"/>
    </row>
    <row r="91" spans="1:34" x14ac:dyDescent="0.3">
      <c r="E91" s="94" t="s">
        <v>3099</v>
      </c>
      <c r="L91" s="95"/>
    </row>
    <row r="92" spans="1:34" x14ac:dyDescent="0.3">
      <c r="E92" s="383" t="s">
        <v>3163</v>
      </c>
      <c r="F92" s="383"/>
      <c r="G92" s="383"/>
      <c r="H92" s="383"/>
      <c r="I92" s="383"/>
      <c r="J92" s="383"/>
      <c r="K92" s="383"/>
      <c r="L92" s="383"/>
    </row>
    <row r="93" spans="1:34" x14ac:dyDescent="0.3">
      <c r="E93" s="383" t="s">
        <v>3164</v>
      </c>
      <c r="F93" s="383"/>
      <c r="G93" s="383"/>
      <c r="H93" s="383"/>
      <c r="I93" s="383"/>
      <c r="J93" s="383"/>
      <c r="K93" s="383"/>
      <c r="L93" s="383"/>
    </row>
    <row r="94" spans="1:34" x14ac:dyDescent="0.3">
      <c r="E94" s="383" t="s">
        <v>3165</v>
      </c>
      <c r="F94" s="383"/>
      <c r="G94" s="383"/>
      <c r="H94" s="383"/>
      <c r="I94" s="384"/>
      <c r="J94" s="383"/>
      <c r="K94" s="383"/>
      <c r="L94" s="383"/>
    </row>
    <row r="95" spans="1:34" x14ac:dyDescent="0.3">
      <c r="E95" s="383" t="s">
        <v>3166</v>
      </c>
      <c r="F95" s="383"/>
      <c r="G95" s="383"/>
      <c r="H95" s="383"/>
      <c r="I95" s="383"/>
      <c r="J95" s="96"/>
      <c r="K95" s="96"/>
      <c r="L95" s="96"/>
    </row>
    <row r="96" spans="1:34" x14ac:dyDescent="0.3">
      <c r="E96" s="383" t="s">
        <v>3167</v>
      </c>
      <c r="F96" s="383"/>
      <c r="G96" s="383"/>
      <c r="H96" s="383"/>
      <c r="I96" s="383"/>
      <c r="L96" s="95"/>
    </row>
    <row r="97" spans="1:34" x14ac:dyDescent="0.3">
      <c r="E97" s="383" t="s">
        <v>3100</v>
      </c>
      <c r="F97" s="383"/>
      <c r="G97" s="383"/>
      <c r="H97" s="383"/>
      <c r="I97" s="383"/>
      <c r="L97" s="95"/>
    </row>
    <row r="98" spans="1:34" x14ac:dyDescent="0.3">
      <c r="E98" s="96"/>
      <c r="F98" s="96"/>
      <c r="G98" s="96"/>
      <c r="H98" s="96"/>
      <c r="I98" s="96"/>
      <c r="L98" s="95"/>
    </row>
    <row r="99" spans="1:34" x14ac:dyDescent="0.3">
      <c r="A99" s="55" t="s">
        <v>3092</v>
      </c>
      <c r="E99" s="96"/>
      <c r="F99" s="96"/>
      <c r="G99" s="96"/>
      <c r="H99" s="96"/>
      <c r="I99" s="96"/>
      <c r="L99" s="95"/>
    </row>
    <row r="100" spans="1:34" x14ac:dyDescent="0.3">
      <c r="A100" s="55" t="s">
        <v>3092</v>
      </c>
    </row>
    <row r="101" spans="1:34" x14ac:dyDescent="0.3">
      <c r="A101" s="74" t="s">
        <v>267</v>
      </c>
      <c r="B101" s="10" t="s">
        <v>584</v>
      </c>
      <c r="C101" s="10" t="s">
        <v>585</v>
      </c>
      <c r="D101" s="11">
        <v>45656</v>
      </c>
      <c r="E101" s="12">
        <v>35000</v>
      </c>
      <c r="F101" s="10" t="s">
        <v>32</v>
      </c>
      <c r="G101" s="10" t="s">
        <v>33</v>
      </c>
      <c r="H101" s="12">
        <v>35000</v>
      </c>
      <c r="I101" s="12">
        <v>48100</v>
      </c>
      <c r="J101" s="13">
        <f t="shared" ref="J101:J116" si="21">I101/H101*100</f>
        <v>137.42857142857144</v>
      </c>
      <c r="K101" s="12">
        <v>108653</v>
      </c>
      <c r="L101" s="12">
        <f>H101-100379</f>
        <v>-65379</v>
      </c>
      <c r="M101" s="12">
        <v>8274</v>
      </c>
      <c r="N101" s="66">
        <f t="shared" ref="N101:N116" si="22">M101/E101</f>
        <v>0.2364</v>
      </c>
      <c r="O101" s="14">
        <v>40.75</v>
      </c>
      <c r="P101" s="15">
        <v>129.78</v>
      </c>
      <c r="Q101" s="16">
        <v>0.11899999999999999</v>
      </c>
      <c r="R101" s="16">
        <v>0.11899999999999999</v>
      </c>
      <c r="S101" s="12">
        <f t="shared" ref="S101:S116" si="23">L101/O101</f>
        <v>-1604.3926380368098</v>
      </c>
      <c r="T101" s="12">
        <f t="shared" ref="T101:T116" si="24">L101/Q101</f>
        <v>-549403.36134453781</v>
      </c>
      <c r="U101" s="17">
        <f t="shared" ref="U101:U116" si="25">L101/Q101/43560</f>
        <v>-12.612565687431998</v>
      </c>
      <c r="V101" s="16">
        <v>40</v>
      </c>
      <c r="W101" s="16">
        <f t="shared" ref="W101:W116" si="26">0.2*E101</f>
        <v>7000</v>
      </c>
      <c r="X101" s="16">
        <f t="shared" ref="X101:X116" si="27">W101/V101</f>
        <v>175</v>
      </c>
      <c r="Y101" s="18" t="s">
        <v>266</v>
      </c>
      <c r="Z101" s="10" t="s">
        <v>35</v>
      </c>
      <c r="AA101" s="10" t="s">
        <v>35</v>
      </c>
      <c r="AB101" s="10" t="s">
        <v>267</v>
      </c>
      <c r="AC101" s="10">
        <v>0</v>
      </c>
      <c r="AD101" s="10">
        <v>1</v>
      </c>
      <c r="AE101" s="10" t="s">
        <v>42</v>
      </c>
      <c r="AF101" s="10" t="s">
        <v>35</v>
      </c>
      <c r="AG101" s="10" t="s">
        <v>38</v>
      </c>
      <c r="AH101" s="10" t="s">
        <v>92</v>
      </c>
    </row>
    <row r="102" spans="1:34" x14ac:dyDescent="0.3">
      <c r="A102" s="75" t="s">
        <v>267</v>
      </c>
      <c r="B102" s="19" t="s">
        <v>347</v>
      </c>
      <c r="C102" s="19" t="s">
        <v>348</v>
      </c>
      <c r="D102" s="20">
        <v>45456</v>
      </c>
      <c r="E102" s="21">
        <v>73500</v>
      </c>
      <c r="F102" s="19" t="s">
        <v>32</v>
      </c>
      <c r="G102" s="19" t="s">
        <v>33</v>
      </c>
      <c r="H102" s="21">
        <v>73500</v>
      </c>
      <c r="I102" s="21">
        <v>65300</v>
      </c>
      <c r="J102" s="22">
        <f t="shared" si="21"/>
        <v>88.843537414965994</v>
      </c>
      <c r="K102" s="21">
        <v>141826</v>
      </c>
      <c r="L102" s="21">
        <f>H102-133545</f>
        <v>-60045</v>
      </c>
      <c r="M102" s="21">
        <v>8281</v>
      </c>
      <c r="N102" s="67">
        <f t="shared" si="22"/>
        <v>0.11266666666666666</v>
      </c>
      <c r="O102" s="23">
        <v>40.79</v>
      </c>
      <c r="P102" s="24">
        <v>130</v>
      </c>
      <c r="Q102" s="25">
        <v>0.11899999999999999</v>
      </c>
      <c r="R102" s="25">
        <v>0.11899999999999999</v>
      </c>
      <c r="S102" s="21">
        <f t="shared" si="23"/>
        <v>-1472.0519735229223</v>
      </c>
      <c r="T102" s="21">
        <f t="shared" si="24"/>
        <v>-504579.83193277312</v>
      </c>
      <c r="U102" s="26">
        <f t="shared" si="25"/>
        <v>-11.583559043452091</v>
      </c>
      <c r="V102" s="25">
        <v>40</v>
      </c>
      <c r="W102" s="25">
        <f t="shared" si="26"/>
        <v>14700</v>
      </c>
      <c r="X102" s="25">
        <f t="shared" si="27"/>
        <v>367.5</v>
      </c>
      <c r="Y102" s="27" t="s">
        <v>266</v>
      </c>
      <c r="Z102" s="19" t="s">
        <v>35</v>
      </c>
      <c r="AA102" s="19" t="s">
        <v>35</v>
      </c>
      <c r="AB102" s="19" t="s">
        <v>267</v>
      </c>
      <c r="AC102" s="19">
        <v>0</v>
      </c>
      <c r="AD102" s="19">
        <v>1</v>
      </c>
      <c r="AE102" s="19" t="s">
        <v>42</v>
      </c>
      <c r="AF102" s="19" t="s">
        <v>43</v>
      </c>
      <c r="AG102" s="19" t="s">
        <v>38</v>
      </c>
      <c r="AH102" s="19" t="s">
        <v>92</v>
      </c>
    </row>
    <row r="103" spans="1:34" x14ac:dyDescent="0.3">
      <c r="A103" s="74" t="s">
        <v>267</v>
      </c>
      <c r="B103" s="10" t="s">
        <v>436</v>
      </c>
      <c r="C103" s="10" t="s">
        <v>437</v>
      </c>
      <c r="D103" s="11">
        <v>45681</v>
      </c>
      <c r="E103" s="12">
        <v>125000</v>
      </c>
      <c r="F103" s="10" t="s">
        <v>81</v>
      </c>
      <c r="G103" s="10" t="s">
        <v>33</v>
      </c>
      <c r="H103" s="12">
        <v>125000</v>
      </c>
      <c r="I103" s="12">
        <v>82600</v>
      </c>
      <c r="J103" s="13">
        <f t="shared" si="21"/>
        <v>66.080000000000013</v>
      </c>
      <c r="K103" s="12">
        <v>181256</v>
      </c>
      <c r="L103" s="12">
        <f>H103-172817</f>
        <v>-47817</v>
      </c>
      <c r="M103" s="12">
        <v>8439</v>
      </c>
      <c r="N103" s="66">
        <f t="shared" si="22"/>
        <v>6.7512000000000003E-2</v>
      </c>
      <c r="O103" s="14">
        <v>41.56</v>
      </c>
      <c r="P103" s="15">
        <v>135</v>
      </c>
      <c r="Q103" s="16">
        <v>0.124</v>
      </c>
      <c r="R103" s="16">
        <v>0.124</v>
      </c>
      <c r="S103" s="12">
        <f t="shared" si="23"/>
        <v>-1150.553416746872</v>
      </c>
      <c r="T103" s="12">
        <f t="shared" si="24"/>
        <v>-385620.96774193551</v>
      </c>
      <c r="U103" s="17">
        <f t="shared" si="25"/>
        <v>-8.8526392961876841</v>
      </c>
      <c r="V103" s="16">
        <v>40</v>
      </c>
      <c r="W103" s="16">
        <f t="shared" si="26"/>
        <v>25000</v>
      </c>
      <c r="X103" s="16">
        <f t="shared" si="27"/>
        <v>625</v>
      </c>
      <c r="Y103" s="18" t="s">
        <v>266</v>
      </c>
      <c r="Z103" s="10" t="s">
        <v>35</v>
      </c>
      <c r="AA103" s="10" t="s">
        <v>35</v>
      </c>
      <c r="AB103" s="10" t="s">
        <v>267</v>
      </c>
      <c r="AC103" s="10">
        <v>0</v>
      </c>
      <c r="AD103" s="10">
        <v>1</v>
      </c>
      <c r="AE103" s="10" t="s">
        <v>37</v>
      </c>
      <c r="AF103" s="10" t="s">
        <v>35</v>
      </c>
      <c r="AG103" s="10" t="s">
        <v>38</v>
      </c>
      <c r="AH103" s="10" t="s">
        <v>92</v>
      </c>
    </row>
    <row r="104" spans="1:34" x14ac:dyDescent="0.3">
      <c r="A104" s="74" t="s">
        <v>267</v>
      </c>
      <c r="B104" s="10" t="s">
        <v>470</v>
      </c>
      <c r="C104" s="10" t="s">
        <v>471</v>
      </c>
      <c r="D104" s="11">
        <v>45413</v>
      </c>
      <c r="E104" s="12">
        <v>65000</v>
      </c>
      <c r="F104" s="10" t="s">
        <v>81</v>
      </c>
      <c r="G104" s="10" t="s">
        <v>33</v>
      </c>
      <c r="H104" s="12">
        <v>65000</v>
      </c>
      <c r="I104" s="12">
        <v>52200</v>
      </c>
      <c r="J104" s="13">
        <f t="shared" si="21"/>
        <v>80.307692307692307</v>
      </c>
      <c r="K104" s="12">
        <v>117693</v>
      </c>
      <c r="L104" s="12">
        <f>H104-109254</f>
        <v>-44254</v>
      </c>
      <c r="M104" s="12">
        <v>8439</v>
      </c>
      <c r="N104" s="66">
        <f t="shared" si="22"/>
        <v>0.12983076923076922</v>
      </c>
      <c r="O104" s="14">
        <v>41.56</v>
      </c>
      <c r="P104" s="15">
        <v>135</v>
      </c>
      <c r="Q104" s="16">
        <v>0.124</v>
      </c>
      <c r="R104" s="16">
        <v>0.124</v>
      </c>
      <c r="S104" s="12">
        <f t="shared" si="23"/>
        <v>-1064.8219441770932</v>
      </c>
      <c r="T104" s="12">
        <f t="shared" si="24"/>
        <v>-356887.09677419357</v>
      </c>
      <c r="U104" s="17">
        <f t="shared" si="25"/>
        <v>-8.1930003850824971</v>
      </c>
      <c r="V104" s="16">
        <v>40</v>
      </c>
      <c r="W104" s="16">
        <f t="shared" si="26"/>
        <v>13000</v>
      </c>
      <c r="X104" s="16">
        <f t="shared" si="27"/>
        <v>325</v>
      </c>
      <c r="Y104" s="18" t="s">
        <v>266</v>
      </c>
      <c r="Z104" s="10" t="s">
        <v>35</v>
      </c>
      <c r="AA104" s="10" t="s">
        <v>35</v>
      </c>
      <c r="AB104" s="10" t="s">
        <v>267</v>
      </c>
      <c r="AC104" s="10">
        <v>0</v>
      </c>
      <c r="AD104" s="10">
        <v>1</v>
      </c>
      <c r="AE104" s="10" t="s">
        <v>42</v>
      </c>
      <c r="AF104" s="10" t="s">
        <v>43</v>
      </c>
      <c r="AG104" s="10" t="s">
        <v>38</v>
      </c>
      <c r="AH104" s="10" t="s">
        <v>92</v>
      </c>
    </row>
    <row r="105" spans="1:34" x14ac:dyDescent="0.3">
      <c r="A105" s="74" t="s">
        <v>267</v>
      </c>
      <c r="B105" s="10" t="s">
        <v>332</v>
      </c>
      <c r="C105" s="10" t="s">
        <v>333</v>
      </c>
      <c r="D105" s="11">
        <v>45363</v>
      </c>
      <c r="E105" s="12">
        <v>120000</v>
      </c>
      <c r="F105" s="10" t="s">
        <v>81</v>
      </c>
      <c r="G105" s="10" t="s">
        <v>33</v>
      </c>
      <c r="H105" s="12">
        <v>120000</v>
      </c>
      <c r="I105" s="12">
        <v>67900</v>
      </c>
      <c r="J105" s="13">
        <f t="shared" si="21"/>
        <v>56.583333333333329</v>
      </c>
      <c r="K105" s="12">
        <v>171598</v>
      </c>
      <c r="L105" s="12">
        <f>H105-163285</f>
        <v>-43285</v>
      </c>
      <c r="M105" s="12">
        <v>8313</v>
      </c>
      <c r="N105" s="66">
        <f t="shared" si="22"/>
        <v>6.9275000000000003E-2</v>
      </c>
      <c r="O105" s="14">
        <v>40.94</v>
      </c>
      <c r="P105" s="15">
        <v>131</v>
      </c>
      <c r="Q105" s="16">
        <v>0.12</v>
      </c>
      <c r="R105" s="16">
        <v>0.12</v>
      </c>
      <c r="S105" s="12">
        <f t="shared" si="23"/>
        <v>-1057.2789447972643</v>
      </c>
      <c r="T105" s="12">
        <f t="shared" si="24"/>
        <v>-360708.33333333337</v>
      </c>
      <c r="U105" s="17">
        <f t="shared" si="25"/>
        <v>-8.2807239057239066</v>
      </c>
      <c r="V105" s="16">
        <v>40</v>
      </c>
      <c r="W105" s="16">
        <f t="shared" si="26"/>
        <v>24000</v>
      </c>
      <c r="X105" s="16">
        <f t="shared" si="27"/>
        <v>600</v>
      </c>
      <c r="Y105" s="18" t="s">
        <v>266</v>
      </c>
      <c r="Z105" s="10" t="s">
        <v>35</v>
      </c>
      <c r="AA105" s="10" t="s">
        <v>35</v>
      </c>
      <c r="AB105" s="10" t="s">
        <v>267</v>
      </c>
      <c r="AC105" s="10">
        <v>0</v>
      </c>
      <c r="AD105" s="10">
        <v>1</v>
      </c>
      <c r="AE105" s="10" t="s">
        <v>334</v>
      </c>
      <c r="AF105" s="10" t="s">
        <v>43</v>
      </c>
      <c r="AG105" s="10" t="s">
        <v>38</v>
      </c>
      <c r="AH105" s="10" t="s">
        <v>92</v>
      </c>
    </row>
    <row r="106" spans="1:34" x14ac:dyDescent="0.3">
      <c r="A106" s="75" t="s">
        <v>267</v>
      </c>
      <c r="B106" s="19" t="s">
        <v>548</v>
      </c>
      <c r="C106" s="19" t="s">
        <v>549</v>
      </c>
      <c r="D106" s="20">
        <v>45415</v>
      </c>
      <c r="E106" s="21">
        <v>72000</v>
      </c>
      <c r="F106" s="19" t="s">
        <v>32</v>
      </c>
      <c r="G106" s="19" t="s">
        <v>33</v>
      </c>
      <c r="H106" s="21">
        <v>72000</v>
      </c>
      <c r="I106" s="21">
        <v>60100</v>
      </c>
      <c r="J106" s="22">
        <f t="shared" si="21"/>
        <v>83.472222222222229</v>
      </c>
      <c r="K106" s="21">
        <v>135748</v>
      </c>
      <c r="L106" s="21">
        <f>H106-125397</f>
        <v>-53397</v>
      </c>
      <c r="M106" s="21">
        <v>10351</v>
      </c>
      <c r="N106" s="67">
        <f t="shared" si="22"/>
        <v>0.14376388888888889</v>
      </c>
      <c r="O106" s="23">
        <v>50.99</v>
      </c>
      <c r="P106" s="24">
        <v>130</v>
      </c>
      <c r="Q106" s="25">
        <v>0.14899999999999999</v>
      </c>
      <c r="R106" s="25">
        <v>0.14899999999999999</v>
      </c>
      <c r="S106" s="21">
        <f t="shared" si="23"/>
        <v>-1047.20533437929</v>
      </c>
      <c r="T106" s="21">
        <f t="shared" si="24"/>
        <v>-358369.12751677854</v>
      </c>
      <c r="U106" s="26">
        <f t="shared" si="25"/>
        <v>-8.2270231294026299</v>
      </c>
      <c r="V106" s="25">
        <v>50</v>
      </c>
      <c r="W106" s="25">
        <f t="shared" si="26"/>
        <v>14400</v>
      </c>
      <c r="X106" s="25">
        <f t="shared" si="27"/>
        <v>288</v>
      </c>
      <c r="Y106" s="27" t="s">
        <v>266</v>
      </c>
      <c r="Z106" s="19" t="s">
        <v>35</v>
      </c>
      <c r="AA106" s="19" t="s">
        <v>35</v>
      </c>
      <c r="AB106" s="19" t="s">
        <v>267</v>
      </c>
      <c r="AC106" s="19">
        <v>0</v>
      </c>
      <c r="AD106" s="19">
        <v>1</v>
      </c>
      <c r="AE106" s="19" t="s">
        <v>37</v>
      </c>
      <c r="AF106" s="19" t="s">
        <v>43</v>
      </c>
      <c r="AG106" s="19" t="s">
        <v>38</v>
      </c>
      <c r="AH106" s="19" t="s">
        <v>92</v>
      </c>
    </row>
    <row r="107" spans="1:34" x14ac:dyDescent="0.3">
      <c r="A107" s="74" t="s">
        <v>267</v>
      </c>
      <c r="B107" s="10" t="s">
        <v>337</v>
      </c>
      <c r="C107" s="10" t="s">
        <v>338</v>
      </c>
      <c r="D107" s="11">
        <v>45055</v>
      </c>
      <c r="E107" s="12">
        <v>215000</v>
      </c>
      <c r="F107" s="10" t="s">
        <v>32</v>
      </c>
      <c r="G107" s="10" t="s">
        <v>33</v>
      </c>
      <c r="H107" s="12">
        <v>215000</v>
      </c>
      <c r="I107" s="12">
        <v>100000</v>
      </c>
      <c r="J107" s="13">
        <f t="shared" si="21"/>
        <v>46.511627906976742</v>
      </c>
      <c r="K107" s="12">
        <v>266139</v>
      </c>
      <c r="L107" s="12">
        <f>H107-257826</f>
        <v>-42826</v>
      </c>
      <c r="M107" s="12">
        <v>8313</v>
      </c>
      <c r="N107" s="66">
        <f t="shared" si="22"/>
        <v>3.8665116279069767E-2</v>
      </c>
      <c r="O107" s="14">
        <v>40.94</v>
      </c>
      <c r="P107" s="15">
        <v>131</v>
      </c>
      <c r="Q107" s="16">
        <v>0.12</v>
      </c>
      <c r="R107" s="16">
        <v>0.12</v>
      </c>
      <c r="S107" s="12">
        <f t="shared" si="23"/>
        <v>-1046.0674157303372</v>
      </c>
      <c r="T107" s="12">
        <f t="shared" si="24"/>
        <v>-356883.33333333337</v>
      </c>
      <c r="U107" s="17">
        <f t="shared" si="25"/>
        <v>-8.1929139883685345</v>
      </c>
      <c r="V107" s="16">
        <v>40</v>
      </c>
      <c r="W107" s="16">
        <f t="shared" si="26"/>
        <v>43000</v>
      </c>
      <c r="X107" s="16">
        <f t="shared" si="27"/>
        <v>1075</v>
      </c>
      <c r="Y107" s="18" t="s">
        <v>266</v>
      </c>
      <c r="Z107" s="10" t="s">
        <v>35</v>
      </c>
      <c r="AA107" s="10" t="s">
        <v>35</v>
      </c>
      <c r="AB107" s="10" t="s">
        <v>267</v>
      </c>
      <c r="AC107" s="10">
        <v>0</v>
      </c>
      <c r="AD107" s="10">
        <v>1</v>
      </c>
      <c r="AE107" s="10" t="s">
        <v>42</v>
      </c>
      <c r="AF107" s="10" t="s">
        <v>43</v>
      </c>
      <c r="AG107" s="10" t="s">
        <v>38</v>
      </c>
      <c r="AH107" s="10" t="s">
        <v>92</v>
      </c>
    </row>
    <row r="108" spans="1:34" x14ac:dyDescent="0.3">
      <c r="A108" s="74" t="s">
        <v>267</v>
      </c>
      <c r="B108" s="10" t="s">
        <v>345</v>
      </c>
      <c r="C108" s="10" t="s">
        <v>346</v>
      </c>
      <c r="D108" s="11">
        <v>45490</v>
      </c>
      <c r="E108" s="12">
        <v>96000</v>
      </c>
      <c r="F108" s="10" t="s">
        <v>32</v>
      </c>
      <c r="G108" s="10" t="s">
        <v>33</v>
      </c>
      <c r="H108" s="12">
        <v>96000</v>
      </c>
      <c r="I108" s="12">
        <v>63700</v>
      </c>
      <c r="J108" s="13">
        <f t="shared" si="21"/>
        <v>66.354166666666671</v>
      </c>
      <c r="K108" s="12">
        <v>143795</v>
      </c>
      <c r="L108" s="12">
        <f>H108-135381</f>
        <v>-39381</v>
      </c>
      <c r="M108" s="12">
        <v>8414</v>
      </c>
      <c r="N108" s="66">
        <f t="shared" si="22"/>
        <v>8.7645833333333339E-2</v>
      </c>
      <c r="O108" s="14">
        <v>41.44</v>
      </c>
      <c r="P108" s="15">
        <v>129</v>
      </c>
      <c r="Q108" s="16">
        <v>0.121</v>
      </c>
      <c r="R108" s="16">
        <v>0.121</v>
      </c>
      <c r="S108" s="12">
        <f t="shared" si="23"/>
        <v>-950.31370656370666</v>
      </c>
      <c r="T108" s="12">
        <f t="shared" si="24"/>
        <v>-325462.80991735536</v>
      </c>
      <c r="U108" s="17">
        <f t="shared" si="25"/>
        <v>-7.4715980238144022</v>
      </c>
      <c r="V108" s="16">
        <v>40.72</v>
      </c>
      <c r="W108" s="16">
        <f t="shared" si="26"/>
        <v>19200</v>
      </c>
      <c r="X108" s="16">
        <f t="shared" si="27"/>
        <v>471.51277013752457</v>
      </c>
      <c r="Y108" s="18" t="s">
        <v>266</v>
      </c>
      <c r="Z108" s="10" t="s">
        <v>35</v>
      </c>
      <c r="AA108" s="10" t="s">
        <v>35</v>
      </c>
      <c r="AB108" s="10" t="s">
        <v>267</v>
      </c>
      <c r="AC108" s="10">
        <v>0</v>
      </c>
      <c r="AD108" s="10">
        <v>1</v>
      </c>
      <c r="AE108" s="10" t="s">
        <v>42</v>
      </c>
      <c r="AF108" s="10" t="s">
        <v>43</v>
      </c>
      <c r="AG108" s="10" t="s">
        <v>38</v>
      </c>
      <c r="AH108" s="10" t="s">
        <v>92</v>
      </c>
    </row>
    <row r="109" spans="1:34" x14ac:dyDescent="0.3">
      <c r="A109" s="75" t="s">
        <v>267</v>
      </c>
      <c r="B109" s="19" t="s">
        <v>317</v>
      </c>
      <c r="C109" s="19" t="s">
        <v>318</v>
      </c>
      <c r="D109" s="20">
        <v>45093</v>
      </c>
      <c r="E109" s="21">
        <v>84550</v>
      </c>
      <c r="F109" s="19" t="s">
        <v>32</v>
      </c>
      <c r="G109" s="19" t="s">
        <v>33</v>
      </c>
      <c r="H109" s="21">
        <v>84550</v>
      </c>
      <c r="I109" s="21">
        <v>44600</v>
      </c>
      <c r="J109" s="22">
        <f t="shared" si="21"/>
        <v>52.7498521584861</v>
      </c>
      <c r="K109" s="21">
        <v>117909</v>
      </c>
      <c r="L109" s="21">
        <f>H109-109805</f>
        <v>-25255</v>
      </c>
      <c r="M109" s="21">
        <v>8104</v>
      </c>
      <c r="N109" s="67">
        <f t="shared" si="22"/>
        <v>9.5848610289769362E-2</v>
      </c>
      <c r="O109" s="23">
        <v>39.909999999999997</v>
      </c>
      <c r="P109" s="24">
        <v>124.5</v>
      </c>
      <c r="Q109" s="25">
        <v>0.114</v>
      </c>
      <c r="R109" s="25">
        <v>0.114</v>
      </c>
      <c r="S109" s="21">
        <f t="shared" si="23"/>
        <v>-632.79879729391132</v>
      </c>
      <c r="T109" s="21">
        <f t="shared" si="24"/>
        <v>-221535.08771929823</v>
      </c>
      <c r="U109" s="26">
        <f t="shared" si="25"/>
        <v>-5.0857458154108866</v>
      </c>
      <c r="V109" s="25">
        <v>40</v>
      </c>
      <c r="W109" s="25">
        <f t="shared" si="26"/>
        <v>16910</v>
      </c>
      <c r="X109" s="25">
        <f t="shared" si="27"/>
        <v>422.75</v>
      </c>
      <c r="Y109" s="27" t="s">
        <v>266</v>
      </c>
      <c r="Z109" s="19" t="s">
        <v>35</v>
      </c>
      <c r="AA109" s="19" t="s">
        <v>35</v>
      </c>
      <c r="AB109" s="19" t="s">
        <v>267</v>
      </c>
      <c r="AC109" s="19">
        <v>0</v>
      </c>
      <c r="AD109" s="19">
        <v>1</v>
      </c>
      <c r="AE109" s="19" t="s">
        <v>319</v>
      </c>
      <c r="AF109" s="19" t="s">
        <v>43</v>
      </c>
      <c r="AG109" s="19" t="s">
        <v>38</v>
      </c>
      <c r="AH109" s="19" t="s">
        <v>92</v>
      </c>
    </row>
    <row r="110" spans="1:34" x14ac:dyDescent="0.3">
      <c r="A110" s="75" t="s">
        <v>267</v>
      </c>
      <c r="B110" s="19" t="s">
        <v>438</v>
      </c>
      <c r="C110" s="19" t="s">
        <v>439</v>
      </c>
      <c r="D110" s="20">
        <v>45210</v>
      </c>
      <c r="E110" s="21">
        <v>72000</v>
      </c>
      <c r="F110" s="19" t="s">
        <v>32</v>
      </c>
      <c r="G110" s="19" t="s">
        <v>33</v>
      </c>
      <c r="H110" s="21">
        <v>72000</v>
      </c>
      <c r="I110" s="21">
        <v>38700</v>
      </c>
      <c r="J110" s="22">
        <f t="shared" si="21"/>
        <v>53.75</v>
      </c>
      <c r="K110" s="21">
        <v>100897</v>
      </c>
      <c r="L110" s="21">
        <f>H110-92972</f>
        <v>-20972</v>
      </c>
      <c r="M110" s="21">
        <v>7925</v>
      </c>
      <c r="N110" s="67">
        <f t="shared" si="22"/>
        <v>0.11006944444444444</v>
      </c>
      <c r="O110" s="23">
        <v>39.03</v>
      </c>
      <c r="P110" s="24">
        <v>119.07</v>
      </c>
      <c r="Q110" s="25">
        <v>0.109</v>
      </c>
      <c r="R110" s="25">
        <v>0.109</v>
      </c>
      <c r="S110" s="21">
        <f t="shared" si="23"/>
        <v>-537.33025877530099</v>
      </c>
      <c r="T110" s="21">
        <f t="shared" si="24"/>
        <v>-192403.66972477065</v>
      </c>
      <c r="U110" s="26">
        <f t="shared" si="25"/>
        <v>-4.4169804803666359</v>
      </c>
      <c r="V110" s="25">
        <v>40</v>
      </c>
      <c r="W110" s="25">
        <f t="shared" si="26"/>
        <v>14400</v>
      </c>
      <c r="X110" s="25">
        <f t="shared" si="27"/>
        <v>360</v>
      </c>
      <c r="Y110" s="27" t="s">
        <v>266</v>
      </c>
      <c r="Z110" s="19" t="s">
        <v>35</v>
      </c>
      <c r="AA110" s="19" t="s">
        <v>35</v>
      </c>
      <c r="AB110" s="19" t="s">
        <v>267</v>
      </c>
      <c r="AC110" s="19">
        <v>0</v>
      </c>
      <c r="AD110" s="19">
        <v>1</v>
      </c>
      <c r="AE110" s="19" t="s">
        <v>42</v>
      </c>
      <c r="AF110" s="19" t="s">
        <v>43</v>
      </c>
      <c r="AG110" s="19" t="s">
        <v>38</v>
      </c>
      <c r="AH110" s="19" t="s">
        <v>92</v>
      </c>
    </row>
    <row r="111" spans="1:34" x14ac:dyDescent="0.3">
      <c r="A111" s="75" t="s">
        <v>267</v>
      </c>
      <c r="B111" s="19" t="s">
        <v>310</v>
      </c>
      <c r="C111" s="19" t="s">
        <v>311</v>
      </c>
      <c r="D111" s="20">
        <v>45502</v>
      </c>
      <c r="E111" s="21">
        <v>187000</v>
      </c>
      <c r="F111" s="19" t="s">
        <v>32</v>
      </c>
      <c r="G111" s="19" t="s">
        <v>33</v>
      </c>
      <c r="H111" s="21">
        <v>187000</v>
      </c>
      <c r="I111" s="21">
        <v>62200</v>
      </c>
      <c r="J111" s="22">
        <f t="shared" si="21"/>
        <v>33.262032085561501</v>
      </c>
      <c r="K111" s="21">
        <v>134310</v>
      </c>
      <c r="L111" s="21">
        <f>H111-127047</f>
        <v>59953</v>
      </c>
      <c r="M111" s="21">
        <v>7263</v>
      </c>
      <c r="N111" s="67">
        <f t="shared" si="22"/>
        <v>3.8839572192513369E-2</v>
      </c>
      <c r="O111" s="23">
        <v>35.770000000000003</v>
      </c>
      <c r="P111" s="24">
        <v>100</v>
      </c>
      <c r="Q111" s="25">
        <v>9.1999999999999998E-2</v>
      </c>
      <c r="R111" s="25">
        <v>9.1999999999999998E-2</v>
      </c>
      <c r="S111" s="21">
        <f t="shared" si="23"/>
        <v>1676.0693318423259</v>
      </c>
      <c r="T111" s="21">
        <f t="shared" si="24"/>
        <v>651663.04347826086</v>
      </c>
      <c r="U111" s="26">
        <f t="shared" si="25"/>
        <v>14.960124965065676</v>
      </c>
      <c r="V111" s="25">
        <v>40</v>
      </c>
      <c r="W111" s="25">
        <f t="shared" si="26"/>
        <v>37400</v>
      </c>
      <c r="X111" s="25">
        <f t="shared" si="27"/>
        <v>935</v>
      </c>
      <c r="Y111" s="27" t="s">
        <v>266</v>
      </c>
      <c r="Z111" s="19" t="s">
        <v>35</v>
      </c>
      <c r="AA111" s="19" t="s">
        <v>35</v>
      </c>
      <c r="AB111" s="19" t="s">
        <v>267</v>
      </c>
      <c r="AC111" s="19">
        <v>0</v>
      </c>
      <c r="AD111" s="19">
        <v>1</v>
      </c>
      <c r="AE111" s="19" t="s">
        <v>37</v>
      </c>
      <c r="AF111" s="19" t="s">
        <v>43</v>
      </c>
      <c r="AG111" s="19" t="s">
        <v>38</v>
      </c>
      <c r="AH111" s="19" t="s">
        <v>92</v>
      </c>
    </row>
    <row r="112" spans="1:34" x14ac:dyDescent="0.3">
      <c r="A112" s="75" t="s">
        <v>267</v>
      </c>
      <c r="B112" s="19" t="s">
        <v>308</v>
      </c>
      <c r="C112" s="19" t="s">
        <v>309</v>
      </c>
      <c r="D112" s="20">
        <v>45294</v>
      </c>
      <c r="E112" s="21">
        <v>185000</v>
      </c>
      <c r="F112" s="19" t="s">
        <v>32</v>
      </c>
      <c r="G112" s="19" t="s">
        <v>33</v>
      </c>
      <c r="H112" s="21">
        <v>185000</v>
      </c>
      <c r="I112" s="21">
        <v>51900</v>
      </c>
      <c r="J112" s="22">
        <f t="shared" si="21"/>
        <v>28.054054054054056</v>
      </c>
      <c r="K112" s="21">
        <v>131746</v>
      </c>
      <c r="L112" s="21">
        <f>H112-124483</f>
        <v>60517</v>
      </c>
      <c r="M112" s="21">
        <v>7263</v>
      </c>
      <c r="N112" s="67">
        <f t="shared" si="22"/>
        <v>3.925945945945946E-2</v>
      </c>
      <c r="O112" s="23">
        <v>35.770000000000003</v>
      </c>
      <c r="P112" s="24">
        <v>100</v>
      </c>
      <c r="Q112" s="25">
        <v>9.1999999999999998E-2</v>
      </c>
      <c r="R112" s="25">
        <v>9.1999999999999998E-2</v>
      </c>
      <c r="S112" s="21">
        <f t="shared" si="23"/>
        <v>1691.8367346938774</v>
      </c>
      <c r="T112" s="21">
        <f t="shared" si="24"/>
        <v>657793.47826086963</v>
      </c>
      <c r="U112" s="26">
        <f t="shared" si="25"/>
        <v>15.100860382480937</v>
      </c>
      <c r="V112" s="25">
        <v>40</v>
      </c>
      <c r="W112" s="25">
        <f t="shared" si="26"/>
        <v>37000</v>
      </c>
      <c r="X112" s="25">
        <f t="shared" si="27"/>
        <v>925</v>
      </c>
      <c r="Y112" s="27" t="s">
        <v>266</v>
      </c>
      <c r="Z112" s="19" t="s">
        <v>35</v>
      </c>
      <c r="AA112" s="19" t="s">
        <v>35</v>
      </c>
      <c r="AB112" s="19" t="s">
        <v>267</v>
      </c>
      <c r="AC112" s="19">
        <v>0</v>
      </c>
      <c r="AD112" s="19">
        <v>1</v>
      </c>
      <c r="AE112" s="19" t="s">
        <v>37</v>
      </c>
      <c r="AF112" s="19" t="s">
        <v>43</v>
      </c>
      <c r="AG112" s="19" t="s">
        <v>38</v>
      </c>
      <c r="AH112" s="19" t="s">
        <v>92</v>
      </c>
    </row>
    <row r="113" spans="1:34" x14ac:dyDescent="0.3">
      <c r="A113" s="74" t="s">
        <v>267</v>
      </c>
      <c r="B113" s="10" t="s">
        <v>324</v>
      </c>
      <c r="C113" s="10" t="s">
        <v>325</v>
      </c>
      <c r="D113" s="11">
        <v>45428</v>
      </c>
      <c r="E113" s="12">
        <v>185000</v>
      </c>
      <c r="F113" s="10" t="s">
        <v>32</v>
      </c>
      <c r="G113" s="10" t="s">
        <v>33</v>
      </c>
      <c r="H113" s="12">
        <v>185000</v>
      </c>
      <c r="I113" s="12">
        <v>54300</v>
      </c>
      <c r="J113" s="13">
        <f t="shared" si="21"/>
        <v>29.351351351351351</v>
      </c>
      <c r="K113" s="12">
        <v>117629</v>
      </c>
      <c r="L113" s="12">
        <f>H113-110012</f>
        <v>74988</v>
      </c>
      <c r="M113" s="12">
        <v>7617</v>
      </c>
      <c r="N113" s="66">
        <f t="shared" si="22"/>
        <v>4.1172972972972975E-2</v>
      </c>
      <c r="O113" s="14">
        <v>37.520000000000003</v>
      </c>
      <c r="P113" s="15">
        <v>110</v>
      </c>
      <c r="Q113" s="16">
        <v>0.10100000000000001</v>
      </c>
      <c r="R113" s="16">
        <v>0.10100000000000001</v>
      </c>
      <c r="S113" s="12">
        <f t="shared" si="23"/>
        <v>1998.6140724946692</v>
      </c>
      <c r="T113" s="12">
        <f t="shared" si="24"/>
        <v>742455.44554455439</v>
      </c>
      <c r="U113" s="17">
        <f t="shared" si="25"/>
        <v>17.04443171589886</v>
      </c>
      <c r="V113" s="16">
        <v>40</v>
      </c>
      <c r="W113" s="16">
        <f t="shared" si="26"/>
        <v>37000</v>
      </c>
      <c r="X113" s="16">
        <f t="shared" si="27"/>
        <v>925</v>
      </c>
      <c r="Y113" s="18" t="s">
        <v>266</v>
      </c>
      <c r="Z113" s="10" t="s">
        <v>35</v>
      </c>
      <c r="AA113" s="10" t="s">
        <v>35</v>
      </c>
      <c r="AB113" s="10" t="s">
        <v>267</v>
      </c>
      <c r="AC113" s="10">
        <v>0</v>
      </c>
      <c r="AD113" s="10">
        <v>1</v>
      </c>
      <c r="AE113" s="10" t="s">
        <v>37</v>
      </c>
      <c r="AF113" s="10" t="s">
        <v>43</v>
      </c>
      <c r="AG113" s="10" t="s">
        <v>38</v>
      </c>
      <c r="AH113" s="10" t="s">
        <v>92</v>
      </c>
    </row>
    <row r="114" spans="1:34" x14ac:dyDescent="0.3">
      <c r="A114" s="75" t="s">
        <v>267</v>
      </c>
      <c r="B114" s="19" t="s">
        <v>582</v>
      </c>
      <c r="C114" s="19" t="s">
        <v>583</v>
      </c>
      <c r="D114" s="20">
        <v>45712</v>
      </c>
      <c r="E114" s="21">
        <v>6201</v>
      </c>
      <c r="F114" s="19" t="s">
        <v>32</v>
      </c>
      <c r="G114" s="19" t="s">
        <v>33</v>
      </c>
      <c r="H114" s="21">
        <v>6201</v>
      </c>
      <c r="I114" s="21">
        <v>3900</v>
      </c>
      <c r="J114" s="22">
        <f t="shared" si="21"/>
        <v>62.893081761006286</v>
      </c>
      <c r="K114" s="21">
        <v>8274</v>
      </c>
      <c r="L114" s="21">
        <f>H114-0</f>
        <v>6201</v>
      </c>
      <c r="M114" s="21">
        <v>8274</v>
      </c>
      <c r="N114" s="67">
        <f t="shared" si="22"/>
        <v>1.3343009192065796</v>
      </c>
      <c r="O114" s="23">
        <v>40.75</v>
      </c>
      <c r="P114" s="24">
        <v>129.78</v>
      </c>
      <c r="Q114" s="25">
        <v>0.11899999999999999</v>
      </c>
      <c r="R114" s="25">
        <v>0.11899999999999999</v>
      </c>
      <c r="S114" s="21">
        <f t="shared" si="23"/>
        <v>152.17177914110428</v>
      </c>
      <c r="T114" s="21">
        <f t="shared" si="24"/>
        <v>52109.243697478996</v>
      </c>
      <c r="U114" s="26">
        <f t="shared" si="25"/>
        <v>1.1962636294187097</v>
      </c>
      <c r="V114" s="25">
        <v>40</v>
      </c>
      <c r="W114" s="25">
        <f t="shared" si="26"/>
        <v>1240.2</v>
      </c>
      <c r="X114" s="25">
        <f t="shared" si="27"/>
        <v>31.005000000000003</v>
      </c>
      <c r="Y114" s="27" t="s">
        <v>266</v>
      </c>
      <c r="Z114" s="19" t="s">
        <v>35</v>
      </c>
      <c r="AA114" s="19" t="s">
        <v>35</v>
      </c>
      <c r="AB114" s="19" t="s">
        <v>267</v>
      </c>
      <c r="AC114" s="19">
        <v>0</v>
      </c>
      <c r="AD114" s="19">
        <v>0</v>
      </c>
      <c r="AE114" s="19" t="s">
        <v>42</v>
      </c>
      <c r="AF114" s="19" t="s">
        <v>35</v>
      </c>
      <c r="AG114" s="19" t="s">
        <v>61</v>
      </c>
      <c r="AH114" s="19" t="s">
        <v>92</v>
      </c>
    </row>
    <row r="115" spans="1:34" x14ac:dyDescent="0.3">
      <c r="A115" s="75" t="s">
        <v>267</v>
      </c>
      <c r="B115" s="19" t="s">
        <v>270</v>
      </c>
      <c r="C115" s="19" t="s">
        <v>271</v>
      </c>
      <c r="D115" s="20">
        <v>45730</v>
      </c>
      <c r="E115" s="21">
        <v>109000</v>
      </c>
      <c r="F115" s="19" t="s">
        <v>32</v>
      </c>
      <c r="G115" s="19" t="s">
        <v>33</v>
      </c>
      <c r="H115" s="21">
        <v>109000</v>
      </c>
      <c r="I115" s="21">
        <v>62400</v>
      </c>
      <c r="J115" s="22">
        <f t="shared" si="21"/>
        <v>57.247706422018354</v>
      </c>
      <c r="K115" s="21">
        <v>134898</v>
      </c>
      <c r="L115" s="21">
        <f>H115-126617</f>
        <v>-17617</v>
      </c>
      <c r="M115" s="21">
        <v>8281</v>
      </c>
      <c r="N115" s="67">
        <f t="shared" si="22"/>
        <v>7.5972477064220181E-2</v>
      </c>
      <c r="O115" s="23">
        <v>40.79</v>
      </c>
      <c r="P115" s="24">
        <v>130</v>
      </c>
      <c r="Q115" s="25">
        <v>0.11899999999999999</v>
      </c>
      <c r="R115" s="25">
        <v>0.11899999999999999</v>
      </c>
      <c r="S115" s="21">
        <f t="shared" si="23"/>
        <v>-431.89507232164749</v>
      </c>
      <c r="T115" s="21">
        <f t="shared" si="24"/>
        <v>-148042.01680672271</v>
      </c>
      <c r="U115" s="26">
        <f t="shared" si="25"/>
        <v>-3.3985770616786661</v>
      </c>
      <c r="V115" s="25">
        <v>40</v>
      </c>
      <c r="W115" s="25">
        <f t="shared" si="26"/>
        <v>21800</v>
      </c>
      <c r="X115" s="25">
        <f t="shared" si="27"/>
        <v>545</v>
      </c>
      <c r="Y115" s="27" t="s">
        <v>266</v>
      </c>
      <c r="Z115" s="19" t="s">
        <v>35</v>
      </c>
      <c r="AA115" s="19" t="s">
        <v>35</v>
      </c>
      <c r="AB115" s="19" t="s">
        <v>267</v>
      </c>
      <c r="AC115" s="19">
        <v>0</v>
      </c>
      <c r="AD115" s="19">
        <v>1</v>
      </c>
      <c r="AE115" s="19" t="s">
        <v>37</v>
      </c>
      <c r="AF115" s="19" t="s">
        <v>35</v>
      </c>
      <c r="AG115" s="19" t="s">
        <v>38</v>
      </c>
      <c r="AH115" s="19" t="s">
        <v>92</v>
      </c>
    </row>
    <row r="116" spans="1:34" x14ac:dyDescent="0.3">
      <c r="A116" s="75" t="s">
        <v>267</v>
      </c>
      <c r="B116" s="19" t="s">
        <v>320</v>
      </c>
      <c r="C116" s="19" t="s">
        <v>321</v>
      </c>
      <c r="D116" s="20">
        <v>45687</v>
      </c>
      <c r="E116" s="21">
        <v>50000</v>
      </c>
      <c r="F116" s="19" t="s">
        <v>32</v>
      </c>
      <c r="G116" s="19" t="s">
        <v>33</v>
      </c>
      <c r="H116" s="21">
        <v>50000</v>
      </c>
      <c r="I116" s="21">
        <v>41500</v>
      </c>
      <c r="J116" s="22">
        <f t="shared" si="21"/>
        <v>83</v>
      </c>
      <c r="K116" s="21">
        <v>93655</v>
      </c>
      <c r="L116" s="21">
        <f>H116-79473</f>
        <v>-29473</v>
      </c>
      <c r="M116" s="21">
        <v>14182</v>
      </c>
      <c r="N116" s="67">
        <f t="shared" si="22"/>
        <v>0.28364</v>
      </c>
      <c r="O116" s="23">
        <v>69.849999999999994</v>
      </c>
      <c r="P116" s="24">
        <v>124.5</v>
      </c>
      <c r="Q116" s="25">
        <v>0.2</v>
      </c>
      <c r="R116" s="25">
        <v>0.2</v>
      </c>
      <c r="S116" s="21">
        <f t="shared" si="23"/>
        <v>-421.94702934860419</v>
      </c>
      <c r="T116" s="21">
        <f t="shared" si="24"/>
        <v>-147365</v>
      </c>
      <c r="U116" s="26">
        <f t="shared" si="25"/>
        <v>-3.3830348943985307</v>
      </c>
      <c r="V116" s="25">
        <v>70</v>
      </c>
      <c r="W116" s="25">
        <f t="shared" si="26"/>
        <v>10000</v>
      </c>
      <c r="X116" s="25">
        <f t="shared" si="27"/>
        <v>142.85714285714286</v>
      </c>
      <c r="Y116" s="27" t="s">
        <v>266</v>
      </c>
      <c r="Z116" s="19" t="s">
        <v>35</v>
      </c>
      <c r="AA116" s="19" t="s">
        <v>35</v>
      </c>
      <c r="AB116" s="19" t="s">
        <v>267</v>
      </c>
      <c r="AC116" s="19">
        <v>0</v>
      </c>
      <c r="AD116" s="19">
        <v>1</v>
      </c>
      <c r="AE116" s="19" t="s">
        <v>42</v>
      </c>
      <c r="AF116" s="19" t="s">
        <v>35</v>
      </c>
      <c r="AG116" s="19" t="s">
        <v>38</v>
      </c>
      <c r="AH116" s="19" t="s">
        <v>92</v>
      </c>
    </row>
  </sheetData>
  <sortState xmlns:xlrd2="http://schemas.microsoft.com/office/spreadsheetml/2017/richdata2" ref="A98:AH110">
    <sortCondition ref="S98:S110"/>
  </sortState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4">
    <tabColor rgb="FF00B050"/>
  </sheetPr>
  <dimension ref="A1:AH1331"/>
  <sheetViews>
    <sheetView workbookViewId="0">
      <selection activeCell="C6" sqref="C6:J15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C6" s="94" t="s">
        <v>3099</v>
      </c>
      <c r="J6" s="95"/>
      <c r="N6"/>
      <c r="W6"/>
      <c r="X6"/>
    </row>
    <row r="7" spans="1:24" x14ac:dyDescent="0.3">
      <c r="A7"/>
      <c r="C7" s="383" t="s">
        <v>3163</v>
      </c>
      <c r="D7" s="383"/>
      <c r="E7" s="383"/>
      <c r="F7" s="383"/>
      <c r="G7" s="383"/>
      <c r="H7" s="383"/>
      <c r="I7" s="383"/>
      <c r="J7" s="383"/>
      <c r="N7"/>
      <c r="W7"/>
      <c r="X7"/>
    </row>
    <row r="8" spans="1:24" x14ac:dyDescent="0.3">
      <c r="A8"/>
      <c r="C8" s="383" t="s">
        <v>3164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3165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3166</v>
      </c>
      <c r="D10" s="383"/>
      <c r="E10" s="383"/>
      <c r="F10" s="383"/>
      <c r="G10" s="383"/>
      <c r="H10" s="96"/>
      <c r="I10" s="96"/>
      <c r="J10" s="96"/>
      <c r="N10"/>
      <c r="W10"/>
      <c r="X10"/>
    </row>
    <row r="11" spans="1:24" x14ac:dyDescent="0.3">
      <c r="A11"/>
      <c r="C11" s="383" t="s">
        <v>3167</v>
      </c>
      <c r="D11" s="383"/>
      <c r="E11" s="383"/>
      <c r="F11" s="383"/>
      <c r="G11" s="383"/>
      <c r="J11" s="95"/>
      <c r="N11"/>
      <c r="W11"/>
      <c r="X11"/>
    </row>
    <row r="12" spans="1:24" x14ac:dyDescent="0.3">
      <c r="A12"/>
      <c r="C12" s="383" t="s">
        <v>3100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5">
    <tabColor rgb="FF00B050"/>
  </sheetPr>
  <dimension ref="A1:AH18"/>
  <sheetViews>
    <sheetView workbookViewId="0">
      <selection activeCell="E8" sqref="E8:L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30.8867187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117</v>
      </c>
      <c r="B2" s="19" t="s">
        <v>120</v>
      </c>
      <c r="C2" s="19" t="s">
        <v>121</v>
      </c>
      <c r="D2" s="20">
        <v>45722</v>
      </c>
      <c r="E2" s="21">
        <v>160000</v>
      </c>
      <c r="F2" s="19" t="s">
        <v>32</v>
      </c>
      <c r="G2" s="19" t="s">
        <v>33</v>
      </c>
      <c r="H2" s="21">
        <v>160000</v>
      </c>
      <c r="I2" s="21">
        <v>67200</v>
      </c>
      <c r="J2" s="22">
        <f>I2/H2*100</f>
        <v>42</v>
      </c>
      <c r="K2" s="21">
        <v>148426</v>
      </c>
      <c r="L2" s="21">
        <f>H2-140372</f>
        <v>19628</v>
      </c>
      <c r="M2" s="21">
        <v>8054</v>
      </c>
      <c r="N2" s="67">
        <f>M2/E2</f>
        <v>5.03375E-2</v>
      </c>
      <c r="O2" s="23">
        <v>42.61</v>
      </c>
      <c r="P2" s="24">
        <v>136.19</v>
      </c>
      <c r="Q2" s="25">
        <v>0.125</v>
      </c>
      <c r="R2" s="25">
        <v>0.125</v>
      </c>
      <c r="S2" s="21">
        <f>L2/O2</f>
        <v>460.6430415395447</v>
      </c>
      <c r="T2" s="21">
        <f>L2/Q2</f>
        <v>157024</v>
      </c>
      <c r="U2" s="26">
        <f>L2/Q2/43560</f>
        <v>3.6047750229568409</v>
      </c>
      <c r="V2" s="25">
        <v>40</v>
      </c>
      <c r="W2" s="25">
        <f>0.2*E2</f>
        <v>32000</v>
      </c>
      <c r="X2" s="25">
        <f>W2/V2</f>
        <v>800</v>
      </c>
      <c r="Y2" s="27" t="s">
        <v>116</v>
      </c>
      <c r="Z2" s="19" t="s">
        <v>35</v>
      </c>
      <c r="AA2" s="19" t="s">
        <v>35</v>
      </c>
      <c r="AB2" s="19" t="s">
        <v>117</v>
      </c>
      <c r="AC2" s="19">
        <v>0</v>
      </c>
      <c r="AD2" s="19">
        <v>1</v>
      </c>
      <c r="AE2" s="19" t="s">
        <v>37</v>
      </c>
      <c r="AF2" s="19" t="s">
        <v>35</v>
      </c>
      <c r="AG2" s="19" t="s">
        <v>38</v>
      </c>
      <c r="AH2" s="19" t="s">
        <v>92</v>
      </c>
    </row>
    <row r="3" spans="1:34" x14ac:dyDescent="0.3">
      <c r="A3" s="75" t="s">
        <v>117</v>
      </c>
      <c r="B3" s="19" t="s">
        <v>122</v>
      </c>
      <c r="C3" s="19" t="s">
        <v>123</v>
      </c>
      <c r="D3" s="20">
        <v>45302</v>
      </c>
      <c r="E3" s="21">
        <v>153500</v>
      </c>
      <c r="F3" s="19" t="s">
        <v>32</v>
      </c>
      <c r="G3" s="19" t="s">
        <v>66</v>
      </c>
      <c r="H3" s="21">
        <v>153500</v>
      </c>
      <c r="I3" s="21">
        <v>53300</v>
      </c>
      <c r="J3" s="22">
        <f>I3/H3*100</f>
        <v>34.723127035830622</v>
      </c>
      <c r="K3" s="21">
        <v>129283</v>
      </c>
      <c r="L3" s="21">
        <f>H3-113575</f>
        <v>39925</v>
      </c>
      <c r="M3" s="21">
        <v>15708</v>
      </c>
      <c r="N3" s="67">
        <f>M3/E3</f>
        <v>0.10233224755700326</v>
      </c>
      <c r="O3" s="23">
        <v>83.1</v>
      </c>
      <c r="P3" s="24">
        <v>259</v>
      </c>
      <c r="Q3" s="25">
        <v>0.23799999999999999</v>
      </c>
      <c r="R3" s="25">
        <v>0.11899999999999999</v>
      </c>
      <c r="S3" s="21">
        <f>L3/O3</f>
        <v>480.44524669073411</v>
      </c>
      <c r="T3" s="21">
        <f>L3/Q3</f>
        <v>167752.10084033615</v>
      </c>
      <c r="U3" s="26">
        <f>L3/Q3/43560</f>
        <v>3.8510583296679557</v>
      </c>
      <c r="V3" s="25">
        <v>80</v>
      </c>
      <c r="W3" s="25">
        <f>0.2*E3</f>
        <v>30700</v>
      </c>
      <c r="X3" s="25">
        <f>W3/V3</f>
        <v>383.75</v>
      </c>
      <c r="Y3" s="27" t="s">
        <v>116</v>
      </c>
      <c r="Z3" s="19" t="s">
        <v>35</v>
      </c>
      <c r="AA3" s="19" t="s">
        <v>124</v>
      </c>
      <c r="AB3" s="19" t="s">
        <v>117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ht="15" thickBot="1" x14ac:dyDescent="0.35">
      <c r="A4" s="74" t="s">
        <v>117</v>
      </c>
      <c r="B4" s="10" t="s">
        <v>114</v>
      </c>
      <c r="C4" s="10" t="s">
        <v>115</v>
      </c>
      <c r="D4" s="11">
        <v>45742</v>
      </c>
      <c r="E4" s="12">
        <v>164900</v>
      </c>
      <c r="F4" s="10" t="s">
        <v>32</v>
      </c>
      <c r="G4" s="10" t="s">
        <v>33</v>
      </c>
      <c r="H4" s="12">
        <v>164900</v>
      </c>
      <c r="I4" s="12">
        <v>61800</v>
      </c>
      <c r="J4" s="13">
        <f>I4/H4*100</f>
        <v>37.477258944815041</v>
      </c>
      <c r="K4" s="12">
        <v>136286</v>
      </c>
      <c r="L4" s="12">
        <f>H4-128297</f>
        <v>36603</v>
      </c>
      <c r="M4" s="12">
        <v>7989</v>
      </c>
      <c r="N4" s="66">
        <f>M4/E4</f>
        <v>4.8447543966040021E-2</v>
      </c>
      <c r="O4" s="14">
        <v>42.26</v>
      </c>
      <c r="P4" s="15">
        <v>134</v>
      </c>
      <c r="Q4" s="16">
        <v>0.123</v>
      </c>
      <c r="R4" s="16">
        <v>0.123</v>
      </c>
      <c r="S4" s="12">
        <f>L4/O4</f>
        <v>866.13819214387127</v>
      </c>
      <c r="T4" s="12">
        <f>L4/Q4</f>
        <v>297585.36585365853</v>
      </c>
      <c r="U4" s="17">
        <f>L4/Q4/43560</f>
        <v>6.8316199690922526</v>
      </c>
      <c r="V4" s="16">
        <v>40</v>
      </c>
      <c r="W4" s="16">
        <f>0.2*E4</f>
        <v>32980</v>
      </c>
      <c r="X4" s="16">
        <f>W4/V4</f>
        <v>824.5</v>
      </c>
      <c r="Y4" s="18" t="s">
        <v>116</v>
      </c>
      <c r="Z4" s="10" t="s">
        <v>35</v>
      </c>
      <c r="AA4" s="10" t="s">
        <v>35</v>
      </c>
      <c r="AB4" s="10" t="s">
        <v>117</v>
      </c>
      <c r="AC4" s="10">
        <v>0</v>
      </c>
      <c r="AD4" s="10">
        <v>1</v>
      </c>
      <c r="AE4" s="10" t="s">
        <v>37</v>
      </c>
      <c r="AF4" s="10" t="s">
        <v>35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478400</v>
      </c>
      <c r="F5" s="37"/>
      <c r="G5" s="37"/>
      <c r="H5" s="39">
        <f>+SUM(H2:H4)</f>
        <v>478400</v>
      </c>
      <c r="I5" s="39">
        <f>+SUM(I2:I4)</f>
        <v>182300</v>
      </c>
      <c r="J5" s="40"/>
      <c r="K5" s="39">
        <f>+SUM(K2:K4)</f>
        <v>413995</v>
      </c>
      <c r="L5" s="39">
        <f>+SUM(L2:L4)</f>
        <v>96156</v>
      </c>
      <c r="M5" s="39">
        <f>+SUM(M2:M4)</f>
        <v>31751</v>
      </c>
      <c r="N5" s="81">
        <f>AVERAGE(N2:N4)</f>
        <v>6.7039097174347764E-2</v>
      </c>
      <c r="O5" s="41">
        <f>+SUM(O2:O4)</f>
        <v>167.97</v>
      </c>
      <c r="P5" s="42"/>
      <c r="Q5" s="43">
        <f>+SUM(Q2:Q4)</f>
        <v>0.48599999999999999</v>
      </c>
      <c r="R5" s="43">
        <f>+SUM(R2:R4)</f>
        <v>0.36699999999999999</v>
      </c>
      <c r="S5" s="39"/>
      <c r="T5" s="39"/>
      <c r="U5" s="44"/>
      <c r="V5" s="43"/>
      <c r="W5" s="82">
        <f>AVERAGE(W2:W4)</f>
        <v>31893.333333333332</v>
      </c>
      <c r="X5" s="83">
        <f>AVERAGE(X2:X4)</f>
        <v>669.41666666666663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38.106187290969899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3.6740828642669667</v>
      </c>
      <c r="K7" s="48"/>
      <c r="L7" s="48"/>
      <c r="M7" s="48" t="s">
        <v>2880</v>
      </c>
      <c r="N7" s="80"/>
      <c r="O7" s="54">
        <f>L5/O5</f>
        <v>572.45936774424001</v>
      </c>
      <c r="P7" s="50"/>
      <c r="Q7" s="51" t="s">
        <v>2881</v>
      </c>
      <c r="R7" s="51">
        <f>L5/Q5</f>
        <v>197851.85185185185</v>
      </c>
      <c r="S7" s="48"/>
      <c r="T7" s="48" t="s">
        <v>2882</v>
      </c>
      <c r="U7" s="52">
        <f>L5/Q5/43560</f>
        <v>4.5420535319525221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4" t="s">
        <v>117</v>
      </c>
      <c r="B17" s="10" t="s">
        <v>125</v>
      </c>
      <c r="C17" s="10" t="s">
        <v>126</v>
      </c>
      <c r="D17" s="11">
        <v>45280</v>
      </c>
      <c r="E17" s="12">
        <v>135000</v>
      </c>
      <c r="F17" s="10" t="s">
        <v>81</v>
      </c>
      <c r="G17" s="10" t="s">
        <v>33</v>
      </c>
      <c r="H17" s="12">
        <v>135000</v>
      </c>
      <c r="I17" s="12">
        <v>57900</v>
      </c>
      <c r="J17" s="13">
        <f>I17/H17*100</f>
        <v>42.888888888888886</v>
      </c>
      <c r="K17" s="12">
        <v>141148</v>
      </c>
      <c r="L17" s="12">
        <f>H17-130291</f>
        <v>4709</v>
      </c>
      <c r="M17" s="12">
        <v>10857</v>
      </c>
      <c r="N17" s="66">
        <f>M17/E17</f>
        <v>8.0422222222222228E-2</v>
      </c>
      <c r="O17" s="14">
        <v>57.44</v>
      </c>
      <c r="P17" s="15">
        <v>110</v>
      </c>
      <c r="Q17" s="16">
        <v>0.152</v>
      </c>
      <c r="R17" s="16">
        <v>0.152</v>
      </c>
      <c r="S17" s="12">
        <f>L17/O17</f>
        <v>81.981197771587745</v>
      </c>
      <c r="T17" s="12">
        <f>L17/Q17</f>
        <v>30980.263157894737</v>
      </c>
      <c r="U17" s="17">
        <f>L17/Q17/43560</f>
        <v>0.71120897974964958</v>
      </c>
      <c r="V17" s="16">
        <v>60</v>
      </c>
      <c r="W17" s="16">
        <f>0.2*E17</f>
        <v>27000</v>
      </c>
      <c r="X17" s="16">
        <f>W17/V17</f>
        <v>450</v>
      </c>
      <c r="Y17" s="18" t="s">
        <v>116</v>
      </c>
      <c r="Z17" s="10" t="s">
        <v>35</v>
      </c>
      <c r="AA17" s="10" t="s">
        <v>35</v>
      </c>
      <c r="AB17" s="10" t="s">
        <v>117</v>
      </c>
      <c r="AC17" s="10">
        <v>0</v>
      </c>
      <c r="AD17" s="10">
        <v>1</v>
      </c>
      <c r="AE17" s="10" t="s">
        <v>42</v>
      </c>
      <c r="AF17" s="10" t="s">
        <v>43</v>
      </c>
      <c r="AG17" s="10" t="s">
        <v>38</v>
      </c>
      <c r="AH17" s="10" t="s">
        <v>92</v>
      </c>
    </row>
    <row r="18" spans="1:34" x14ac:dyDescent="0.3">
      <c r="A18" s="74" t="s">
        <v>117</v>
      </c>
      <c r="B18" s="10" t="s">
        <v>118</v>
      </c>
      <c r="C18" s="10" t="s">
        <v>119</v>
      </c>
      <c r="D18" s="11">
        <v>45121</v>
      </c>
      <c r="E18" s="12">
        <v>145000</v>
      </c>
      <c r="F18" s="10" t="s">
        <v>32</v>
      </c>
      <c r="G18" s="10" t="s">
        <v>33</v>
      </c>
      <c r="H18" s="12">
        <v>145000</v>
      </c>
      <c r="I18" s="12">
        <v>59900</v>
      </c>
      <c r="J18" s="13">
        <f>I18/H18*100</f>
        <v>41.310344827586206</v>
      </c>
      <c r="K18" s="12">
        <v>144581</v>
      </c>
      <c r="L18" s="12">
        <f>H18-136818</f>
        <v>8182</v>
      </c>
      <c r="M18" s="12">
        <v>7763</v>
      </c>
      <c r="N18" s="66">
        <f>M18/E18</f>
        <v>5.3537931034482761E-2</v>
      </c>
      <c r="O18" s="14">
        <v>41.07</v>
      </c>
      <c r="P18" s="15">
        <v>126.53</v>
      </c>
      <c r="Q18" s="16">
        <v>0.11600000000000001</v>
      </c>
      <c r="R18" s="16">
        <v>0.11600000000000001</v>
      </c>
      <c r="S18" s="12">
        <f>L18/O18</f>
        <v>199.22084246408571</v>
      </c>
      <c r="T18" s="12">
        <f>L18/Q18</f>
        <v>70534.482758620681</v>
      </c>
      <c r="U18" s="17">
        <f>L18/Q18/43560</f>
        <v>1.6192489154871599</v>
      </c>
      <c r="V18" s="16">
        <v>40</v>
      </c>
      <c r="W18" s="16">
        <f>0.2*E18</f>
        <v>29000</v>
      </c>
      <c r="X18" s="16">
        <f>W18/V18</f>
        <v>725</v>
      </c>
      <c r="Y18" s="18" t="s">
        <v>116</v>
      </c>
      <c r="Z18" s="10" t="s">
        <v>35</v>
      </c>
      <c r="AA18" s="10" t="s">
        <v>35</v>
      </c>
      <c r="AB18" s="10" t="s">
        <v>117</v>
      </c>
      <c r="AC18" s="10">
        <v>0</v>
      </c>
      <c r="AD18" s="10">
        <v>1</v>
      </c>
      <c r="AE18" s="10" t="s">
        <v>37</v>
      </c>
      <c r="AF18" s="10" t="s">
        <v>43</v>
      </c>
      <c r="AG18" s="10" t="s">
        <v>38</v>
      </c>
      <c r="AH18" s="10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6">
    <tabColor rgb="FF00B050"/>
  </sheetPr>
  <dimension ref="A1:AH1331"/>
  <sheetViews>
    <sheetView workbookViewId="0">
      <selection activeCell="C6" sqref="C6:J12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C6" s="94" t="s">
        <v>3099</v>
      </c>
      <c r="J6" s="95"/>
      <c r="N6"/>
      <c r="W6"/>
      <c r="X6"/>
    </row>
    <row r="7" spans="1:24" x14ac:dyDescent="0.3">
      <c r="A7"/>
      <c r="C7" s="383" t="s">
        <v>3163</v>
      </c>
      <c r="D7" s="383"/>
      <c r="E7" s="383"/>
      <c r="F7" s="383"/>
      <c r="G7" s="383"/>
      <c r="H7" s="383"/>
      <c r="I7" s="383"/>
      <c r="J7" s="383"/>
      <c r="N7"/>
      <c r="W7"/>
      <c r="X7"/>
    </row>
    <row r="8" spans="1:24" x14ac:dyDescent="0.3">
      <c r="A8"/>
      <c r="C8" s="383" t="s">
        <v>3164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3165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3166</v>
      </c>
      <c r="D10" s="383"/>
      <c r="E10" s="383"/>
      <c r="F10" s="383"/>
      <c r="G10" s="383"/>
      <c r="H10" s="96"/>
      <c r="I10" s="96"/>
      <c r="J10" s="96"/>
      <c r="N10"/>
      <c r="W10"/>
      <c r="X10"/>
    </row>
    <row r="11" spans="1:24" x14ac:dyDescent="0.3">
      <c r="A11"/>
      <c r="C11" s="383" t="s">
        <v>3167</v>
      </c>
      <c r="D11" s="383"/>
      <c r="E11" s="383"/>
      <c r="F11" s="383"/>
      <c r="G11" s="383"/>
      <c r="J11" s="95"/>
      <c r="N11"/>
      <c r="W11"/>
      <c r="X11"/>
    </row>
    <row r="12" spans="1:24" x14ac:dyDescent="0.3">
      <c r="A12"/>
      <c r="C12" s="383" t="s">
        <v>3100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7">
    <tabColor rgb="FFFF0000"/>
  </sheetPr>
  <dimension ref="A1:AH1331"/>
  <sheetViews>
    <sheetView workbookViewId="0">
      <selection activeCell="C7" sqref="C7:J13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N6"/>
      <c r="W6"/>
      <c r="X6"/>
    </row>
    <row r="7" spans="1:24" x14ac:dyDescent="0.3">
      <c r="A7"/>
      <c r="C7" s="94" t="s">
        <v>3099</v>
      </c>
      <c r="J7" s="95"/>
      <c r="N7"/>
      <c r="W7"/>
      <c r="X7"/>
    </row>
    <row r="8" spans="1:24" x14ac:dyDescent="0.3">
      <c r="A8"/>
      <c r="C8" s="383" t="s">
        <v>3163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3164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3165</v>
      </c>
      <c r="D10" s="383"/>
      <c r="E10" s="383"/>
      <c r="F10" s="383"/>
      <c r="G10" s="383"/>
      <c r="H10" s="383"/>
      <c r="I10" s="383"/>
      <c r="J10" s="383"/>
      <c r="N10"/>
      <c r="W10"/>
      <c r="X10"/>
    </row>
    <row r="11" spans="1:24" x14ac:dyDescent="0.3">
      <c r="A11"/>
      <c r="C11" s="383" t="s">
        <v>3166</v>
      </c>
      <c r="D11" s="383"/>
      <c r="E11" s="383"/>
      <c r="F11" s="383"/>
      <c r="G11" s="383"/>
      <c r="H11" s="96"/>
      <c r="I11" s="96"/>
      <c r="J11" s="96"/>
      <c r="N11"/>
      <c r="W11"/>
      <c r="X11"/>
    </row>
    <row r="12" spans="1:24" x14ac:dyDescent="0.3">
      <c r="A12"/>
      <c r="C12" s="383" t="s">
        <v>3167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C13" s="383" t="s">
        <v>3100</v>
      </c>
      <c r="D13" s="383"/>
      <c r="E13" s="383"/>
      <c r="F13" s="383"/>
      <c r="G13" s="383"/>
      <c r="J13" s="95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8">
    <tabColor rgb="FFFF0000"/>
  </sheetPr>
  <dimension ref="A1:AH15"/>
  <sheetViews>
    <sheetView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2768</v>
      </c>
      <c r="B2" s="10" t="s">
        <v>2766</v>
      </c>
      <c r="C2" s="10" t="s">
        <v>2767</v>
      </c>
      <c r="D2" s="11">
        <v>45380</v>
      </c>
      <c r="E2" s="12">
        <v>176000</v>
      </c>
      <c r="F2" s="10" t="s">
        <v>32</v>
      </c>
      <c r="G2" s="10" t="s">
        <v>33</v>
      </c>
      <c r="H2" s="12">
        <v>176000</v>
      </c>
      <c r="I2" s="12">
        <v>68900</v>
      </c>
      <c r="J2" s="13">
        <f>I2/H2*100</f>
        <v>39.147727272727273</v>
      </c>
      <c r="K2" s="12">
        <v>182958</v>
      </c>
      <c r="L2" s="12">
        <f>H2-169412</f>
        <v>6588</v>
      </c>
      <c r="M2" s="12">
        <v>13546</v>
      </c>
      <c r="N2" s="66">
        <f>M2/E2</f>
        <v>7.6965909090909085E-2</v>
      </c>
      <c r="O2" s="14">
        <v>66.400000000000006</v>
      </c>
      <c r="P2" s="15">
        <v>115</v>
      </c>
      <c r="Q2" s="16">
        <v>0.17899999999999999</v>
      </c>
      <c r="R2" s="16">
        <v>0.17899999999999999</v>
      </c>
      <c r="S2" s="12">
        <f>L2/O2</f>
        <v>99.216867469879503</v>
      </c>
      <c r="T2" s="12">
        <f>L2/Q2</f>
        <v>36804.469273743016</v>
      </c>
      <c r="U2" s="17">
        <f>L2/Q2/43560</f>
        <v>0.84491435430998663</v>
      </c>
      <c r="V2" s="16">
        <v>67.83</v>
      </c>
      <c r="W2" s="16">
        <f>0.2*E2</f>
        <v>35200</v>
      </c>
      <c r="X2" s="16">
        <f>W2/V2</f>
        <v>518.9444198732125</v>
      </c>
      <c r="Y2" s="18" t="s">
        <v>2593</v>
      </c>
      <c r="Z2" s="10" t="s">
        <v>35</v>
      </c>
      <c r="AA2" s="10" t="s">
        <v>35</v>
      </c>
      <c r="AB2" s="10" t="s">
        <v>2768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ht="15" thickBot="1" x14ac:dyDescent="0.35">
      <c r="A3" s="75" t="s">
        <v>2768</v>
      </c>
      <c r="B3" s="19" t="s">
        <v>2769</v>
      </c>
      <c r="C3" s="19" t="s">
        <v>2770</v>
      </c>
      <c r="D3" s="20">
        <v>45196</v>
      </c>
      <c r="E3" s="21">
        <v>200000</v>
      </c>
      <c r="F3" s="19" t="s">
        <v>32</v>
      </c>
      <c r="G3" s="19" t="s">
        <v>33</v>
      </c>
      <c r="H3" s="21">
        <v>200000</v>
      </c>
      <c r="I3" s="21">
        <v>70700</v>
      </c>
      <c r="J3" s="22">
        <f>I3/H3*100</f>
        <v>35.35</v>
      </c>
      <c r="K3" s="21">
        <v>184312</v>
      </c>
      <c r="L3" s="21">
        <f>H3-170094</f>
        <v>29906</v>
      </c>
      <c r="M3" s="21">
        <v>14218</v>
      </c>
      <c r="N3" s="67">
        <f>M3/E3</f>
        <v>7.109E-2</v>
      </c>
      <c r="O3" s="23">
        <v>69.69</v>
      </c>
      <c r="P3" s="24">
        <v>137.97</v>
      </c>
      <c r="Q3" s="25">
        <v>0.20599999999999999</v>
      </c>
      <c r="R3" s="25">
        <v>0.20599999999999999</v>
      </c>
      <c r="S3" s="21">
        <f>L3/O3</f>
        <v>429.12899985650739</v>
      </c>
      <c r="T3" s="21">
        <f>L3/Q3</f>
        <v>145174.75728155341</v>
      </c>
      <c r="U3" s="26">
        <f>L3/Q3/43560</f>
        <v>3.3327538402560468</v>
      </c>
      <c r="V3" s="25">
        <v>65</v>
      </c>
      <c r="W3" s="25">
        <f>0.2*E3</f>
        <v>40000</v>
      </c>
      <c r="X3" s="25">
        <f>W3/V3</f>
        <v>615.38461538461536</v>
      </c>
      <c r="Y3" s="27" t="s">
        <v>2593</v>
      </c>
      <c r="Z3" s="19" t="s">
        <v>35</v>
      </c>
      <c r="AA3" s="19" t="s">
        <v>35</v>
      </c>
      <c r="AB3" s="19" t="s">
        <v>2768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376000</v>
      </c>
      <c r="F4" s="37"/>
      <c r="G4" s="37"/>
      <c r="H4" s="39">
        <f>+SUM(H2:H3)</f>
        <v>376000</v>
      </c>
      <c r="I4" s="39">
        <f>+SUM(I2:I3)</f>
        <v>139600</v>
      </c>
      <c r="J4" s="40"/>
      <c r="K4" s="39">
        <f>+SUM(K2:K3)</f>
        <v>367270</v>
      </c>
      <c r="L4" s="39">
        <f>+SUM(L2:L3)</f>
        <v>36494</v>
      </c>
      <c r="M4" s="39">
        <f>+SUM(M2:M3)</f>
        <v>27764</v>
      </c>
      <c r="N4" s="81">
        <f>AVERAGE(N2:N3)</f>
        <v>7.402795454545455E-2</v>
      </c>
      <c r="O4" s="41">
        <f>+SUM(O2:O3)</f>
        <v>136.09</v>
      </c>
      <c r="P4" s="42"/>
      <c r="Q4" s="43">
        <f>+SUM(Q2:Q3)</f>
        <v>0.38500000000000001</v>
      </c>
      <c r="R4" s="43">
        <f>+SUM(R2:R3)</f>
        <v>0.38500000000000001</v>
      </c>
      <c r="S4" s="39"/>
      <c r="T4" s="39"/>
      <c r="U4" s="44"/>
      <c r="V4" s="43"/>
      <c r="W4" s="82">
        <f>AVERAGE(W2:W3)</f>
        <v>37600</v>
      </c>
      <c r="X4" s="83">
        <f>AVERAGE(X2:X3)</f>
        <v>567.16451762891393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37.127659574468083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2.685398707642547</v>
      </c>
      <c r="K6" s="48"/>
      <c r="L6" s="48"/>
      <c r="M6" s="48" t="s">
        <v>2880</v>
      </c>
      <c r="N6" s="80"/>
      <c r="O6" s="54">
        <f>L4/O4</f>
        <v>268.1607759570872</v>
      </c>
      <c r="P6" s="50"/>
      <c r="Q6" s="51" t="s">
        <v>2881</v>
      </c>
      <c r="R6" s="51">
        <f>L4/Q4</f>
        <v>94789.610389610389</v>
      </c>
      <c r="S6" s="48"/>
      <c r="T6" s="48" t="s">
        <v>2882</v>
      </c>
      <c r="U6" s="52">
        <f>L4/Q4/43560</f>
        <v>2.1760700273096969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9">
    <tabColor rgb="FF00B050"/>
  </sheetPr>
  <dimension ref="A1:AH57"/>
  <sheetViews>
    <sheetView topLeftCell="A32" workbookViewId="0">
      <selection activeCell="D51" sqref="D51:L57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1" bestFit="1" customWidth="1" collapsed="1"/>
    <col min="4" max="4" width="10.88671875" bestFit="1" customWidth="1" collapsed="1"/>
    <col min="5" max="5" width="13.44140625" bestFit="1" customWidth="1" collapsed="1"/>
    <col min="6" max="6" width="5.5546875" bestFit="1" customWidth="1" collapsed="1"/>
    <col min="7" max="7" width="17.33203125" bestFit="1" customWidth="1" collapsed="1"/>
    <col min="8" max="8" width="11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1408</v>
      </c>
      <c r="B2" s="19" t="s">
        <v>1414</v>
      </c>
      <c r="C2" s="19" t="s">
        <v>1415</v>
      </c>
      <c r="D2" s="20">
        <v>45044</v>
      </c>
      <c r="E2" s="21">
        <v>304990</v>
      </c>
      <c r="F2" s="19" t="s">
        <v>32</v>
      </c>
      <c r="G2" s="19" t="s">
        <v>33</v>
      </c>
      <c r="H2" s="21">
        <v>304990</v>
      </c>
      <c r="I2" s="21">
        <v>62500</v>
      </c>
      <c r="J2" s="22">
        <f t="shared" ref="J2:J47" si="0">I2/H2*100</f>
        <v>20.492475163120101</v>
      </c>
      <c r="K2" s="21">
        <v>313634</v>
      </c>
      <c r="L2" s="21">
        <f>H2-281266</f>
        <v>23724</v>
      </c>
      <c r="M2" s="21">
        <v>32368</v>
      </c>
      <c r="N2" s="67">
        <f t="shared" ref="N2:N47" si="1">M2/E2</f>
        <v>0.10612806977277943</v>
      </c>
      <c r="O2" s="23">
        <v>78.75</v>
      </c>
      <c r="P2" s="24">
        <v>133.5</v>
      </c>
      <c r="Q2" s="25">
        <v>0.22500000000000001</v>
      </c>
      <c r="R2" s="25">
        <v>0.22500000000000001</v>
      </c>
      <c r="S2" s="21">
        <f t="shared" ref="S2:S47" si="2">L2/O2</f>
        <v>301.25714285714287</v>
      </c>
      <c r="T2" s="21">
        <f t="shared" ref="T2:T47" si="3">L2/Q2</f>
        <v>105440</v>
      </c>
      <c r="U2" s="26">
        <f t="shared" ref="U2:U47" si="4">L2/Q2/43560</f>
        <v>2.4205693296602386</v>
      </c>
      <c r="V2" s="25">
        <v>77</v>
      </c>
      <c r="W2" s="25">
        <f t="shared" ref="W2:W47" si="5">0.2*E2</f>
        <v>60998</v>
      </c>
      <c r="X2" s="25">
        <f t="shared" ref="X2:X47" si="6">W2/V2</f>
        <v>792.18181818181813</v>
      </c>
      <c r="Y2" s="27" t="s">
        <v>1407</v>
      </c>
      <c r="Z2" s="19" t="s">
        <v>35</v>
      </c>
      <c r="AA2" s="19" t="s">
        <v>35</v>
      </c>
      <c r="AB2" s="19" t="s">
        <v>1408</v>
      </c>
      <c r="AC2" s="19">
        <v>0</v>
      </c>
      <c r="AD2" s="19">
        <v>0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1408</v>
      </c>
      <c r="B3" s="19" t="s">
        <v>1430</v>
      </c>
      <c r="C3" s="19" t="s">
        <v>1431</v>
      </c>
      <c r="D3" s="20">
        <v>45044</v>
      </c>
      <c r="E3" s="21">
        <v>329990</v>
      </c>
      <c r="F3" s="19" t="s">
        <v>32</v>
      </c>
      <c r="G3" s="19" t="s">
        <v>33</v>
      </c>
      <c r="H3" s="21">
        <v>329990</v>
      </c>
      <c r="I3" s="21">
        <v>106600</v>
      </c>
      <c r="J3" s="22">
        <f t="shared" si="0"/>
        <v>32.304009212400373</v>
      </c>
      <c r="K3" s="21">
        <v>336813</v>
      </c>
      <c r="L3" s="21">
        <f>H3-308043</f>
        <v>21947</v>
      </c>
      <c r="M3" s="21">
        <v>28770</v>
      </c>
      <c r="N3" s="67">
        <f t="shared" si="1"/>
        <v>8.7184460135155614E-2</v>
      </c>
      <c r="O3" s="23">
        <v>70</v>
      </c>
      <c r="P3" s="24">
        <v>120</v>
      </c>
      <c r="Q3" s="25">
        <v>0.193</v>
      </c>
      <c r="R3" s="25">
        <v>0.193</v>
      </c>
      <c r="S3" s="21">
        <f t="shared" si="2"/>
        <v>313.52857142857141</v>
      </c>
      <c r="T3" s="21">
        <f t="shared" si="3"/>
        <v>113715.02590673575</v>
      </c>
      <c r="U3" s="26">
        <f t="shared" si="4"/>
        <v>2.6105377848194617</v>
      </c>
      <c r="V3" s="25">
        <v>70</v>
      </c>
      <c r="W3" s="25">
        <f t="shared" si="5"/>
        <v>65998</v>
      </c>
      <c r="X3" s="25">
        <f t="shared" si="6"/>
        <v>942.82857142857142</v>
      </c>
      <c r="Y3" s="27" t="s">
        <v>1407</v>
      </c>
      <c r="Z3" s="19" t="s">
        <v>35</v>
      </c>
      <c r="AA3" s="19" t="s">
        <v>35</v>
      </c>
      <c r="AB3" s="19" t="s">
        <v>1408</v>
      </c>
      <c r="AC3" s="19">
        <v>0</v>
      </c>
      <c r="AD3" s="19">
        <v>0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1408</v>
      </c>
      <c r="B4" s="19" t="s">
        <v>1440</v>
      </c>
      <c r="C4" s="19" t="s">
        <v>1441</v>
      </c>
      <c r="D4" s="20">
        <v>45665</v>
      </c>
      <c r="E4" s="21">
        <v>334990</v>
      </c>
      <c r="F4" s="19" t="s">
        <v>32</v>
      </c>
      <c r="G4" s="19" t="s">
        <v>33</v>
      </c>
      <c r="H4" s="21">
        <v>334990</v>
      </c>
      <c r="I4" s="21">
        <v>13000</v>
      </c>
      <c r="J4" s="22">
        <f t="shared" si="0"/>
        <v>3.8807128571002116</v>
      </c>
      <c r="K4" s="21">
        <v>340136</v>
      </c>
      <c r="L4" s="21">
        <f>H4-311366</f>
        <v>23624</v>
      </c>
      <c r="M4" s="21">
        <v>28770</v>
      </c>
      <c r="N4" s="67">
        <f t="shared" si="1"/>
        <v>8.5883160691363924E-2</v>
      </c>
      <c r="O4" s="23">
        <v>70</v>
      </c>
      <c r="P4" s="24">
        <v>120</v>
      </c>
      <c r="Q4" s="25">
        <v>0.193</v>
      </c>
      <c r="R4" s="25">
        <v>0.193</v>
      </c>
      <c r="S4" s="21">
        <f t="shared" si="2"/>
        <v>337.48571428571427</v>
      </c>
      <c r="T4" s="21">
        <f t="shared" si="3"/>
        <v>122404.1450777202</v>
      </c>
      <c r="U4" s="26">
        <f t="shared" si="4"/>
        <v>2.8100125132626306</v>
      </c>
      <c r="V4" s="25">
        <v>70</v>
      </c>
      <c r="W4" s="25">
        <f t="shared" si="5"/>
        <v>66998</v>
      </c>
      <c r="X4" s="25">
        <f t="shared" si="6"/>
        <v>957.11428571428576</v>
      </c>
      <c r="Y4" s="27" t="s">
        <v>1407</v>
      </c>
      <c r="Z4" s="19" t="s">
        <v>35</v>
      </c>
      <c r="AA4" s="19" t="s">
        <v>35</v>
      </c>
      <c r="AB4" s="19" t="s">
        <v>1408</v>
      </c>
      <c r="AC4" s="19">
        <v>0</v>
      </c>
      <c r="AD4" s="19">
        <v>0</v>
      </c>
      <c r="AE4" s="19" t="s">
        <v>37</v>
      </c>
      <c r="AF4" s="19" t="s">
        <v>35</v>
      </c>
      <c r="AG4" s="19" t="s">
        <v>38</v>
      </c>
      <c r="AH4" s="19" t="s">
        <v>92</v>
      </c>
    </row>
    <row r="5" spans="1:34" x14ac:dyDescent="0.3">
      <c r="A5" s="74" t="s">
        <v>1408</v>
      </c>
      <c r="B5" s="10" t="s">
        <v>1474</v>
      </c>
      <c r="C5" s="10" t="s">
        <v>1475</v>
      </c>
      <c r="D5" s="11">
        <v>45512</v>
      </c>
      <c r="E5" s="12">
        <v>370000</v>
      </c>
      <c r="F5" s="10" t="s">
        <v>32</v>
      </c>
      <c r="G5" s="10" t="s">
        <v>33</v>
      </c>
      <c r="H5" s="12">
        <v>370000</v>
      </c>
      <c r="I5" s="12">
        <v>13000</v>
      </c>
      <c r="J5" s="13">
        <f t="shared" si="0"/>
        <v>3.5135135135135136</v>
      </c>
      <c r="K5" s="12">
        <v>374580</v>
      </c>
      <c r="L5" s="12">
        <f>H5-345810</f>
        <v>24190</v>
      </c>
      <c r="M5" s="12">
        <v>28770</v>
      </c>
      <c r="N5" s="66">
        <f t="shared" si="1"/>
        <v>7.7756756756756751E-2</v>
      </c>
      <c r="O5" s="14">
        <v>70</v>
      </c>
      <c r="P5" s="15">
        <v>120</v>
      </c>
      <c r="Q5" s="16">
        <v>0.193</v>
      </c>
      <c r="R5" s="16">
        <v>0.193</v>
      </c>
      <c r="S5" s="12">
        <f t="shared" si="2"/>
        <v>345.57142857142856</v>
      </c>
      <c r="T5" s="12">
        <f t="shared" si="3"/>
        <v>125336.78756476684</v>
      </c>
      <c r="U5" s="17">
        <f t="shared" si="4"/>
        <v>2.8773367209542435</v>
      </c>
      <c r="V5" s="16">
        <v>70</v>
      </c>
      <c r="W5" s="16">
        <f t="shared" si="5"/>
        <v>74000</v>
      </c>
      <c r="X5" s="16">
        <f t="shared" si="6"/>
        <v>1057.1428571428571</v>
      </c>
      <c r="Y5" s="18" t="s">
        <v>1407</v>
      </c>
      <c r="Z5" s="10" t="s">
        <v>35</v>
      </c>
      <c r="AA5" s="10" t="s">
        <v>35</v>
      </c>
      <c r="AB5" s="10" t="s">
        <v>1408</v>
      </c>
      <c r="AC5" s="10">
        <v>0</v>
      </c>
      <c r="AD5" s="10">
        <v>0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1408</v>
      </c>
      <c r="B6" s="19" t="s">
        <v>1480</v>
      </c>
      <c r="C6" s="19" t="s">
        <v>1481</v>
      </c>
      <c r="D6" s="20">
        <v>45532</v>
      </c>
      <c r="E6" s="21">
        <v>373990</v>
      </c>
      <c r="F6" s="19" t="s">
        <v>32</v>
      </c>
      <c r="G6" s="19" t="s">
        <v>33</v>
      </c>
      <c r="H6" s="21">
        <v>373990</v>
      </c>
      <c r="I6" s="21">
        <v>13000</v>
      </c>
      <c r="J6" s="22">
        <f t="shared" si="0"/>
        <v>3.4760287708227491</v>
      </c>
      <c r="K6" s="21">
        <v>377900</v>
      </c>
      <c r="L6" s="21">
        <f>H6-349130</f>
        <v>24860</v>
      </c>
      <c r="M6" s="21">
        <v>28770</v>
      </c>
      <c r="N6" s="67">
        <f t="shared" si="1"/>
        <v>7.6927190566592696E-2</v>
      </c>
      <c r="O6" s="23">
        <v>70</v>
      </c>
      <c r="P6" s="24">
        <v>120</v>
      </c>
      <c r="Q6" s="25">
        <v>0.193</v>
      </c>
      <c r="R6" s="25">
        <v>0.193</v>
      </c>
      <c r="S6" s="21">
        <f t="shared" si="2"/>
        <v>355.14285714285717</v>
      </c>
      <c r="T6" s="21">
        <f t="shared" si="3"/>
        <v>128808.29015544041</v>
      </c>
      <c r="U6" s="26">
        <f t="shared" si="4"/>
        <v>2.9570314544407807</v>
      </c>
      <c r="V6" s="25">
        <v>70</v>
      </c>
      <c r="W6" s="25">
        <f t="shared" si="5"/>
        <v>74798</v>
      </c>
      <c r="X6" s="25">
        <f t="shared" si="6"/>
        <v>1068.5428571428572</v>
      </c>
      <c r="Y6" s="27" t="s">
        <v>1407</v>
      </c>
      <c r="Z6" s="19" t="s">
        <v>35</v>
      </c>
      <c r="AA6" s="19" t="s">
        <v>35</v>
      </c>
      <c r="AB6" s="19" t="s">
        <v>1408</v>
      </c>
      <c r="AC6" s="19">
        <v>0</v>
      </c>
      <c r="AD6" s="19">
        <v>0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1408</v>
      </c>
      <c r="B7" s="19" t="s">
        <v>1486</v>
      </c>
      <c r="C7" s="19" t="s">
        <v>1487</v>
      </c>
      <c r="D7" s="20">
        <v>45590</v>
      </c>
      <c r="E7" s="21">
        <v>376490</v>
      </c>
      <c r="F7" s="19" t="s">
        <v>32</v>
      </c>
      <c r="G7" s="19" t="s">
        <v>33</v>
      </c>
      <c r="H7" s="21">
        <v>376490</v>
      </c>
      <c r="I7" s="21">
        <v>13000</v>
      </c>
      <c r="J7" s="22">
        <f t="shared" si="0"/>
        <v>3.4529469574225078</v>
      </c>
      <c r="K7" s="21">
        <v>379956</v>
      </c>
      <c r="L7" s="21">
        <f>H7-351186</f>
        <v>25304</v>
      </c>
      <c r="M7" s="21">
        <v>28770</v>
      </c>
      <c r="N7" s="67">
        <f t="shared" si="1"/>
        <v>7.6416372280804265E-2</v>
      </c>
      <c r="O7" s="23">
        <v>70</v>
      </c>
      <c r="P7" s="24">
        <v>120</v>
      </c>
      <c r="Q7" s="25">
        <v>0.193</v>
      </c>
      <c r="R7" s="25">
        <v>0.193</v>
      </c>
      <c r="S7" s="21">
        <f t="shared" si="2"/>
        <v>361.48571428571427</v>
      </c>
      <c r="T7" s="21">
        <f t="shared" si="3"/>
        <v>131108.80829015543</v>
      </c>
      <c r="U7" s="26">
        <f t="shared" si="4"/>
        <v>3.0098440837960383</v>
      </c>
      <c r="V7" s="25">
        <v>70</v>
      </c>
      <c r="W7" s="25">
        <f t="shared" si="5"/>
        <v>75298</v>
      </c>
      <c r="X7" s="25">
        <f t="shared" si="6"/>
        <v>1075.6857142857143</v>
      </c>
      <c r="Y7" s="27" t="s">
        <v>1407</v>
      </c>
      <c r="Z7" s="19" t="s">
        <v>35</v>
      </c>
      <c r="AA7" s="19" t="s">
        <v>35</v>
      </c>
      <c r="AB7" s="19" t="s">
        <v>1408</v>
      </c>
      <c r="AC7" s="19">
        <v>0</v>
      </c>
      <c r="AD7" s="19">
        <v>0</v>
      </c>
      <c r="AE7" s="19" t="s">
        <v>37</v>
      </c>
      <c r="AF7" s="19" t="s">
        <v>35</v>
      </c>
      <c r="AG7" s="19" t="s">
        <v>38</v>
      </c>
      <c r="AH7" s="19" t="s">
        <v>92</v>
      </c>
    </row>
    <row r="8" spans="1:34" x14ac:dyDescent="0.3">
      <c r="A8" s="75" t="s">
        <v>1408</v>
      </c>
      <c r="B8" s="19" t="s">
        <v>1462</v>
      </c>
      <c r="C8" s="19" t="s">
        <v>1463</v>
      </c>
      <c r="D8" s="20">
        <v>45541</v>
      </c>
      <c r="E8" s="21">
        <v>372490</v>
      </c>
      <c r="F8" s="19" t="s">
        <v>32</v>
      </c>
      <c r="G8" s="19" t="s">
        <v>33</v>
      </c>
      <c r="H8" s="21">
        <v>372490</v>
      </c>
      <c r="I8" s="21">
        <v>13000</v>
      </c>
      <c r="J8" s="22">
        <f t="shared" si="0"/>
        <v>3.4900265778947088</v>
      </c>
      <c r="K8" s="21">
        <v>375890</v>
      </c>
      <c r="L8" s="21">
        <f>H8-347120</f>
        <v>25370</v>
      </c>
      <c r="M8" s="21">
        <v>28770</v>
      </c>
      <c r="N8" s="67">
        <f t="shared" si="1"/>
        <v>7.7236972804639051E-2</v>
      </c>
      <c r="O8" s="23">
        <v>70</v>
      </c>
      <c r="P8" s="24">
        <v>120</v>
      </c>
      <c r="Q8" s="25">
        <v>0.193</v>
      </c>
      <c r="R8" s="25">
        <v>0.193</v>
      </c>
      <c r="S8" s="21">
        <f t="shared" si="2"/>
        <v>362.42857142857144</v>
      </c>
      <c r="T8" s="21">
        <f t="shared" si="3"/>
        <v>131450.77720207252</v>
      </c>
      <c r="U8" s="26">
        <f t="shared" si="4"/>
        <v>3.0176946097812793</v>
      </c>
      <c r="V8" s="25">
        <v>70</v>
      </c>
      <c r="W8" s="25">
        <f t="shared" si="5"/>
        <v>74498</v>
      </c>
      <c r="X8" s="25">
        <f t="shared" si="6"/>
        <v>1064.2571428571428</v>
      </c>
      <c r="Y8" s="27" t="s">
        <v>1407</v>
      </c>
      <c r="Z8" s="19" t="s">
        <v>35</v>
      </c>
      <c r="AA8" s="19" t="s">
        <v>35</v>
      </c>
      <c r="AB8" s="19" t="s">
        <v>1408</v>
      </c>
      <c r="AC8" s="19">
        <v>0</v>
      </c>
      <c r="AD8" s="19">
        <v>0</v>
      </c>
      <c r="AE8" s="19" t="s">
        <v>37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1408</v>
      </c>
      <c r="B9" s="10" t="s">
        <v>1434</v>
      </c>
      <c r="C9" s="10" t="s">
        <v>1435</v>
      </c>
      <c r="D9" s="11">
        <v>45399</v>
      </c>
      <c r="E9" s="12">
        <v>357000</v>
      </c>
      <c r="F9" s="10" t="s">
        <v>32</v>
      </c>
      <c r="G9" s="10" t="s">
        <v>33</v>
      </c>
      <c r="H9" s="12">
        <v>357000</v>
      </c>
      <c r="I9" s="12">
        <v>169500</v>
      </c>
      <c r="J9" s="13">
        <f t="shared" si="0"/>
        <v>47.47899159663865</v>
      </c>
      <c r="K9" s="12">
        <v>360414</v>
      </c>
      <c r="L9" s="12">
        <f>H9-331524</f>
        <v>25476</v>
      </c>
      <c r="M9" s="12">
        <v>28890</v>
      </c>
      <c r="N9" s="66">
        <f t="shared" si="1"/>
        <v>8.0924369747899155E-2</v>
      </c>
      <c r="O9" s="14">
        <v>70.290000000000006</v>
      </c>
      <c r="P9" s="15">
        <v>121</v>
      </c>
      <c r="Q9" s="16">
        <v>0.19400000000000001</v>
      </c>
      <c r="R9" s="16">
        <v>0.19400000000000001</v>
      </c>
      <c r="S9" s="12">
        <f t="shared" si="2"/>
        <v>362.44131455399059</v>
      </c>
      <c r="T9" s="12">
        <f t="shared" si="3"/>
        <v>131319.58762886596</v>
      </c>
      <c r="U9" s="17">
        <f t="shared" si="4"/>
        <v>3.0146829115901279</v>
      </c>
      <c r="V9" s="16">
        <v>70</v>
      </c>
      <c r="W9" s="16">
        <f t="shared" si="5"/>
        <v>71400</v>
      </c>
      <c r="X9" s="16">
        <f t="shared" si="6"/>
        <v>1020</v>
      </c>
      <c r="Y9" s="18" t="s">
        <v>1407</v>
      </c>
      <c r="Z9" s="10" t="s">
        <v>35</v>
      </c>
      <c r="AA9" s="10" t="s">
        <v>35</v>
      </c>
      <c r="AB9" s="10" t="s">
        <v>1408</v>
      </c>
      <c r="AC9" s="10">
        <v>0</v>
      </c>
      <c r="AD9" s="10">
        <v>0</v>
      </c>
      <c r="AE9" s="10" t="s">
        <v>37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1408</v>
      </c>
      <c r="B10" s="19" t="s">
        <v>1513</v>
      </c>
      <c r="C10" s="19" t="s">
        <v>1514</v>
      </c>
      <c r="D10" s="20">
        <v>45078</v>
      </c>
      <c r="E10" s="21">
        <v>323000</v>
      </c>
      <c r="F10" s="19" t="s">
        <v>32</v>
      </c>
      <c r="G10" s="19" t="s">
        <v>33</v>
      </c>
      <c r="H10" s="21">
        <v>323000</v>
      </c>
      <c r="I10" s="21">
        <v>64400</v>
      </c>
      <c r="J10" s="22">
        <f t="shared" si="0"/>
        <v>19.938080495356036</v>
      </c>
      <c r="K10" s="21">
        <v>324483</v>
      </c>
      <c r="L10" s="21">
        <f>H10-295713</f>
        <v>27287</v>
      </c>
      <c r="M10" s="21">
        <v>28770</v>
      </c>
      <c r="N10" s="67">
        <f t="shared" si="1"/>
        <v>8.9071207430340554E-2</v>
      </c>
      <c r="O10" s="23">
        <v>70</v>
      </c>
      <c r="P10" s="24">
        <v>120</v>
      </c>
      <c r="Q10" s="25">
        <v>0.193</v>
      </c>
      <c r="R10" s="25">
        <v>0.193</v>
      </c>
      <c r="S10" s="21">
        <f t="shared" si="2"/>
        <v>389.81428571428569</v>
      </c>
      <c r="T10" s="21">
        <f t="shared" si="3"/>
        <v>141383.41968911915</v>
      </c>
      <c r="U10" s="26">
        <f t="shared" si="4"/>
        <v>3.2457167054435065</v>
      </c>
      <c r="V10" s="25">
        <v>70</v>
      </c>
      <c r="W10" s="25">
        <f t="shared" si="5"/>
        <v>64600</v>
      </c>
      <c r="X10" s="25">
        <f t="shared" si="6"/>
        <v>922.85714285714289</v>
      </c>
      <c r="Y10" s="27" t="s">
        <v>1407</v>
      </c>
      <c r="Z10" s="19" t="s">
        <v>35</v>
      </c>
      <c r="AA10" s="19" t="s">
        <v>35</v>
      </c>
      <c r="AB10" s="19" t="s">
        <v>1408</v>
      </c>
      <c r="AC10" s="19">
        <v>0</v>
      </c>
      <c r="AD10" s="19">
        <v>0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1408</v>
      </c>
      <c r="B11" s="10" t="s">
        <v>1468</v>
      </c>
      <c r="C11" s="10" t="s">
        <v>1469</v>
      </c>
      <c r="D11" s="11">
        <v>45520</v>
      </c>
      <c r="E11" s="12">
        <v>375990</v>
      </c>
      <c r="F11" s="10" t="s">
        <v>32</v>
      </c>
      <c r="G11" s="10" t="s">
        <v>33</v>
      </c>
      <c r="H11" s="12">
        <v>375990</v>
      </c>
      <c r="I11" s="12">
        <v>13000</v>
      </c>
      <c r="J11" s="13">
        <f t="shared" si="0"/>
        <v>3.4575387643288389</v>
      </c>
      <c r="K11" s="12">
        <v>376580</v>
      </c>
      <c r="L11" s="12">
        <f>H11-347810</f>
        <v>28180</v>
      </c>
      <c r="M11" s="12">
        <v>28770</v>
      </c>
      <c r="N11" s="66">
        <f t="shared" si="1"/>
        <v>7.6517992499800527E-2</v>
      </c>
      <c r="O11" s="14">
        <v>70</v>
      </c>
      <c r="P11" s="15">
        <v>120</v>
      </c>
      <c r="Q11" s="16">
        <v>0.193</v>
      </c>
      <c r="R11" s="16">
        <v>0.193</v>
      </c>
      <c r="S11" s="12">
        <f t="shared" si="2"/>
        <v>402.57142857142856</v>
      </c>
      <c r="T11" s="12">
        <f t="shared" si="3"/>
        <v>146010.36269430051</v>
      </c>
      <c r="U11" s="17">
        <f t="shared" si="4"/>
        <v>3.3519367009710859</v>
      </c>
      <c r="V11" s="16">
        <v>70</v>
      </c>
      <c r="W11" s="16">
        <f t="shared" si="5"/>
        <v>75198</v>
      </c>
      <c r="X11" s="16">
        <f t="shared" si="6"/>
        <v>1074.2571428571428</v>
      </c>
      <c r="Y11" s="18" t="s">
        <v>1407</v>
      </c>
      <c r="Z11" s="10" t="s">
        <v>35</v>
      </c>
      <c r="AA11" s="10" t="s">
        <v>35</v>
      </c>
      <c r="AB11" s="10" t="s">
        <v>1408</v>
      </c>
      <c r="AC11" s="10">
        <v>0</v>
      </c>
      <c r="AD11" s="10">
        <v>0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1408</v>
      </c>
      <c r="B12" s="10" t="s">
        <v>1490</v>
      </c>
      <c r="C12" s="10" t="s">
        <v>1491</v>
      </c>
      <c r="D12" s="11">
        <v>45562</v>
      </c>
      <c r="E12" s="12">
        <v>373990</v>
      </c>
      <c r="F12" s="10" t="s">
        <v>32</v>
      </c>
      <c r="G12" s="10" t="s">
        <v>33</v>
      </c>
      <c r="H12" s="12">
        <v>373990</v>
      </c>
      <c r="I12" s="12">
        <v>13000</v>
      </c>
      <c r="J12" s="13">
        <f t="shared" si="0"/>
        <v>3.4760287708227491</v>
      </c>
      <c r="K12" s="12">
        <v>372614</v>
      </c>
      <c r="L12" s="12">
        <f>H12-343844</f>
        <v>30146</v>
      </c>
      <c r="M12" s="12">
        <v>28770</v>
      </c>
      <c r="N12" s="66">
        <f t="shared" si="1"/>
        <v>7.6927190566592696E-2</v>
      </c>
      <c r="O12" s="14">
        <v>70</v>
      </c>
      <c r="P12" s="15">
        <v>120</v>
      </c>
      <c r="Q12" s="16">
        <v>0.193</v>
      </c>
      <c r="R12" s="16">
        <v>0.193</v>
      </c>
      <c r="S12" s="12">
        <f t="shared" si="2"/>
        <v>430.65714285714284</v>
      </c>
      <c r="T12" s="12">
        <f t="shared" si="3"/>
        <v>156196.89119170984</v>
      </c>
      <c r="U12" s="17">
        <f t="shared" si="4"/>
        <v>3.5857872174405383</v>
      </c>
      <c r="V12" s="16">
        <v>70</v>
      </c>
      <c r="W12" s="16">
        <f t="shared" si="5"/>
        <v>74798</v>
      </c>
      <c r="X12" s="16">
        <f t="shared" si="6"/>
        <v>1068.5428571428572</v>
      </c>
      <c r="Y12" s="18" t="s">
        <v>1407</v>
      </c>
      <c r="Z12" s="10" t="s">
        <v>35</v>
      </c>
      <c r="AA12" s="10" t="s">
        <v>35</v>
      </c>
      <c r="AB12" s="10" t="s">
        <v>1408</v>
      </c>
      <c r="AC12" s="10">
        <v>0</v>
      </c>
      <c r="AD12" s="10">
        <v>0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5" t="s">
        <v>2074</v>
      </c>
      <c r="B13" s="19" t="s">
        <v>2075</v>
      </c>
      <c r="C13" s="19" t="s">
        <v>2076</v>
      </c>
      <c r="D13" s="20">
        <v>45204</v>
      </c>
      <c r="E13" s="21">
        <v>300000</v>
      </c>
      <c r="F13" s="19" t="s">
        <v>32</v>
      </c>
      <c r="G13" s="19" t="s">
        <v>33</v>
      </c>
      <c r="H13" s="21">
        <v>300000</v>
      </c>
      <c r="I13" s="21">
        <v>146800</v>
      </c>
      <c r="J13" s="22">
        <f>I13/H13*100</f>
        <v>48.933333333333337</v>
      </c>
      <c r="K13" s="21">
        <v>334792</v>
      </c>
      <c r="L13" s="21">
        <f>H13-297893</f>
        <v>2107</v>
      </c>
      <c r="M13" s="21">
        <v>36899</v>
      </c>
      <c r="N13" s="67">
        <f>M13/E13</f>
        <v>0.12299666666666667</v>
      </c>
      <c r="O13" s="23">
        <v>89.77</v>
      </c>
      <c r="P13" s="24">
        <v>130.57</v>
      </c>
      <c r="Q13" s="25">
        <v>0.30599999999999999</v>
      </c>
      <c r="R13" s="25">
        <v>0.30599999999999999</v>
      </c>
      <c r="S13" s="21">
        <f>L13/O13</f>
        <v>23.471092792692438</v>
      </c>
      <c r="T13" s="21">
        <f>L13/Q13</f>
        <v>6885.6209150326795</v>
      </c>
      <c r="U13" s="26">
        <f>L13/Q13/43560</f>
        <v>0.15807210548743525</v>
      </c>
      <c r="V13" s="25">
        <v>98.59</v>
      </c>
      <c r="W13" s="25">
        <f>0.2*E13</f>
        <v>60000</v>
      </c>
      <c r="X13" s="25">
        <f>W13/V13</f>
        <v>608.58099198701689</v>
      </c>
      <c r="Y13" s="27" t="s">
        <v>2073</v>
      </c>
      <c r="Z13" s="19" t="s">
        <v>35</v>
      </c>
      <c r="AA13" s="19" t="s">
        <v>35</v>
      </c>
      <c r="AB13" s="19" t="s">
        <v>2074</v>
      </c>
      <c r="AC13" s="19">
        <v>0</v>
      </c>
      <c r="AD13" s="19">
        <v>1</v>
      </c>
      <c r="AE13" s="19" t="s">
        <v>37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2074</v>
      </c>
      <c r="B14" s="19" t="s">
        <v>2071</v>
      </c>
      <c r="C14" s="19" t="s">
        <v>2072</v>
      </c>
      <c r="D14" s="20">
        <v>45247</v>
      </c>
      <c r="E14" s="21">
        <v>350000</v>
      </c>
      <c r="F14" s="19" t="s">
        <v>32</v>
      </c>
      <c r="G14" s="19" t="s">
        <v>33</v>
      </c>
      <c r="H14" s="21">
        <v>350000</v>
      </c>
      <c r="I14" s="21">
        <v>164200</v>
      </c>
      <c r="J14" s="22">
        <f>I14/H14*100</f>
        <v>46.914285714285711</v>
      </c>
      <c r="K14" s="21">
        <v>373742</v>
      </c>
      <c r="L14" s="21">
        <f>H14-343341</f>
        <v>6659</v>
      </c>
      <c r="M14" s="21">
        <v>30401</v>
      </c>
      <c r="N14" s="67">
        <f>M14/E14</f>
        <v>8.6860000000000007E-2</v>
      </c>
      <c r="O14" s="23">
        <v>73.959999999999994</v>
      </c>
      <c r="P14" s="24">
        <v>160.49</v>
      </c>
      <c r="Q14" s="25">
        <v>0.27600000000000002</v>
      </c>
      <c r="R14" s="25">
        <v>0.27600000000000002</v>
      </c>
      <c r="S14" s="21">
        <f>L14/O14</f>
        <v>90.035154137371563</v>
      </c>
      <c r="T14" s="21">
        <f>L14/Q14</f>
        <v>24126.811594202896</v>
      </c>
      <c r="U14" s="26">
        <f>L14/Q14/43560</f>
        <v>0.55387538095047972</v>
      </c>
      <c r="V14" s="25">
        <v>75</v>
      </c>
      <c r="W14" s="25">
        <f>0.2*E14</f>
        <v>70000</v>
      </c>
      <c r="X14" s="25">
        <f>W14/V14</f>
        <v>933.33333333333337</v>
      </c>
      <c r="Y14" s="27" t="s">
        <v>2073</v>
      </c>
      <c r="Z14" s="19" t="s">
        <v>35</v>
      </c>
      <c r="AA14" s="19" t="s">
        <v>35</v>
      </c>
      <c r="AB14" s="19" t="s">
        <v>2074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4" t="s">
        <v>1408</v>
      </c>
      <c r="B15" s="10" t="s">
        <v>1500</v>
      </c>
      <c r="C15" s="10" t="s">
        <v>1501</v>
      </c>
      <c r="D15" s="11">
        <v>45037</v>
      </c>
      <c r="E15" s="12">
        <v>324990</v>
      </c>
      <c r="F15" s="10" t="s">
        <v>32</v>
      </c>
      <c r="G15" s="10" t="s">
        <v>33</v>
      </c>
      <c r="H15" s="12">
        <v>324990</v>
      </c>
      <c r="I15" s="12">
        <v>150500</v>
      </c>
      <c r="J15" s="13">
        <f t="shared" si="0"/>
        <v>46.309117203606263</v>
      </c>
      <c r="K15" s="12">
        <v>323095</v>
      </c>
      <c r="L15" s="12">
        <f>H15-294325</f>
        <v>30665</v>
      </c>
      <c r="M15" s="12">
        <v>28770</v>
      </c>
      <c r="N15" s="66">
        <f t="shared" si="1"/>
        <v>8.8525800793870582E-2</v>
      </c>
      <c r="O15" s="14">
        <v>70</v>
      </c>
      <c r="P15" s="15">
        <v>120</v>
      </c>
      <c r="Q15" s="16">
        <v>0.193</v>
      </c>
      <c r="R15" s="16">
        <v>0.193</v>
      </c>
      <c r="S15" s="12">
        <f t="shared" si="2"/>
        <v>438.07142857142856</v>
      </c>
      <c r="T15" s="12">
        <f t="shared" si="3"/>
        <v>158886.0103626943</v>
      </c>
      <c r="U15" s="17">
        <f t="shared" si="4"/>
        <v>3.6475208990517518</v>
      </c>
      <c r="V15" s="16">
        <v>70</v>
      </c>
      <c r="W15" s="16">
        <f t="shared" si="5"/>
        <v>64998</v>
      </c>
      <c r="X15" s="16">
        <f t="shared" si="6"/>
        <v>928.54285714285709</v>
      </c>
      <c r="Y15" s="18" t="s">
        <v>1407</v>
      </c>
      <c r="Z15" s="10" t="s">
        <v>35</v>
      </c>
      <c r="AA15" s="10" t="s">
        <v>35</v>
      </c>
      <c r="AB15" s="10" t="s">
        <v>1408</v>
      </c>
      <c r="AC15" s="10">
        <v>0</v>
      </c>
      <c r="AD15" s="10">
        <v>0</v>
      </c>
      <c r="AE15" s="10" t="s">
        <v>37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5" t="s">
        <v>1408</v>
      </c>
      <c r="B16" s="19" t="s">
        <v>1422</v>
      </c>
      <c r="C16" s="19" t="s">
        <v>1423</v>
      </c>
      <c r="D16" s="20">
        <v>45630</v>
      </c>
      <c r="E16" s="21">
        <v>374490</v>
      </c>
      <c r="F16" s="19" t="s">
        <v>32</v>
      </c>
      <c r="G16" s="19" t="s">
        <v>33</v>
      </c>
      <c r="H16" s="21">
        <v>374490</v>
      </c>
      <c r="I16" s="21">
        <v>13000</v>
      </c>
      <c r="J16" s="22">
        <f t="shared" si="0"/>
        <v>3.471387754012123</v>
      </c>
      <c r="K16" s="21">
        <v>369098</v>
      </c>
      <c r="L16" s="21">
        <f>H16-340328</f>
        <v>34162</v>
      </c>
      <c r="M16" s="21">
        <v>28770</v>
      </c>
      <c r="N16" s="67">
        <f t="shared" si="1"/>
        <v>7.6824481294560598E-2</v>
      </c>
      <c r="O16" s="23">
        <v>70</v>
      </c>
      <c r="P16" s="24">
        <v>120</v>
      </c>
      <c r="Q16" s="25">
        <v>0.193</v>
      </c>
      <c r="R16" s="25">
        <v>0.193</v>
      </c>
      <c r="S16" s="21">
        <f t="shared" si="2"/>
        <v>488.02857142857141</v>
      </c>
      <c r="T16" s="21">
        <f t="shared" si="3"/>
        <v>177005.18134715027</v>
      </c>
      <c r="U16" s="26">
        <f t="shared" si="4"/>
        <v>4.0634798289061127</v>
      </c>
      <c r="V16" s="25">
        <v>70</v>
      </c>
      <c r="W16" s="25">
        <f t="shared" si="5"/>
        <v>74898</v>
      </c>
      <c r="X16" s="25">
        <f t="shared" si="6"/>
        <v>1069.9714285714285</v>
      </c>
      <c r="Y16" s="27" t="s">
        <v>1407</v>
      </c>
      <c r="Z16" s="19" t="s">
        <v>35</v>
      </c>
      <c r="AA16" s="19" t="s">
        <v>35</v>
      </c>
      <c r="AB16" s="19" t="s">
        <v>1408</v>
      </c>
      <c r="AC16" s="19">
        <v>0</v>
      </c>
      <c r="AD16" s="19">
        <v>0</v>
      </c>
      <c r="AE16" s="19" t="s">
        <v>37</v>
      </c>
      <c r="AF16" s="19" t="s">
        <v>35</v>
      </c>
      <c r="AG16" s="19" t="s">
        <v>38</v>
      </c>
      <c r="AH16" s="19" t="s">
        <v>92</v>
      </c>
    </row>
    <row r="17" spans="1:34" x14ac:dyDescent="0.3">
      <c r="A17" s="75" t="s">
        <v>1408</v>
      </c>
      <c r="B17" s="19" t="s">
        <v>1446</v>
      </c>
      <c r="C17" s="19" t="s">
        <v>1447</v>
      </c>
      <c r="D17" s="20">
        <v>45428</v>
      </c>
      <c r="E17" s="21">
        <v>368490</v>
      </c>
      <c r="F17" s="19" t="s">
        <v>32</v>
      </c>
      <c r="G17" s="19" t="s">
        <v>33</v>
      </c>
      <c r="H17" s="21">
        <v>368490</v>
      </c>
      <c r="I17" s="21">
        <v>22400</v>
      </c>
      <c r="J17" s="22">
        <f t="shared" si="0"/>
        <v>6.0788623843252187</v>
      </c>
      <c r="K17" s="21">
        <v>362026</v>
      </c>
      <c r="L17" s="21">
        <f>H17-333256</f>
        <v>35234</v>
      </c>
      <c r="M17" s="21">
        <v>28770</v>
      </c>
      <c r="N17" s="67">
        <f t="shared" si="1"/>
        <v>7.8075388748677033E-2</v>
      </c>
      <c r="O17" s="23">
        <v>70</v>
      </c>
      <c r="P17" s="24">
        <v>120</v>
      </c>
      <c r="Q17" s="25">
        <v>0.193</v>
      </c>
      <c r="R17" s="25">
        <v>0.193</v>
      </c>
      <c r="S17" s="21">
        <f t="shared" si="2"/>
        <v>503.34285714285716</v>
      </c>
      <c r="T17" s="21">
        <f t="shared" si="3"/>
        <v>182559.58549222798</v>
      </c>
      <c r="U17" s="26">
        <f t="shared" si="4"/>
        <v>4.1909914024845722</v>
      </c>
      <c r="V17" s="25">
        <v>70</v>
      </c>
      <c r="W17" s="25">
        <f t="shared" si="5"/>
        <v>73698</v>
      </c>
      <c r="X17" s="25">
        <f t="shared" si="6"/>
        <v>1052.8285714285714</v>
      </c>
      <c r="Y17" s="27" t="s">
        <v>1407</v>
      </c>
      <c r="Z17" s="19" t="s">
        <v>35</v>
      </c>
      <c r="AA17" s="19" t="s">
        <v>35</v>
      </c>
      <c r="AB17" s="19" t="s">
        <v>1408</v>
      </c>
      <c r="AC17" s="19">
        <v>0</v>
      </c>
      <c r="AD17" s="19">
        <v>0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5" t="s">
        <v>1408</v>
      </c>
      <c r="B18" s="19" t="s">
        <v>1454</v>
      </c>
      <c r="C18" s="19" t="s">
        <v>1455</v>
      </c>
      <c r="D18" s="20">
        <v>45442</v>
      </c>
      <c r="E18" s="21">
        <v>356990</v>
      </c>
      <c r="F18" s="19" t="s">
        <v>32</v>
      </c>
      <c r="G18" s="19" t="s">
        <v>33</v>
      </c>
      <c r="H18" s="21">
        <v>356990</v>
      </c>
      <c r="I18" s="21">
        <v>19200</v>
      </c>
      <c r="J18" s="22">
        <f t="shared" si="0"/>
        <v>5.3783019132188574</v>
      </c>
      <c r="K18" s="21">
        <v>347388</v>
      </c>
      <c r="L18" s="21">
        <f>H18-304825</f>
        <v>52165</v>
      </c>
      <c r="M18" s="21">
        <v>42563</v>
      </c>
      <c r="N18" s="67">
        <f t="shared" si="1"/>
        <v>0.11922742933975741</v>
      </c>
      <c r="O18" s="23">
        <v>103.55</v>
      </c>
      <c r="P18" s="24">
        <v>134</v>
      </c>
      <c r="Q18" s="25">
        <v>0.27800000000000002</v>
      </c>
      <c r="R18" s="25">
        <v>0.32600000000000001</v>
      </c>
      <c r="S18" s="21">
        <f t="shared" si="2"/>
        <v>503.76629647513278</v>
      </c>
      <c r="T18" s="21">
        <f t="shared" si="3"/>
        <v>187643.88489208632</v>
      </c>
      <c r="U18" s="26">
        <f t="shared" si="4"/>
        <v>4.3077108561085016</v>
      </c>
      <c r="V18" s="25">
        <v>82</v>
      </c>
      <c r="W18" s="25">
        <f t="shared" si="5"/>
        <v>71398</v>
      </c>
      <c r="X18" s="25">
        <f t="shared" si="6"/>
        <v>870.70731707317077</v>
      </c>
      <c r="Y18" s="27" t="s">
        <v>1407</v>
      </c>
      <c r="Z18" s="19" t="s">
        <v>35</v>
      </c>
      <c r="AA18" s="19" t="s">
        <v>35</v>
      </c>
      <c r="AB18" s="19" t="s">
        <v>1408</v>
      </c>
      <c r="AC18" s="19">
        <v>0</v>
      </c>
      <c r="AD18" s="19">
        <v>0</v>
      </c>
      <c r="AE18" s="19" t="s">
        <v>37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1408</v>
      </c>
      <c r="B19" s="10" t="s">
        <v>1409</v>
      </c>
      <c r="C19" s="10" t="s">
        <v>1410</v>
      </c>
      <c r="D19" s="11">
        <v>45546</v>
      </c>
      <c r="E19" s="12">
        <v>403000</v>
      </c>
      <c r="F19" s="10" t="s">
        <v>32</v>
      </c>
      <c r="G19" s="10" t="s">
        <v>33</v>
      </c>
      <c r="H19" s="12">
        <v>403000</v>
      </c>
      <c r="I19" s="12">
        <v>188200</v>
      </c>
      <c r="J19" s="13">
        <f t="shared" si="0"/>
        <v>46.699751861042181</v>
      </c>
      <c r="K19" s="12">
        <v>394904</v>
      </c>
      <c r="L19" s="12">
        <f>H19-363494</f>
        <v>39506</v>
      </c>
      <c r="M19" s="12">
        <v>31410</v>
      </c>
      <c r="N19" s="66">
        <f t="shared" si="1"/>
        <v>7.7940446650124076E-2</v>
      </c>
      <c r="O19" s="14">
        <v>76.42</v>
      </c>
      <c r="P19" s="15">
        <v>123.5</v>
      </c>
      <c r="Q19" s="16">
        <v>0.21299999999999999</v>
      </c>
      <c r="R19" s="16">
        <v>0.21299999999999999</v>
      </c>
      <c r="S19" s="12">
        <f t="shared" si="2"/>
        <v>516.95891127976972</v>
      </c>
      <c r="T19" s="12">
        <f t="shared" si="3"/>
        <v>185474.17840375588</v>
      </c>
      <c r="U19" s="17">
        <f t="shared" si="4"/>
        <v>4.2579012489383814</v>
      </c>
      <c r="V19" s="16">
        <v>76</v>
      </c>
      <c r="W19" s="16">
        <f t="shared" si="5"/>
        <v>80600</v>
      </c>
      <c r="X19" s="16">
        <f t="shared" si="6"/>
        <v>1060.5263157894738</v>
      </c>
      <c r="Y19" s="18" t="s">
        <v>1407</v>
      </c>
      <c r="Z19" s="10" t="s">
        <v>35</v>
      </c>
      <c r="AA19" s="10" t="s">
        <v>35</v>
      </c>
      <c r="AB19" s="10" t="s">
        <v>1408</v>
      </c>
      <c r="AC19" s="10">
        <v>0</v>
      </c>
      <c r="AD19" s="10">
        <v>1</v>
      </c>
      <c r="AE19" s="10" t="s">
        <v>1411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5" t="s">
        <v>1408</v>
      </c>
      <c r="B20" s="19" t="s">
        <v>1472</v>
      </c>
      <c r="C20" s="19" t="s">
        <v>1473</v>
      </c>
      <c r="D20" s="20">
        <v>45657</v>
      </c>
      <c r="E20" s="21">
        <v>345990</v>
      </c>
      <c r="F20" s="19" t="s">
        <v>32</v>
      </c>
      <c r="G20" s="19" t="s">
        <v>33</v>
      </c>
      <c r="H20" s="21">
        <v>345990</v>
      </c>
      <c r="I20" s="21">
        <v>13000</v>
      </c>
      <c r="J20" s="22">
        <f t="shared" si="0"/>
        <v>3.7573340269949997</v>
      </c>
      <c r="K20" s="21">
        <v>338436</v>
      </c>
      <c r="L20" s="21">
        <f>H20-309666</f>
        <v>36324</v>
      </c>
      <c r="M20" s="21">
        <v>28770</v>
      </c>
      <c r="N20" s="67">
        <f t="shared" si="1"/>
        <v>8.3152692274343187E-2</v>
      </c>
      <c r="O20" s="23">
        <v>70</v>
      </c>
      <c r="P20" s="24">
        <v>120</v>
      </c>
      <c r="Q20" s="25">
        <v>0.193</v>
      </c>
      <c r="R20" s="25">
        <v>0.193</v>
      </c>
      <c r="S20" s="21">
        <f t="shared" si="2"/>
        <v>518.91428571428571</v>
      </c>
      <c r="T20" s="21">
        <f t="shared" si="3"/>
        <v>188207.25388601035</v>
      </c>
      <c r="U20" s="26">
        <f t="shared" si="4"/>
        <v>4.3206440286044616</v>
      </c>
      <c r="V20" s="25">
        <v>70</v>
      </c>
      <c r="W20" s="25">
        <f t="shared" si="5"/>
        <v>69198</v>
      </c>
      <c r="X20" s="25">
        <f t="shared" si="6"/>
        <v>988.54285714285709</v>
      </c>
      <c r="Y20" s="27" t="s">
        <v>1407</v>
      </c>
      <c r="Z20" s="19" t="s">
        <v>35</v>
      </c>
      <c r="AA20" s="19" t="s">
        <v>35</v>
      </c>
      <c r="AB20" s="19" t="s">
        <v>1408</v>
      </c>
      <c r="AC20" s="19">
        <v>0</v>
      </c>
      <c r="AD20" s="19">
        <v>0</v>
      </c>
      <c r="AE20" s="19" t="s">
        <v>37</v>
      </c>
      <c r="AF20" s="19" t="s">
        <v>35</v>
      </c>
      <c r="AG20" s="19" t="s">
        <v>38</v>
      </c>
      <c r="AH20" s="19" t="s">
        <v>92</v>
      </c>
    </row>
    <row r="21" spans="1:34" x14ac:dyDescent="0.3">
      <c r="A21" s="75" t="s">
        <v>1408</v>
      </c>
      <c r="B21" s="19" t="s">
        <v>1416</v>
      </c>
      <c r="C21" s="19" t="s">
        <v>1417</v>
      </c>
      <c r="D21" s="20">
        <v>45058</v>
      </c>
      <c r="E21" s="21">
        <v>319990</v>
      </c>
      <c r="F21" s="19" t="s">
        <v>32</v>
      </c>
      <c r="G21" s="19" t="s">
        <v>33</v>
      </c>
      <c r="H21" s="21">
        <v>319990</v>
      </c>
      <c r="I21" s="21">
        <v>65200</v>
      </c>
      <c r="J21" s="22">
        <f t="shared" si="0"/>
        <v>20.375636738648083</v>
      </c>
      <c r="K21" s="21">
        <v>310337</v>
      </c>
      <c r="L21" s="21">
        <f>H21-281567</f>
        <v>38423</v>
      </c>
      <c r="M21" s="21">
        <v>28770</v>
      </c>
      <c r="N21" s="67">
        <f t="shared" si="1"/>
        <v>8.9909059658114313E-2</v>
      </c>
      <c r="O21" s="23">
        <v>70</v>
      </c>
      <c r="P21" s="24">
        <v>120</v>
      </c>
      <c r="Q21" s="25">
        <v>0.193</v>
      </c>
      <c r="R21" s="25">
        <v>0.193</v>
      </c>
      <c r="S21" s="21">
        <f t="shared" si="2"/>
        <v>548.9</v>
      </c>
      <c r="T21" s="21">
        <f t="shared" si="3"/>
        <v>199082.90155440415</v>
      </c>
      <c r="U21" s="26">
        <f t="shared" si="4"/>
        <v>4.5703145444078084</v>
      </c>
      <c r="V21" s="25">
        <v>70</v>
      </c>
      <c r="W21" s="25">
        <f t="shared" si="5"/>
        <v>63998</v>
      </c>
      <c r="X21" s="25">
        <f t="shared" si="6"/>
        <v>914.25714285714287</v>
      </c>
      <c r="Y21" s="27" t="s">
        <v>1407</v>
      </c>
      <c r="Z21" s="19" t="s">
        <v>35</v>
      </c>
      <c r="AA21" s="19" t="s">
        <v>35</v>
      </c>
      <c r="AB21" s="19" t="s">
        <v>1408</v>
      </c>
      <c r="AC21" s="19">
        <v>0</v>
      </c>
      <c r="AD21" s="19">
        <v>0</v>
      </c>
      <c r="AE21" s="19" t="s">
        <v>37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4" t="s">
        <v>1408</v>
      </c>
      <c r="B22" s="10" t="s">
        <v>1420</v>
      </c>
      <c r="C22" s="10" t="s">
        <v>1421</v>
      </c>
      <c r="D22" s="11">
        <v>45065</v>
      </c>
      <c r="E22" s="12">
        <v>319990</v>
      </c>
      <c r="F22" s="10" t="s">
        <v>32</v>
      </c>
      <c r="G22" s="10" t="s">
        <v>33</v>
      </c>
      <c r="H22" s="12">
        <v>319990</v>
      </c>
      <c r="I22" s="12">
        <v>61500</v>
      </c>
      <c r="J22" s="13">
        <f t="shared" si="0"/>
        <v>19.219350604706399</v>
      </c>
      <c r="K22" s="12">
        <v>310028</v>
      </c>
      <c r="L22" s="12">
        <f>H22-281258</f>
        <v>38732</v>
      </c>
      <c r="M22" s="12">
        <v>28770</v>
      </c>
      <c r="N22" s="66">
        <f t="shared" si="1"/>
        <v>8.9909059658114313E-2</v>
      </c>
      <c r="O22" s="14">
        <v>70</v>
      </c>
      <c r="P22" s="15">
        <v>120</v>
      </c>
      <c r="Q22" s="16">
        <v>0.193</v>
      </c>
      <c r="R22" s="16">
        <v>0.193</v>
      </c>
      <c r="S22" s="12">
        <f t="shared" si="2"/>
        <v>553.31428571428569</v>
      </c>
      <c r="T22" s="12">
        <f t="shared" si="3"/>
        <v>200683.93782383419</v>
      </c>
      <c r="U22" s="17">
        <f t="shared" si="4"/>
        <v>4.6070692797023458</v>
      </c>
      <c r="V22" s="16">
        <v>70</v>
      </c>
      <c r="W22" s="16">
        <f t="shared" si="5"/>
        <v>63998</v>
      </c>
      <c r="X22" s="16">
        <f t="shared" si="6"/>
        <v>914.25714285714287</v>
      </c>
      <c r="Y22" s="18" t="s">
        <v>1407</v>
      </c>
      <c r="Z22" s="10" t="s">
        <v>35</v>
      </c>
      <c r="AA22" s="10" t="s">
        <v>35</v>
      </c>
      <c r="AB22" s="10" t="s">
        <v>1408</v>
      </c>
      <c r="AC22" s="10">
        <v>0</v>
      </c>
      <c r="AD22" s="10">
        <v>0</v>
      </c>
      <c r="AE22" s="10" t="s">
        <v>37</v>
      </c>
      <c r="AF22" s="10" t="s">
        <v>43</v>
      </c>
      <c r="AG22" s="10" t="s">
        <v>38</v>
      </c>
      <c r="AH22" s="10" t="s">
        <v>92</v>
      </c>
    </row>
    <row r="23" spans="1:34" x14ac:dyDescent="0.3">
      <c r="A23" s="74" t="s">
        <v>1408</v>
      </c>
      <c r="B23" s="10" t="s">
        <v>1442</v>
      </c>
      <c r="C23" s="10" t="s">
        <v>1443</v>
      </c>
      <c r="D23" s="11">
        <v>45415</v>
      </c>
      <c r="E23" s="12">
        <v>375490</v>
      </c>
      <c r="F23" s="10" t="s">
        <v>32</v>
      </c>
      <c r="G23" s="10" t="s">
        <v>33</v>
      </c>
      <c r="H23" s="12">
        <v>375490</v>
      </c>
      <c r="I23" s="12">
        <v>27200</v>
      </c>
      <c r="J23" s="13">
        <f t="shared" si="0"/>
        <v>7.2438680124637136</v>
      </c>
      <c r="K23" s="12">
        <v>365342</v>
      </c>
      <c r="L23" s="12">
        <f>H23-338216</f>
        <v>37274</v>
      </c>
      <c r="M23" s="12">
        <v>27126</v>
      </c>
      <c r="N23" s="66">
        <f t="shared" si="1"/>
        <v>7.2241604303709822E-2</v>
      </c>
      <c r="O23" s="14">
        <v>66</v>
      </c>
      <c r="P23" s="15">
        <v>120</v>
      </c>
      <c r="Q23" s="16">
        <v>0.185</v>
      </c>
      <c r="R23" s="16">
        <v>0.185</v>
      </c>
      <c r="S23" s="12">
        <f t="shared" si="2"/>
        <v>564.75757575757575</v>
      </c>
      <c r="T23" s="12">
        <f t="shared" si="3"/>
        <v>201481.08108108109</v>
      </c>
      <c r="U23" s="17">
        <f t="shared" si="4"/>
        <v>4.625369170823717</v>
      </c>
      <c r="V23" s="16">
        <v>64</v>
      </c>
      <c r="W23" s="16">
        <f t="shared" si="5"/>
        <v>75098</v>
      </c>
      <c r="X23" s="16">
        <f t="shared" si="6"/>
        <v>1173.40625</v>
      </c>
      <c r="Y23" s="18" t="s">
        <v>1407</v>
      </c>
      <c r="Z23" s="10" t="s">
        <v>35</v>
      </c>
      <c r="AA23" s="10" t="s">
        <v>35</v>
      </c>
      <c r="AB23" s="10" t="s">
        <v>1408</v>
      </c>
      <c r="AC23" s="10">
        <v>0</v>
      </c>
      <c r="AD23" s="10">
        <v>0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4" t="s">
        <v>1408</v>
      </c>
      <c r="B24" s="10" t="s">
        <v>1476</v>
      </c>
      <c r="C24" s="10" t="s">
        <v>1477</v>
      </c>
      <c r="D24" s="11">
        <v>45590</v>
      </c>
      <c r="E24" s="12">
        <v>344880</v>
      </c>
      <c r="F24" s="10" t="s">
        <v>32</v>
      </c>
      <c r="G24" s="10" t="s">
        <v>33</v>
      </c>
      <c r="H24" s="12">
        <v>344880</v>
      </c>
      <c r="I24" s="12">
        <v>13000</v>
      </c>
      <c r="J24" s="13">
        <f t="shared" si="0"/>
        <v>3.7694270470888429</v>
      </c>
      <c r="K24" s="12">
        <v>333844</v>
      </c>
      <c r="L24" s="12">
        <f>H24-305074</f>
        <v>39806</v>
      </c>
      <c r="M24" s="12">
        <v>28770</v>
      </c>
      <c r="N24" s="66">
        <f t="shared" si="1"/>
        <v>8.342032011134308E-2</v>
      </c>
      <c r="O24" s="14">
        <v>70</v>
      </c>
      <c r="P24" s="15">
        <v>120</v>
      </c>
      <c r="Q24" s="16">
        <v>0.193</v>
      </c>
      <c r="R24" s="16">
        <v>0.193</v>
      </c>
      <c r="S24" s="12">
        <f t="shared" si="2"/>
        <v>568.65714285714284</v>
      </c>
      <c r="T24" s="12">
        <f t="shared" si="3"/>
        <v>206248.70466321244</v>
      </c>
      <c r="U24" s="17">
        <f t="shared" si="4"/>
        <v>4.7348187480076316</v>
      </c>
      <c r="V24" s="16">
        <v>70</v>
      </c>
      <c r="W24" s="16">
        <f t="shared" si="5"/>
        <v>68976</v>
      </c>
      <c r="X24" s="16">
        <f t="shared" si="6"/>
        <v>985.37142857142862</v>
      </c>
      <c r="Y24" s="18" t="s">
        <v>1407</v>
      </c>
      <c r="Z24" s="10" t="s">
        <v>35</v>
      </c>
      <c r="AA24" s="10" t="s">
        <v>35</v>
      </c>
      <c r="AB24" s="10" t="s">
        <v>1408</v>
      </c>
      <c r="AC24" s="10">
        <v>0</v>
      </c>
      <c r="AD24" s="10">
        <v>0</v>
      </c>
      <c r="AE24" s="10" t="s">
        <v>37</v>
      </c>
      <c r="AF24" s="10" t="s">
        <v>35</v>
      </c>
      <c r="AG24" s="10" t="s">
        <v>38</v>
      </c>
      <c r="AH24" s="10" t="s">
        <v>92</v>
      </c>
    </row>
    <row r="25" spans="1:34" x14ac:dyDescent="0.3">
      <c r="A25" s="74" t="s">
        <v>1408</v>
      </c>
      <c r="B25" s="10" t="s">
        <v>1428</v>
      </c>
      <c r="C25" s="10" t="s">
        <v>1429</v>
      </c>
      <c r="D25" s="11">
        <v>45042</v>
      </c>
      <c r="E25" s="12">
        <v>317990</v>
      </c>
      <c r="F25" s="10" t="s">
        <v>32</v>
      </c>
      <c r="G25" s="10" t="s">
        <v>33</v>
      </c>
      <c r="H25" s="12">
        <v>317990</v>
      </c>
      <c r="I25" s="12">
        <v>109800</v>
      </c>
      <c r="J25" s="13">
        <f t="shared" si="0"/>
        <v>34.529387716594862</v>
      </c>
      <c r="K25" s="12">
        <v>306268</v>
      </c>
      <c r="L25" s="12">
        <f>H25-277498</f>
        <v>40492</v>
      </c>
      <c r="M25" s="12">
        <v>28770</v>
      </c>
      <c r="N25" s="66">
        <f t="shared" si="1"/>
        <v>9.0474543224629708E-2</v>
      </c>
      <c r="O25" s="14">
        <v>70</v>
      </c>
      <c r="P25" s="15">
        <v>120</v>
      </c>
      <c r="Q25" s="16">
        <v>0.193</v>
      </c>
      <c r="R25" s="16">
        <v>0.193</v>
      </c>
      <c r="S25" s="12">
        <f t="shared" si="2"/>
        <v>578.45714285714291</v>
      </c>
      <c r="T25" s="12">
        <f t="shared" si="3"/>
        <v>209803.10880829016</v>
      </c>
      <c r="U25" s="17">
        <f t="shared" si="4"/>
        <v>4.8164166393087733</v>
      </c>
      <c r="V25" s="16">
        <v>70</v>
      </c>
      <c r="W25" s="16">
        <f t="shared" si="5"/>
        <v>63598</v>
      </c>
      <c r="X25" s="16">
        <f t="shared" si="6"/>
        <v>908.54285714285709</v>
      </c>
      <c r="Y25" s="18" t="s">
        <v>1407</v>
      </c>
      <c r="Z25" s="10" t="s">
        <v>35</v>
      </c>
      <c r="AA25" s="10" t="s">
        <v>35</v>
      </c>
      <c r="AB25" s="10" t="s">
        <v>1408</v>
      </c>
      <c r="AC25" s="10">
        <v>0</v>
      </c>
      <c r="AD25" s="10">
        <v>0</v>
      </c>
      <c r="AE25" s="10" t="s">
        <v>37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4" t="s">
        <v>1408</v>
      </c>
      <c r="B26" s="10" t="s">
        <v>1482</v>
      </c>
      <c r="C26" s="10" t="s">
        <v>1483</v>
      </c>
      <c r="D26" s="11">
        <v>45583</v>
      </c>
      <c r="E26" s="12">
        <v>335990</v>
      </c>
      <c r="F26" s="10" t="s">
        <v>32</v>
      </c>
      <c r="G26" s="10" t="s">
        <v>33</v>
      </c>
      <c r="H26" s="12">
        <v>335990</v>
      </c>
      <c r="I26" s="12">
        <v>13000</v>
      </c>
      <c r="J26" s="13">
        <f t="shared" si="0"/>
        <v>3.8691627727015683</v>
      </c>
      <c r="K26" s="12">
        <v>322930</v>
      </c>
      <c r="L26" s="12">
        <f>H26-294160</f>
        <v>41830</v>
      </c>
      <c r="M26" s="12">
        <v>28770</v>
      </c>
      <c r="N26" s="66">
        <f t="shared" si="1"/>
        <v>8.5627548438941631E-2</v>
      </c>
      <c r="O26" s="14">
        <v>70</v>
      </c>
      <c r="P26" s="15">
        <v>120</v>
      </c>
      <c r="Q26" s="16">
        <v>0.193</v>
      </c>
      <c r="R26" s="16">
        <v>0.193</v>
      </c>
      <c r="S26" s="12">
        <f t="shared" si="2"/>
        <v>597.57142857142856</v>
      </c>
      <c r="T26" s="12">
        <f t="shared" si="3"/>
        <v>216735.75129533678</v>
      </c>
      <c r="U26" s="17">
        <f t="shared" si="4"/>
        <v>4.9755682115550224</v>
      </c>
      <c r="V26" s="16">
        <v>70</v>
      </c>
      <c r="W26" s="16">
        <f t="shared" si="5"/>
        <v>67198</v>
      </c>
      <c r="X26" s="16">
        <f t="shared" si="6"/>
        <v>959.97142857142853</v>
      </c>
      <c r="Y26" s="18" t="s">
        <v>1407</v>
      </c>
      <c r="Z26" s="10" t="s">
        <v>35</v>
      </c>
      <c r="AA26" s="10" t="s">
        <v>35</v>
      </c>
      <c r="AB26" s="10" t="s">
        <v>1408</v>
      </c>
      <c r="AC26" s="10">
        <v>0</v>
      </c>
      <c r="AD26" s="10">
        <v>0</v>
      </c>
      <c r="AE26" s="10" t="s">
        <v>37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4" t="s">
        <v>1408</v>
      </c>
      <c r="B27" s="10" t="s">
        <v>1450</v>
      </c>
      <c r="C27" s="10" t="s">
        <v>1451</v>
      </c>
      <c r="D27" s="11">
        <v>45408</v>
      </c>
      <c r="E27" s="12">
        <v>374990</v>
      </c>
      <c r="F27" s="10" t="s">
        <v>32</v>
      </c>
      <c r="G27" s="10" t="s">
        <v>33</v>
      </c>
      <c r="H27" s="12">
        <v>374990</v>
      </c>
      <c r="I27" s="12">
        <v>25900</v>
      </c>
      <c r="J27" s="13">
        <f t="shared" si="0"/>
        <v>6.9068508493559833</v>
      </c>
      <c r="K27" s="12">
        <v>361579</v>
      </c>
      <c r="L27" s="12">
        <f>H27-332809</f>
        <v>42181</v>
      </c>
      <c r="M27" s="12">
        <v>28770</v>
      </c>
      <c r="N27" s="66">
        <f t="shared" si="1"/>
        <v>7.6722045921224571E-2</v>
      </c>
      <c r="O27" s="14">
        <v>70</v>
      </c>
      <c r="P27" s="15">
        <v>120</v>
      </c>
      <c r="Q27" s="16">
        <v>0.193</v>
      </c>
      <c r="R27" s="16">
        <v>0.193</v>
      </c>
      <c r="S27" s="12">
        <f t="shared" si="2"/>
        <v>602.58571428571429</v>
      </c>
      <c r="T27" s="12">
        <f t="shared" si="3"/>
        <v>218554.40414507771</v>
      </c>
      <c r="U27" s="17">
        <f t="shared" si="4"/>
        <v>5.0173187361128955</v>
      </c>
      <c r="V27" s="16">
        <v>70</v>
      </c>
      <c r="W27" s="16">
        <f t="shared" si="5"/>
        <v>74998</v>
      </c>
      <c r="X27" s="16">
        <f t="shared" si="6"/>
        <v>1071.4000000000001</v>
      </c>
      <c r="Y27" s="18" t="s">
        <v>1407</v>
      </c>
      <c r="Z27" s="10" t="s">
        <v>35</v>
      </c>
      <c r="AA27" s="10" t="s">
        <v>35</v>
      </c>
      <c r="AB27" s="10" t="s">
        <v>1408</v>
      </c>
      <c r="AC27" s="10">
        <v>0</v>
      </c>
      <c r="AD27" s="10">
        <v>0</v>
      </c>
      <c r="AE27" s="10" t="s">
        <v>37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4" t="s">
        <v>1408</v>
      </c>
      <c r="B28" s="10" t="s">
        <v>1458</v>
      </c>
      <c r="C28" s="10" t="s">
        <v>1459</v>
      </c>
      <c r="D28" s="11">
        <v>45408</v>
      </c>
      <c r="E28" s="12">
        <v>337990</v>
      </c>
      <c r="F28" s="10" t="s">
        <v>32</v>
      </c>
      <c r="G28" s="10" t="s">
        <v>33</v>
      </c>
      <c r="H28" s="12">
        <v>337990</v>
      </c>
      <c r="I28" s="12">
        <v>25300</v>
      </c>
      <c r="J28" s="13">
        <f t="shared" si="0"/>
        <v>7.4854285629752351</v>
      </c>
      <c r="K28" s="12">
        <v>318373</v>
      </c>
      <c r="L28" s="12">
        <f>H28-283027</f>
        <v>54963</v>
      </c>
      <c r="M28" s="12">
        <v>35346</v>
      </c>
      <c r="N28" s="66">
        <f t="shared" si="1"/>
        <v>0.10457705849285481</v>
      </c>
      <c r="O28" s="14">
        <v>86</v>
      </c>
      <c r="P28" s="15">
        <v>120</v>
      </c>
      <c r="Q28" s="16">
        <v>0.24</v>
      </c>
      <c r="R28" s="16">
        <v>0.24</v>
      </c>
      <c r="S28" s="12">
        <f t="shared" si="2"/>
        <v>639.10465116279067</v>
      </c>
      <c r="T28" s="12">
        <f t="shared" si="3"/>
        <v>229012.5</v>
      </c>
      <c r="U28" s="17">
        <f t="shared" si="4"/>
        <v>5.2574035812672175</v>
      </c>
      <c r="V28" s="16">
        <v>84</v>
      </c>
      <c r="W28" s="16">
        <f t="shared" si="5"/>
        <v>67598</v>
      </c>
      <c r="X28" s="16">
        <f t="shared" si="6"/>
        <v>804.73809523809518</v>
      </c>
      <c r="Y28" s="18" t="s">
        <v>1407</v>
      </c>
      <c r="Z28" s="10" t="s">
        <v>35</v>
      </c>
      <c r="AA28" s="10" t="s">
        <v>35</v>
      </c>
      <c r="AB28" s="10" t="s">
        <v>1408</v>
      </c>
      <c r="AC28" s="10">
        <v>0</v>
      </c>
      <c r="AD28" s="10">
        <v>0</v>
      </c>
      <c r="AE28" s="10" t="s">
        <v>37</v>
      </c>
      <c r="AF28" s="10" t="s">
        <v>43</v>
      </c>
      <c r="AG28" s="10" t="s">
        <v>38</v>
      </c>
      <c r="AH28" s="10" t="s">
        <v>92</v>
      </c>
    </row>
    <row r="29" spans="1:34" x14ac:dyDescent="0.3">
      <c r="A29" s="74" t="s">
        <v>1408</v>
      </c>
      <c r="B29" s="10" t="s">
        <v>1498</v>
      </c>
      <c r="C29" s="10" t="s">
        <v>1499</v>
      </c>
      <c r="D29" s="11">
        <v>45408</v>
      </c>
      <c r="E29" s="12">
        <v>328490</v>
      </c>
      <c r="F29" s="10" t="s">
        <v>32</v>
      </c>
      <c r="G29" s="10" t="s">
        <v>33</v>
      </c>
      <c r="H29" s="12">
        <v>328490</v>
      </c>
      <c r="I29" s="12">
        <v>67000</v>
      </c>
      <c r="J29" s="13">
        <f t="shared" si="0"/>
        <v>20.396359097689427</v>
      </c>
      <c r="K29" s="12">
        <v>311798</v>
      </c>
      <c r="L29" s="12">
        <f>H29-281932</f>
        <v>46558</v>
      </c>
      <c r="M29" s="12">
        <v>29866</v>
      </c>
      <c r="N29" s="66">
        <f t="shared" si="1"/>
        <v>9.0919053852476478E-2</v>
      </c>
      <c r="O29" s="14">
        <v>72.66</v>
      </c>
      <c r="P29" s="15">
        <v>120</v>
      </c>
      <c r="Q29" s="16">
        <v>0.21299999999999999</v>
      </c>
      <c r="R29" s="16">
        <v>0.21299999999999999</v>
      </c>
      <c r="S29" s="12">
        <f t="shared" si="2"/>
        <v>640.76520781723093</v>
      </c>
      <c r="T29" s="12">
        <f t="shared" si="3"/>
        <v>218582.15962441315</v>
      </c>
      <c r="U29" s="17">
        <f t="shared" si="4"/>
        <v>5.0179559142427266</v>
      </c>
      <c r="V29" s="16">
        <v>63</v>
      </c>
      <c r="W29" s="16">
        <f t="shared" si="5"/>
        <v>65698</v>
      </c>
      <c r="X29" s="16">
        <f t="shared" si="6"/>
        <v>1042.8253968253969</v>
      </c>
      <c r="Y29" s="18" t="s">
        <v>1407</v>
      </c>
      <c r="Z29" s="10" t="s">
        <v>35</v>
      </c>
      <c r="AA29" s="10" t="s">
        <v>35</v>
      </c>
      <c r="AB29" s="10" t="s">
        <v>1408</v>
      </c>
      <c r="AC29" s="10">
        <v>0</v>
      </c>
      <c r="AD29" s="10">
        <v>0</v>
      </c>
      <c r="AE29" s="10" t="s">
        <v>37</v>
      </c>
      <c r="AF29" s="10" t="s">
        <v>43</v>
      </c>
      <c r="AG29" s="10" t="s">
        <v>38</v>
      </c>
      <c r="AH29" s="10" t="s">
        <v>92</v>
      </c>
    </row>
    <row r="30" spans="1:34" x14ac:dyDescent="0.3">
      <c r="A30" s="74" t="s">
        <v>1408</v>
      </c>
      <c r="B30" s="10" t="s">
        <v>1509</v>
      </c>
      <c r="C30" s="10" t="s">
        <v>1510</v>
      </c>
      <c r="D30" s="11">
        <v>45236</v>
      </c>
      <c r="E30" s="12">
        <v>324490</v>
      </c>
      <c r="F30" s="10" t="s">
        <v>32</v>
      </c>
      <c r="G30" s="10" t="s">
        <v>33</v>
      </c>
      <c r="H30" s="12">
        <v>324490</v>
      </c>
      <c r="I30" s="12">
        <v>60900</v>
      </c>
      <c r="J30" s="13">
        <f t="shared" si="0"/>
        <v>18.767912724583191</v>
      </c>
      <c r="K30" s="12">
        <v>305382</v>
      </c>
      <c r="L30" s="12">
        <f>H30-274831</f>
        <v>49659</v>
      </c>
      <c r="M30" s="12">
        <v>30551</v>
      </c>
      <c r="N30" s="66">
        <f t="shared" si="1"/>
        <v>9.4150821288791639E-2</v>
      </c>
      <c r="O30" s="14">
        <v>74.33</v>
      </c>
      <c r="P30" s="15">
        <v>120</v>
      </c>
      <c r="Q30" s="16">
        <v>0.219</v>
      </c>
      <c r="R30" s="16">
        <v>0.219</v>
      </c>
      <c r="S30" s="12">
        <f t="shared" si="2"/>
        <v>668.08825507870313</v>
      </c>
      <c r="T30" s="12">
        <f t="shared" si="3"/>
        <v>226753.42465753425</v>
      </c>
      <c r="U30" s="17">
        <f t="shared" si="4"/>
        <v>5.2055423475099687</v>
      </c>
      <c r="V30" s="16">
        <v>64</v>
      </c>
      <c r="W30" s="16">
        <f t="shared" si="5"/>
        <v>64898</v>
      </c>
      <c r="X30" s="16">
        <f t="shared" si="6"/>
        <v>1014.03125</v>
      </c>
      <c r="Y30" s="18" t="s">
        <v>1407</v>
      </c>
      <c r="Z30" s="10" t="s">
        <v>35</v>
      </c>
      <c r="AA30" s="10" t="s">
        <v>35</v>
      </c>
      <c r="AB30" s="10" t="s">
        <v>1408</v>
      </c>
      <c r="AC30" s="10">
        <v>0</v>
      </c>
      <c r="AD30" s="10">
        <v>0</v>
      </c>
      <c r="AE30" s="10" t="s">
        <v>37</v>
      </c>
      <c r="AF30" s="10" t="s">
        <v>43</v>
      </c>
      <c r="AG30" s="10" t="s">
        <v>38</v>
      </c>
      <c r="AH30" s="10" t="s">
        <v>92</v>
      </c>
    </row>
    <row r="31" spans="1:34" x14ac:dyDescent="0.3">
      <c r="A31" s="75" t="s">
        <v>1408</v>
      </c>
      <c r="B31" s="19" t="s">
        <v>1504</v>
      </c>
      <c r="C31" s="19" t="s">
        <v>1505</v>
      </c>
      <c r="D31" s="20">
        <v>45457</v>
      </c>
      <c r="E31" s="21">
        <v>410000</v>
      </c>
      <c r="F31" s="19" t="s">
        <v>81</v>
      </c>
      <c r="G31" s="19" t="s">
        <v>33</v>
      </c>
      <c r="H31" s="21">
        <v>410000</v>
      </c>
      <c r="I31" s="21">
        <v>184000</v>
      </c>
      <c r="J31" s="22">
        <f t="shared" si="0"/>
        <v>44.878048780487809</v>
      </c>
      <c r="K31" s="21">
        <v>390565</v>
      </c>
      <c r="L31" s="21">
        <f>H31-360575</f>
        <v>49425</v>
      </c>
      <c r="M31" s="21">
        <v>29990</v>
      </c>
      <c r="N31" s="67">
        <f t="shared" si="1"/>
        <v>7.314634146341463E-2</v>
      </c>
      <c r="O31" s="23">
        <v>72.959999999999994</v>
      </c>
      <c r="P31" s="24">
        <v>121</v>
      </c>
      <c r="Q31" s="25">
        <v>0.21299999999999999</v>
      </c>
      <c r="R31" s="25">
        <v>0.21299999999999999</v>
      </c>
      <c r="S31" s="21">
        <f t="shared" si="2"/>
        <v>677.42598684210532</v>
      </c>
      <c r="T31" s="21">
        <f t="shared" si="3"/>
        <v>232042.25352112675</v>
      </c>
      <c r="U31" s="26">
        <f t="shared" si="4"/>
        <v>5.3269571515410181</v>
      </c>
      <c r="V31" s="25">
        <v>65</v>
      </c>
      <c r="W31" s="25">
        <f t="shared" si="5"/>
        <v>82000</v>
      </c>
      <c r="X31" s="25">
        <f t="shared" si="6"/>
        <v>1261.5384615384614</v>
      </c>
      <c r="Y31" s="27" t="s">
        <v>1407</v>
      </c>
      <c r="Z31" s="19" t="s">
        <v>35</v>
      </c>
      <c r="AA31" s="19" t="s">
        <v>35</v>
      </c>
      <c r="AB31" s="19" t="s">
        <v>1408</v>
      </c>
      <c r="AC31" s="19">
        <v>0</v>
      </c>
      <c r="AD31" s="19">
        <v>0</v>
      </c>
      <c r="AE31" s="19" t="s">
        <v>1506</v>
      </c>
      <c r="AF31" s="19" t="s">
        <v>43</v>
      </c>
      <c r="AG31" s="19" t="s">
        <v>38</v>
      </c>
      <c r="AH31" s="19" t="s">
        <v>92</v>
      </c>
    </row>
    <row r="32" spans="1:34" x14ac:dyDescent="0.3">
      <c r="A32" s="74" t="s">
        <v>1408</v>
      </c>
      <c r="B32" s="10" t="s">
        <v>1492</v>
      </c>
      <c r="C32" s="10" t="s">
        <v>1493</v>
      </c>
      <c r="D32" s="11">
        <v>45590</v>
      </c>
      <c r="E32" s="12">
        <v>360880</v>
      </c>
      <c r="F32" s="10" t="s">
        <v>32</v>
      </c>
      <c r="G32" s="10" t="s">
        <v>33</v>
      </c>
      <c r="H32" s="12">
        <v>360880</v>
      </c>
      <c r="I32" s="12">
        <v>13000</v>
      </c>
      <c r="J32" s="13">
        <f t="shared" si="0"/>
        <v>3.6023054755043229</v>
      </c>
      <c r="K32" s="12">
        <v>341382</v>
      </c>
      <c r="L32" s="12">
        <f>H32-312612</f>
        <v>48268</v>
      </c>
      <c r="M32" s="12">
        <v>28770</v>
      </c>
      <c r="N32" s="66">
        <f t="shared" si="1"/>
        <v>7.9721791177122595E-2</v>
      </c>
      <c r="O32" s="14">
        <v>70</v>
      </c>
      <c r="P32" s="15">
        <v>120</v>
      </c>
      <c r="Q32" s="16">
        <v>0.193</v>
      </c>
      <c r="R32" s="16">
        <v>0.193</v>
      </c>
      <c r="S32" s="12">
        <f t="shared" si="2"/>
        <v>689.54285714285709</v>
      </c>
      <c r="T32" s="12">
        <f t="shared" si="3"/>
        <v>250093.26424870465</v>
      </c>
      <c r="U32" s="17">
        <f t="shared" si="4"/>
        <v>5.7413513372062592</v>
      </c>
      <c r="V32" s="16">
        <v>70</v>
      </c>
      <c r="W32" s="16">
        <f t="shared" si="5"/>
        <v>72176</v>
      </c>
      <c r="X32" s="16">
        <f t="shared" si="6"/>
        <v>1031.0857142857142</v>
      </c>
      <c r="Y32" s="18" t="s">
        <v>1407</v>
      </c>
      <c r="Z32" s="10" t="s">
        <v>35</v>
      </c>
      <c r="AA32" s="10" t="s">
        <v>35</v>
      </c>
      <c r="AB32" s="10" t="s">
        <v>1408</v>
      </c>
      <c r="AC32" s="10">
        <v>0</v>
      </c>
      <c r="AD32" s="10">
        <v>0</v>
      </c>
      <c r="AE32" s="10" t="s">
        <v>37</v>
      </c>
      <c r="AF32" s="10" t="s">
        <v>35</v>
      </c>
      <c r="AG32" s="10" t="s">
        <v>38</v>
      </c>
      <c r="AH32" s="10" t="s">
        <v>92</v>
      </c>
    </row>
    <row r="33" spans="1:34" x14ac:dyDescent="0.3">
      <c r="A33" s="74" t="s">
        <v>1408</v>
      </c>
      <c r="B33" s="10" t="s">
        <v>1460</v>
      </c>
      <c r="C33" s="10" t="s">
        <v>1461</v>
      </c>
      <c r="D33" s="11">
        <v>45499</v>
      </c>
      <c r="E33" s="12">
        <v>359990</v>
      </c>
      <c r="F33" s="10" t="s">
        <v>32</v>
      </c>
      <c r="G33" s="10" t="s">
        <v>33</v>
      </c>
      <c r="H33" s="12">
        <v>359990</v>
      </c>
      <c r="I33" s="12">
        <v>13000</v>
      </c>
      <c r="J33" s="13">
        <f t="shared" si="0"/>
        <v>3.6112114225395149</v>
      </c>
      <c r="K33" s="12">
        <v>339955</v>
      </c>
      <c r="L33" s="12">
        <f>H33-311185</f>
        <v>48805</v>
      </c>
      <c r="M33" s="12">
        <v>28770</v>
      </c>
      <c r="N33" s="66">
        <f t="shared" si="1"/>
        <v>7.9918886635739886E-2</v>
      </c>
      <c r="O33" s="14">
        <v>70</v>
      </c>
      <c r="P33" s="15">
        <v>120</v>
      </c>
      <c r="Q33" s="16">
        <v>0.193</v>
      </c>
      <c r="R33" s="16">
        <v>0.193</v>
      </c>
      <c r="S33" s="12">
        <f t="shared" si="2"/>
        <v>697.21428571428567</v>
      </c>
      <c r="T33" s="12">
        <f t="shared" si="3"/>
        <v>252875.64766839377</v>
      </c>
      <c r="U33" s="17">
        <f t="shared" si="4"/>
        <v>5.8052260713589021</v>
      </c>
      <c r="V33" s="16">
        <v>70</v>
      </c>
      <c r="W33" s="16">
        <f t="shared" si="5"/>
        <v>71998</v>
      </c>
      <c r="X33" s="16">
        <f t="shared" si="6"/>
        <v>1028.5428571428572</v>
      </c>
      <c r="Y33" s="18" t="s">
        <v>1407</v>
      </c>
      <c r="Z33" s="10" t="s">
        <v>35</v>
      </c>
      <c r="AA33" s="10" t="s">
        <v>35</v>
      </c>
      <c r="AB33" s="10" t="s">
        <v>1408</v>
      </c>
      <c r="AC33" s="10">
        <v>0</v>
      </c>
      <c r="AD33" s="10">
        <v>0</v>
      </c>
      <c r="AE33" s="10" t="s">
        <v>37</v>
      </c>
      <c r="AF33" s="10" t="s">
        <v>43</v>
      </c>
      <c r="AG33" s="10" t="s">
        <v>38</v>
      </c>
      <c r="AH33" s="10" t="s">
        <v>92</v>
      </c>
    </row>
    <row r="34" spans="1:34" x14ac:dyDescent="0.3">
      <c r="A34" s="75" t="s">
        <v>1408</v>
      </c>
      <c r="B34" s="19" t="s">
        <v>1464</v>
      </c>
      <c r="C34" s="19" t="s">
        <v>1465</v>
      </c>
      <c r="D34" s="20">
        <v>45551</v>
      </c>
      <c r="E34" s="21">
        <v>348990</v>
      </c>
      <c r="F34" s="19" t="s">
        <v>32</v>
      </c>
      <c r="G34" s="19" t="s">
        <v>33</v>
      </c>
      <c r="H34" s="21">
        <v>348990</v>
      </c>
      <c r="I34" s="21">
        <v>13000</v>
      </c>
      <c r="J34" s="22">
        <f t="shared" si="0"/>
        <v>3.7250351012923004</v>
      </c>
      <c r="K34" s="21">
        <v>327567</v>
      </c>
      <c r="L34" s="21">
        <f>H34-298797</f>
        <v>50193</v>
      </c>
      <c r="M34" s="21">
        <v>28770</v>
      </c>
      <c r="N34" s="67">
        <f t="shared" si="1"/>
        <v>8.2437892203214985E-2</v>
      </c>
      <c r="O34" s="23">
        <v>70</v>
      </c>
      <c r="P34" s="24">
        <v>120</v>
      </c>
      <c r="Q34" s="25">
        <v>0.193</v>
      </c>
      <c r="R34" s="25">
        <v>0.193</v>
      </c>
      <c r="S34" s="21">
        <f t="shared" si="2"/>
        <v>717.04285714285709</v>
      </c>
      <c r="T34" s="21">
        <f t="shared" si="3"/>
        <v>260067.35751295337</v>
      </c>
      <c r="U34" s="26">
        <f t="shared" si="4"/>
        <v>5.9703250117757891</v>
      </c>
      <c r="V34" s="25">
        <v>70</v>
      </c>
      <c r="W34" s="25">
        <f t="shared" si="5"/>
        <v>69798</v>
      </c>
      <c r="X34" s="25">
        <f t="shared" si="6"/>
        <v>997.11428571428576</v>
      </c>
      <c r="Y34" s="27" t="s">
        <v>1407</v>
      </c>
      <c r="Z34" s="19" t="s">
        <v>35</v>
      </c>
      <c r="AA34" s="19" t="s">
        <v>35</v>
      </c>
      <c r="AB34" s="19" t="s">
        <v>1408</v>
      </c>
      <c r="AC34" s="19">
        <v>0</v>
      </c>
      <c r="AD34" s="19">
        <v>0</v>
      </c>
      <c r="AE34" s="19" t="s">
        <v>37</v>
      </c>
      <c r="AF34" s="19" t="s">
        <v>43</v>
      </c>
      <c r="AG34" s="19" t="s">
        <v>38</v>
      </c>
      <c r="AH34" s="19" t="s">
        <v>92</v>
      </c>
    </row>
    <row r="35" spans="1:34" x14ac:dyDescent="0.3">
      <c r="A35" s="75" t="s">
        <v>1408</v>
      </c>
      <c r="B35" s="19" t="s">
        <v>1511</v>
      </c>
      <c r="C35" s="19" t="s">
        <v>1512</v>
      </c>
      <c r="D35" s="20">
        <v>45547</v>
      </c>
      <c r="E35" s="21">
        <v>375000</v>
      </c>
      <c r="F35" s="19" t="s">
        <v>32</v>
      </c>
      <c r="G35" s="19" t="s">
        <v>33</v>
      </c>
      <c r="H35" s="21">
        <v>375000</v>
      </c>
      <c r="I35" s="21">
        <v>161700</v>
      </c>
      <c r="J35" s="22">
        <f t="shared" si="0"/>
        <v>43.120000000000005</v>
      </c>
      <c r="K35" s="21">
        <v>343552</v>
      </c>
      <c r="L35" s="21">
        <f>H35-301783</f>
        <v>73217</v>
      </c>
      <c r="M35" s="21">
        <v>41769</v>
      </c>
      <c r="N35" s="67">
        <f t="shared" si="1"/>
        <v>0.111384</v>
      </c>
      <c r="O35" s="23">
        <v>101.62</v>
      </c>
      <c r="P35" s="24">
        <v>111</v>
      </c>
      <c r="Q35" s="25">
        <v>0.23799999999999999</v>
      </c>
      <c r="R35" s="25">
        <v>0.23799999999999999</v>
      </c>
      <c r="S35" s="21">
        <f t="shared" si="2"/>
        <v>720.49793347766183</v>
      </c>
      <c r="T35" s="21">
        <f t="shared" si="3"/>
        <v>307634.45378151262</v>
      </c>
      <c r="U35" s="26">
        <f t="shared" si="4"/>
        <v>7.0623152842404187</v>
      </c>
      <c r="V35" s="25">
        <v>130</v>
      </c>
      <c r="W35" s="25">
        <f t="shared" si="5"/>
        <v>75000</v>
      </c>
      <c r="X35" s="25">
        <f t="shared" si="6"/>
        <v>576.92307692307691</v>
      </c>
      <c r="Y35" s="27" t="s">
        <v>1407</v>
      </c>
      <c r="Z35" s="19" t="s">
        <v>35</v>
      </c>
      <c r="AA35" s="19" t="s">
        <v>35</v>
      </c>
      <c r="AB35" s="19" t="s">
        <v>1408</v>
      </c>
      <c r="AC35" s="19">
        <v>0</v>
      </c>
      <c r="AD35" s="19">
        <v>1</v>
      </c>
      <c r="AE35" s="19" t="s">
        <v>37</v>
      </c>
      <c r="AF35" s="19" t="s">
        <v>43</v>
      </c>
      <c r="AG35" s="19" t="s">
        <v>38</v>
      </c>
      <c r="AH35" s="19" t="s">
        <v>92</v>
      </c>
    </row>
    <row r="36" spans="1:34" x14ac:dyDescent="0.3">
      <c r="A36" s="75" t="s">
        <v>1408</v>
      </c>
      <c r="B36" s="19" t="s">
        <v>1432</v>
      </c>
      <c r="C36" s="19" t="s">
        <v>1433</v>
      </c>
      <c r="D36" s="20">
        <v>45317</v>
      </c>
      <c r="E36" s="21">
        <v>299900</v>
      </c>
      <c r="F36" s="19" t="s">
        <v>32</v>
      </c>
      <c r="G36" s="19" t="s">
        <v>33</v>
      </c>
      <c r="H36" s="21">
        <v>299900</v>
      </c>
      <c r="I36" s="21">
        <v>130000</v>
      </c>
      <c r="J36" s="22">
        <f t="shared" si="0"/>
        <v>43.347782594198065</v>
      </c>
      <c r="K36" s="21">
        <v>278123</v>
      </c>
      <c r="L36" s="21">
        <f>H36-249353</f>
        <v>50547</v>
      </c>
      <c r="M36" s="21">
        <v>28770</v>
      </c>
      <c r="N36" s="67">
        <f t="shared" si="1"/>
        <v>9.5931977325775256E-2</v>
      </c>
      <c r="O36" s="23">
        <v>70</v>
      </c>
      <c r="P36" s="24">
        <v>120</v>
      </c>
      <c r="Q36" s="25">
        <v>0.193</v>
      </c>
      <c r="R36" s="25">
        <v>0.193</v>
      </c>
      <c r="S36" s="21">
        <f t="shared" si="2"/>
        <v>722.1</v>
      </c>
      <c r="T36" s="21">
        <f t="shared" si="3"/>
        <v>261901.55440414508</v>
      </c>
      <c r="U36" s="26">
        <f t="shared" si="4"/>
        <v>6.0124323784238998</v>
      </c>
      <c r="V36" s="25">
        <v>70</v>
      </c>
      <c r="W36" s="25">
        <f t="shared" si="5"/>
        <v>59980</v>
      </c>
      <c r="X36" s="25">
        <f t="shared" si="6"/>
        <v>856.85714285714289</v>
      </c>
      <c r="Y36" s="27" t="s">
        <v>1407</v>
      </c>
      <c r="Z36" s="19" t="s">
        <v>35</v>
      </c>
      <c r="AA36" s="19" t="s">
        <v>35</v>
      </c>
      <c r="AB36" s="19" t="s">
        <v>1408</v>
      </c>
      <c r="AC36" s="19">
        <v>0</v>
      </c>
      <c r="AD36" s="19">
        <v>1</v>
      </c>
      <c r="AE36" s="19" t="s">
        <v>37</v>
      </c>
      <c r="AF36" s="19" t="s">
        <v>43</v>
      </c>
      <c r="AG36" s="19" t="s">
        <v>38</v>
      </c>
      <c r="AH36" s="19" t="s">
        <v>92</v>
      </c>
    </row>
    <row r="37" spans="1:34" x14ac:dyDescent="0.3">
      <c r="A37" s="75" t="s">
        <v>1408</v>
      </c>
      <c r="B37" s="19" t="s">
        <v>1488</v>
      </c>
      <c r="C37" s="19" t="s">
        <v>1489</v>
      </c>
      <c r="D37" s="20">
        <v>45562</v>
      </c>
      <c r="E37" s="21">
        <v>364990</v>
      </c>
      <c r="F37" s="19" t="s">
        <v>32</v>
      </c>
      <c r="G37" s="19" t="s">
        <v>33</v>
      </c>
      <c r="H37" s="21">
        <v>364990</v>
      </c>
      <c r="I37" s="21">
        <v>13000</v>
      </c>
      <c r="J37" s="22">
        <f t="shared" si="0"/>
        <v>3.5617414175730842</v>
      </c>
      <c r="K37" s="21">
        <v>343167</v>
      </c>
      <c r="L37" s="21">
        <f>H37-314397</f>
        <v>50593</v>
      </c>
      <c r="M37" s="21">
        <v>28770</v>
      </c>
      <c r="N37" s="67">
        <f t="shared" si="1"/>
        <v>7.8824077371982798E-2</v>
      </c>
      <c r="O37" s="23">
        <v>70</v>
      </c>
      <c r="P37" s="24">
        <v>120</v>
      </c>
      <c r="Q37" s="25">
        <v>0.193</v>
      </c>
      <c r="R37" s="25">
        <v>0.193</v>
      </c>
      <c r="S37" s="21">
        <f t="shared" si="2"/>
        <v>722.75714285714287</v>
      </c>
      <c r="T37" s="21">
        <f t="shared" si="3"/>
        <v>262139.89637305698</v>
      </c>
      <c r="U37" s="26">
        <f t="shared" si="4"/>
        <v>6.0179039571408861</v>
      </c>
      <c r="V37" s="25">
        <v>70</v>
      </c>
      <c r="W37" s="25">
        <f t="shared" si="5"/>
        <v>72998</v>
      </c>
      <c r="X37" s="25">
        <f t="shared" si="6"/>
        <v>1042.8285714285714</v>
      </c>
      <c r="Y37" s="27" t="s">
        <v>1407</v>
      </c>
      <c r="Z37" s="19" t="s">
        <v>35</v>
      </c>
      <c r="AA37" s="19" t="s">
        <v>35</v>
      </c>
      <c r="AB37" s="19" t="s">
        <v>1408</v>
      </c>
      <c r="AC37" s="19">
        <v>0</v>
      </c>
      <c r="AD37" s="19">
        <v>0</v>
      </c>
      <c r="AE37" s="19" t="s">
        <v>37</v>
      </c>
      <c r="AF37" s="19" t="s">
        <v>43</v>
      </c>
      <c r="AG37" s="19" t="s">
        <v>38</v>
      </c>
      <c r="AH37" s="19" t="s">
        <v>92</v>
      </c>
    </row>
    <row r="38" spans="1:34" x14ac:dyDescent="0.3">
      <c r="A38" s="74" t="s">
        <v>1408</v>
      </c>
      <c r="B38" s="10" t="s">
        <v>1484</v>
      </c>
      <c r="C38" s="10" t="s">
        <v>1485</v>
      </c>
      <c r="D38" s="11">
        <v>45566</v>
      </c>
      <c r="E38" s="12">
        <v>364990</v>
      </c>
      <c r="F38" s="10" t="s">
        <v>32</v>
      </c>
      <c r="G38" s="10" t="s">
        <v>33</v>
      </c>
      <c r="H38" s="12">
        <v>364990</v>
      </c>
      <c r="I38" s="12">
        <v>13000</v>
      </c>
      <c r="J38" s="13">
        <f t="shared" si="0"/>
        <v>3.5617414175730842</v>
      </c>
      <c r="K38" s="12">
        <v>343118</v>
      </c>
      <c r="L38" s="12">
        <f>H38-314348</f>
        <v>50642</v>
      </c>
      <c r="M38" s="12">
        <v>28770</v>
      </c>
      <c r="N38" s="66">
        <f t="shared" si="1"/>
        <v>7.8824077371982798E-2</v>
      </c>
      <c r="O38" s="14">
        <v>70</v>
      </c>
      <c r="P38" s="15">
        <v>120</v>
      </c>
      <c r="Q38" s="16">
        <v>0.193</v>
      </c>
      <c r="R38" s="16">
        <v>0.193</v>
      </c>
      <c r="S38" s="12">
        <f t="shared" si="2"/>
        <v>723.45714285714291</v>
      </c>
      <c r="T38" s="12">
        <f t="shared" si="3"/>
        <v>262393.78238341969</v>
      </c>
      <c r="U38" s="17">
        <f t="shared" si="4"/>
        <v>6.02373237794811</v>
      </c>
      <c r="V38" s="16">
        <v>70</v>
      </c>
      <c r="W38" s="16">
        <f t="shared" si="5"/>
        <v>72998</v>
      </c>
      <c r="X38" s="16">
        <f t="shared" si="6"/>
        <v>1042.8285714285714</v>
      </c>
      <c r="Y38" s="18" t="s">
        <v>1407</v>
      </c>
      <c r="Z38" s="10" t="s">
        <v>35</v>
      </c>
      <c r="AA38" s="10" t="s">
        <v>35</v>
      </c>
      <c r="AB38" s="10" t="s">
        <v>1408</v>
      </c>
      <c r="AC38" s="10">
        <v>0</v>
      </c>
      <c r="AD38" s="10">
        <v>0</v>
      </c>
      <c r="AE38" s="10" t="s">
        <v>37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5" t="s">
        <v>1408</v>
      </c>
      <c r="B39" s="19" t="s">
        <v>1494</v>
      </c>
      <c r="C39" s="19" t="s">
        <v>1495</v>
      </c>
      <c r="D39" s="20">
        <v>45485</v>
      </c>
      <c r="E39" s="21">
        <v>332000</v>
      </c>
      <c r="F39" s="19" t="s">
        <v>32</v>
      </c>
      <c r="G39" s="19" t="s">
        <v>33</v>
      </c>
      <c r="H39" s="21">
        <v>332000</v>
      </c>
      <c r="I39" s="21">
        <v>146100</v>
      </c>
      <c r="J39" s="22">
        <f t="shared" si="0"/>
        <v>44.006024096385545</v>
      </c>
      <c r="K39" s="21">
        <v>309266</v>
      </c>
      <c r="L39" s="21">
        <f>H39-280496</f>
        <v>51504</v>
      </c>
      <c r="M39" s="21">
        <v>28770</v>
      </c>
      <c r="N39" s="67">
        <f t="shared" si="1"/>
        <v>8.6656626506024098E-2</v>
      </c>
      <c r="O39" s="23">
        <v>70</v>
      </c>
      <c r="P39" s="24">
        <v>120</v>
      </c>
      <c r="Q39" s="25">
        <v>0.193</v>
      </c>
      <c r="R39" s="25">
        <v>0.193</v>
      </c>
      <c r="S39" s="21">
        <f t="shared" si="2"/>
        <v>735.7714285714286</v>
      </c>
      <c r="T39" s="21">
        <f t="shared" si="3"/>
        <v>266860.10362694302</v>
      </c>
      <c r="U39" s="26">
        <f t="shared" si="4"/>
        <v>6.1262650052098948</v>
      </c>
      <c r="V39" s="25">
        <v>70</v>
      </c>
      <c r="W39" s="25">
        <f t="shared" si="5"/>
        <v>66400</v>
      </c>
      <c r="X39" s="25">
        <f t="shared" si="6"/>
        <v>948.57142857142856</v>
      </c>
      <c r="Y39" s="27" t="s">
        <v>1407</v>
      </c>
      <c r="Z39" s="19" t="s">
        <v>35</v>
      </c>
      <c r="AA39" s="19" t="s">
        <v>35</v>
      </c>
      <c r="AB39" s="19" t="s">
        <v>1408</v>
      </c>
      <c r="AC39" s="19">
        <v>0</v>
      </c>
      <c r="AD39" s="19">
        <v>0</v>
      </c>
      <c r="AE39" s="19" t="s">
        <v>37</v>
      </c>
      <c r="AF39" s="19" t="s">
        <v>43</v>
      </c>
      <c r="AG39" s="19" t="s">
        <v>38</v>
      </c>
      <c r="AH39" s="19" t="s">
        <v>92</v>
      </c>
    </row>
    <row r="40" spans="1:34" x14ac:dyDescent="0.3">
      <c r="A40" s="74" t="s">
        <v>1408</v>
      </c>
      <c r="B40" s="10" t="s">
        <v>1444</v>
      </c>
      <c r="C40" s="10" t="s">
        <v>1445</v>
      </c>
      <c r="D40" s="11">
        <v>45434</v>
      </c>
      <c r="E40" s="12">
        <v>355990</v>
      </c>
      <c r="F40" s="10" t="s">
        <v>32</v>
      </c>
      <c r="G40" s="10" t="s">
        <v>33</v>
      </c>
      <c r="H40" s="12">
        <v>355990</v>
      </c>
      <c r="I40" s="12">
        <v>20900</v>
      </c>
      <c r="J40" s="13">
        <f t="shared" si="0"/>
        <v>5.8709514312199786</v>
      </c>
      <c r="K40" s="12">
        <v>331958</v>
      </c>
      <c r="L40" s="12">
        <f>H40-303188</f>
        <v>52802</v>
      </c>
      <c r="M40" s="12">
        <v>28770</v>
      </c>
      <c r="N40" s="66">
        <f t="shared" si="1"/>
        <v>8.0816876878564009E-2</v>
      </c>
      <c r="O40" s="14">
        <v>70</v>
      </c>
      <c r="P40" s="15">
        <v>120</v>
      </c>
      <c r="Q40" s="16">
        <v>0.193</v>
      </c>
      <c r="R40" s="16">
        <v>0.193</v>
      </c>
      <c r="S40" s="12">
        <f t="shared" si="2"/>
        <v>754.31428571428569</v>
      </c>
      <c r="T40" s="12">
        <f t="shared" si="3"/>
        <v>273585.4922279793</v>
      </c>
      <c r="U40" s="17">
        <f t="shared" si="4"/>
        <v>6.2806586829196345</v>
      </c>
      <c r="V40" s="16">
        <v>70</v>
      </c>
      <c r="W40" s="16">
        <f t="shared" si="5"/>
        <v>71198</v>
      </c>
      <c r="X40" s="16">
        <f t="shared" si="6"/>
        <v>1017.1142857142858</v>
      </c>
      <c r="Y40" s="18" t="s">
        <v>1407</v>
      </c>
      <c r="Z40" s="10" t="s">
        <v>35</v>
      </c>
      <c r="AA40" s="10" t="s">
        <v>35</v>
      </c>
      <c r="AB40" s="10" t="s">
        <v>1408</v>
      </c>
      <c r="AC40" s="10">
        <v>0</v>
      </c>
      <c r="AD40" s="10">
        <v>0</v>
      </c>
      <c r="AE40" s="10" t="s">
        <v>37</v>
      </c>
      <c r="AF40" s="10" t="s">
        <v>43</v>
      </c>
      <c r="AG40" s="10" t="s">
        <v>38</v>
      </c>
      <c r="AH40" s="10" t="s">
        <v>92</v>
      </c>
    </row>
    <row r="41" spans="1:34" x14ac:dyDescent="0.3">
      <c r="A41" s="75" t="s">
        <v>1408</v>
      </c>
      <c r="B41" s="19" t="s">
        <v>1424</v>
      </c>
      <c r="C41" s="19" t="s">
        <v>1425</v>
      </c>
      <c r="D41" s="20">
        <v>45611</v>
      </c>
      <c r="E41" s="21">
        <v>354490</v>
      </c>
      <c r="F41" s="19" t="s">
        <v>32</v>
      </c>
      <c r="G41" s="19" t="s">
        <v>33</v>
      </c>
      <c r="H41" s="21">
        <v>354490</v>
      </c>
      <c r="I41" s="21">
        <v>13000</v>
      </c>
      <c r="J41" s="22">
        <f t="shared" si="0"/>
        <v>3.6672402606561536</v>
      </c>
      <c r="K41" s="21">
        <v>329721</v>
      </c>
      <c r="L41" s="21">
        <f>H41-300951</f>
        <v>53539</v>
      </c>
      <c r="M41" s="21">
        <v>28770</v>
      </c>
      <c r="N41" s="67">
        <f t="shared" si="1"/>
        <v>8.1158847922367341E-2</v>
      </c>
      <c r="O41" s="23">
        <v>70</v>
      </c>
      <c r="P41" s="24">
        <v>120</v>
      </c>
      <c r="Q41" s="25">
        <v>0.193</v>
      </c>
      <c r="R41" s="25">
        <v>0.193</v>
      </c>
      <c r="S41" s="21">
        <f t="shared" si="2"/>
        <v>764.84285714285716</v>
      </c>
      <c r="T41" s="21">
        <f t="shared" si="3"/>
        <v>277404.14507772023</v>
      </c>
      <c r="U41" s="26">
        <f t="shared" si="4"/>
        <v>6.3683228897548263</v>
      </c>
      <c r="V41" s="25">
        <v>70</v>
      </c>
      <c r="W41" s="25">
        <f t="shared" si="5"/>
        <v>70898</v>
      </c>
      <c r="X41" s="25">
        <f t="shared" si="6"/>
        <v>1012.8285714285714</v>
      </c>
      <c r="Y41" s="27" t="s">
        <v>1407</v>
      </c>
      <c r="Z41" s="19" t="s">
        <v>35</v>
      </c>
      <c r="AA41" s="19" t="s">
        <v>35</v>
      </c>
      <c r="AB41" s="19" t="s">
        <v>1408</v>
      </c>
      <c r="AC41" s="19">
        <v>0</v>
      </c>
      <c r="AD41" s="19">
        <v>0</v>
      </c>
      <c r="AE41" s="19" t="s">
        <v>37</v>
      </c>
      <c r="AF41" s="19" t="s">
        <v>35</v>
      </c>
      <c r="AG41" s="19" t="s">
        <v>38</v>
      </c>
      <c r="AH41" s="19" t="s">
        <v>92</v>
      </c>
    </row>
    <row r="42" spans="1:34" x14ac:dyDescent="0.3">
      <c r="A42" s="75" t="s">
        <v>1408</v>
      </c>
      <c r="B42" s="19" t="s">
        <v>1478</v>
      </c>
      <c r="C42" s="19" t="s">
        <v>1479</v>
      </c>
      <c r="D42" s="20">
        <v>45533</v>
      </c>
      <c r="E42" s="21">
        <v>366990</v>
      </c>
      <c r="F42" s="19" t="s">
        <v>32</v>
      </c>
      <c r="G42" s="19" t="s">
        <v>33</v>
      </c>
      <c r="H42" s="21">
        <v>366990</v>
      </c>
      <c r="I42" s="21">
        <v>13000</v>
      </c>
      <c r="J42" s="22">
        <f t="shared" si="0"/>
        <v>3.5423308537017353</v>
      </c>
      <c r="K42" s="21">
        <v>341456</v>
      </c>
      <c r="L42" s="21">
        <f>H42-312686</f>
        <v>54304</v>
      </c>
      <c r="M42" s="21">
        <v>28770</v>
      </c>
      <c r="N42" s="67">
        <f t="shared" si="1"/>
        <v>7.8394506662306879E-2</v>
      </c>
      <c r="O42" s="23">
        <v>70</v>
      </c>
      <c r="P42" s="24">
        <v>120</v>
      </c>
      <c r="Q42" s="25">
        <v>0.193</v>
      </c>
      <c r="R42" s="25">
        <v>0.193</v>
      </c>
      <c r="S42" s="21">
        <f t="shared" si="2"/>
        <v>775.7714285714286</v>
      </c>
      <c r="T42" s="21">
        <f t="shared" si="3"/>
        <v>281367.87564766838</v>
      </c>
      <c r="U42" s="26">
        <f t="shared" si="4"/>
        <v>6.4593176227655738</v>
      </c>
      <c r="V42" s="25">
        <v>70</v>
      </c>
      <c r="W42" s="25">
        <f t="shared" si="5"/>
        <v>73398</v>
      </c>
      <c r="X42" s="25">
        <f t="shared" si="6"/>
        <v>1048.5428571428572</v>
      </c>
      <c r="Y42" s="27" t="s">
        <v>1407</v>
      </c>
      <c r="Z42" s="19" t="s">
        <v>35</v>
      </c>
      <c r="AA42" s="19" t="s">
        <v>35</v>
      </c>
      <c r="AB42" s="19" t="s">
        <v>1408</v>
      </c>
      <c r="AC42" s="19">
        <v>0</v>
      </c>
      <c r="AD42" s="19">
        <v>0</v>
      </c>
      <c r="AE42" s="19" t="s">
        <v>37</v>
      </c>
      <c r="AF42" s="19" t="s">
        <v>43</v>
      </c>
      <c r="AG42" s="19" t="s">
        <v>38</v>
      </c>
      <c r="AH42" s="19" t="s">
        <v>92</v>
      </c>
    </row>
    <row r="43" spans="1:34" x14ac:dyDescent="0.3">
      <c r="A43" s="74" t="s">
        <v>1408</v>
      </c>
      <c r="B43" s="10" t="s">
        <v>1466</v>
      </c>
      <c r="C43" s="10" t="s">
        <v>1467</v>
      </c>
      <c r="D43" s="11">
        <v>45482</v>
      </c>
      <c r="E43" s="12">
        <v>362490</v>
      </c>
      <c r="F43" s="10" t="s">
        <v>32</v>
      </c>
      <c r="G43" s="10" t="s">
        <v>33</v>
      </c>
      <c r="H43" s="12">
        <v>362490</v>
      </c>
      <c r="I43" s="12">
        <v>13000</v>
      </c>
      <c r="J43" s="13">
        <f t="shared" si="0"/>
        <v>3.5863058291263203</v>
      </c>
      <c r="K43" s="12">
        <v>336728</v>
      </c>
      <c r="L43" s="12">
        <f>H43-307958</f>
        <v>54532</v>
      </c>
      <c r="M43" s="12">
        <v>28770</v>
      </c>
      <c r="N43" s="66">
        <f t="shared" si="1"/>
        <v>7.9367706695357115E-2</v>
      </c>
      <c r="O43" s="14">
        <v>70</v>
      </c>
      <c r="P43" s="15">
        <v>120</v>
      </c>
      <c r="Q43" s="16">
        <v>0.193</v>
      </c>
      <c r="R43" s="16">
        <v>0.193</v>
      </c>
      <c r="S43" s="12">
        <f t="shared" si="2"/>
        <v>779.02857142857147</v>
      </c>
      <c r="T43" s="12">
        <f t="shared" si="3"/>
        <v>282549.22279792745</v>
      </c>
      <c r="U43" s="17">
        <f t="shared" si="4"/>
        <v>6.4864376216236783</v>
      </c>
      <c r="V43" s="16">
        <v>70</v>
      </c>
      <c r="W43" s="16">
        <f t="shared" si="5"/>
        <v>72498</v>
      </c>
      <c r="X43" s="16">
        <f t="shared" si="6"/>
        <v>1035.6857142857143</v>
      </c>
      <c r="Y43" s="18" t="s">
        <v>1407</v>
      </c>
      <c r="Z43" s="10" t="s">
        <v>35</v>
      </c>
      <c r="AA43" s="10" t="s">
        <v>35</v>
      </c>
      <c r="AB43" s="10" t="s">
        <v>1408</v>
      </c>
      <c r="AC43" s="10">
        <v>0</v>
      </c>
      <c r="AD43" s="10">
        <v>0</v>
      </c>
      <c r="AE43" s="10" t="s">
        <v>37</v>
      </c>
      <c r="AF43" s="10" t="s">
        <v>43</v>
      </c>
      <c r="AG43" s="10" t="s">
        <v>38</v>
      </c>
      <c r="AH43" s="10" t="s">
        <v>92</v>
      </c>
    </row>
    <row r="44" spans="1:34" x14ac:dyDescent="0.3">
      <c r="A44" s="75" t="s">
        <v>1408</v>
      </c>
      <c r="B44" s="19" t="s">
        <v>1438</v>
      </c>
      <c r="C44" s="19" t="s">
        <v>1439</v>
      </c>
      <c r="D44" s="20">
        <v>45523</v>
      </c>
      <c r="E44" s="21">
        <v>344000</v>
      </c>
      <c r="F44" s="19" t="s">
        <v>32</v>
      </c>
      <c r="G44" s="19" t="s">
        <v>33</v>
      </c>
      <c r="H44" s="21">
        <v>344000</v>
      </c>
      <c r="I44" s="21">
        <v>70700</v>
      </c>
      <c r="J44" s="22">
        <f t="shared" si="0"/>
        <v>20.552325581395348</v>
      </c>
      <c r="K44" s="21">
        <v>313311</v>
      </c>
      <c r="L44" s="21">
        <f>H44-281527</f>
        <v>62473</v>
      </c>
      <c r="M44" s="21">
        <v>31784</v>
      </c>
      <c r="N44" s="67">
        <f t="shared" si="1"/>
        <v>9.2395348837209304E-2</v>
      </c>
      <c r="O44" s="23">
        <v>77.33</v>
      </c>
      <c r="P44" s="24">
        <v>120</v>
      </c>
      <c r="Q44" s="25">
        <v>0.2</v>
      </c>
      <c r="R44" s="25">
        <v>0.2</v>
      </c>
      <c r="S44" s="21">
        <f t="shared" si="2"/>
        <v>807.87533945428686</v>
      </c>
      <c r="T44" s="21">
        <f t="shared" si="3"/>
        <v>312365</v>
      </c>
      <c r="U44" s="26">
        <f t="shared" si="4"/>
        <v>7.1709136822773187</v>
      </c>
      <c r="V44" s="25">
        <v>87</v>
      </c>
      <c r="W44" s="25">
        <f t="shared" si="5"/>
        <v>68800</v>
      </c>
      <c r="X44" s="25">
        <f t="shared" si="6"/>
        <v>790.80459770114942</v>
      </c>
      <c r="Y44" s="27" t="s">
        <v>1407</v>
      </c>
      <c r="Z44" s="19" t="s">
        <v>35</v>
      </c>
      <c r="AA44" s="19" t="s">
        <v>35</v>
      </c>
      <c r="AB44" s="19" t="s">
        <v>1408</v>
      </c>
      <c r="AC44" s="19">
        <v>0</v>
      </c>
      <c r="AD44" s="19">
        <v>0</v>
      </c>
      <c r="AE44" s="19" t="s">
        <v>37</v>
      </c>
      <c r="AF44" s="19" t="s">
        <v>43</v>
      </c>
      <c r="AG44" s="19" t="s">
        <v>38</v>
      </c>
      <c r="AH44" s="19" t="s">
        <v>92</v>
      </c>
    </row>
    <row r="45" spans="1:34" x14ac:dyDescent="0.3">
      <c r="A45" s="74" t="s">
        <v>1408</v>
      </c>
      <c r="B45" s="10" t="s">
        <v>1452</v>
      </c>
      <c r="C45" s="10" t="s">
        <v>1453</v>
      </c>
      <c r="D45" s="11">
        <v>45544</v>
      </c>
      <c r="E45" s="12">
        <v>345880</v>
      </c>
      <c r="F45" s="10" t="s">
        <v>32</v>
      </c>
      <c r="G45" s="10" t="s">
        <v>33</v>
      </c>
      <c r="H45" s="12">
        <v>345880</v>
      </c>
      <c r="I45" s="12">
        <v>22600</v>
      </c>
      <c r="J45" s="13">
        <f t="shared" si="0"/>
        <v>6.5340580548166995</v>
      </c>
      <c r="K45" s="12">
        <v>313681</v>
      </c>
      <c r="L45" s="12">
        <f>H45-284363</f>
        <v>61517</v>
      </c>
      <c r="M45" s="12">
        <v>29318</v>
      </c>
      <c r="N45" s="66">
        <f t="shared" si="1"/>
        <v>8.47635017925292E-2</v>
      </c>
      <c r="O45" s="14">
        <v>71.33</v>
      </c>
      <c r="P45" s="15">
        <v>120</v>
      </c>
      <c r="Q45" s="16">
        <v>0.20200000000000001</v>
      </c>
      <c r="R45" s="16">
        <v>0.20200000000000001</v>
      </c>
      <c r="S45" s="12">
        <f t="shared" si="2"/>
        <v>862.4281508481705</v>
      </c>
      <c r="T45" s="12">
        <f t="shared" si="3"/>
        <v>304539.60396039602</v>
      </c>
      <c r="U45" s="17">
        <f t="shared" si="4"/>
        <v>6.9912673085490367</v>
      </c>
      <c r="V45" s="16">
        <v>67</v>
      </c>
      <c r="W45" s="16">
        <f t="shared" si="5"/>
        <v>69176</v>
      </c>
      <c r="X45" s="16">
        <f t="shared" si="6"/>
        <v>1032.4776119402984</v>
      </c>
      <c r="Y45" s="18" t="s">
        <v>1407</v>
      </c>
      <c r="Z45" s="10" t="s">
        <v>35</v>
      </c>
      <c r="AA45" s="10" t="s">
        <v>35</v>
      </c>
      <c r="AB45" s="10" t="s">
        <v>1408</v>
      </c>
      <c r="AC45" s="10">
        <v>0</v>
      </c>
      <c r="AD45" s="10">
        <v>0</v>
      </c>
      <c r="AE45" s="10" t="s">
        <v>37</v>
      </c>
      <c r="AF45" s="10" t="s">
        <v>43</v>
      </c>
      <c r="AG45" s="10" t="s">
        <v>38</v>
      </c>
      <c r="AH45" s="10" t="s">
        <v>92</v>
      </c>
    </row>
    <row r="46" spans="1:34" x14ac:dyDescent="0.3">
      <c r="A46" s="75" t="s">
        <v>1408</v>
      </c>
      <c r="B46" s="19" t="s">
        <v>1470</v>
      </c>
      <c r="C46" s="19" t="s">
        <v>1471</v>
      </c>
      <c r="D46" s="20">
        <v>45534</v>
      </c>
      <c r="E46" s="21">
        <v>349880</v>
      </c>
      <c r="F46" s="19" t="s">
        <v>32</v>
      </c>
      <c r="G46" s="19" t="s">
        <v>33</v>
      </c>
      <c r="H46" s="21">
        <v>349880</v>
      </c>
      <c r="I46" s="21">
        <v>13000</v>
      </c>
      <c r="J46" s="22">
        <f t="shared" si="0"/>
        <v>3.7155596204412946</v>
      </c>
      <c r="K46" s="21">
        <v>318118</v>
      </c>
      <c r="L46" s="21">
        <f>H46-289348</f>
        <v>60532</v>
      </c>
      <c r="M46" s="21">
        <v>28770</v>
      </c>
      <c r="N46" s="67">
        <f t="shared" si="1"/>
        <v>8.2228192523150792E-2</v>
      </c>
      <c r="O46" s="23">
        <v>70</v>
      </c>
      <c r="P46" s="24">
        <v>120</v>
      </c>
      <c r="Q46" s="25">
        <v>0.193</v>
      </c>
      <c r="R46" s="25">
        <v>0.193</v>
      </c>
      <c r="S46" s="21">
        <f t="shared" si="2"/>
        <v>864.74285714285713</v>
      </c>
      <c r="T46" s="21">
        <f t="shared" si="3"/>
        <v>313637.30569948186</v>
      </c>
      <c r="U46" s="26">
        <f t="shared" si="4"/>
        <v>7.200121802100135</v>
      </c>
      <c r="V46" s="25">
        <v>70</v>
      </c>
      <c r="W46" s="25">
        <f t="shared" si="5"/>
        <v>69976</v>
      </c>
      <c r="X46" s="25">
        <f t="shared" si="6"/>
        <v>999.65714285714284</v>
      </c>
      <c r="Y46" s="27" t="s">
        <v>1407</v>
      </c>
      <c r="Z46" s="19" t="s">
        <v>35</v>
      </c>
      <c r="AA46" s="19" t="s">
        <v>35</v>
      </c>
      <c r="AB46" s="19" t="s">
        <v>1408</v>
      </c>
      <c r="AC46" s="19">
        <v>0</v>
      </c>
      <c r="AD46" s="19">
        <v>0</v>
      </c>
      <c r="AE46" s="19" t="s">
        <v>37</v>
      </c>
      <c r="AF46" s="19" t="s">
        <v>43</v>
      </c>
      <c r="AG46" s="19" t="s">
        <v>38</v>
      </c>
      <c r="AH46" s="19" t="s">
        <v>92</v>
      </c>
    </row>
    <row r="47" spans="1:34" ht="15" thickBot="1" x14ac:dyDescent="0.35">
      <c r="A47" s="75" t="s">
        <v>1408</v>
      </c>
      <c r="B47" s="19" t="s">
        <v>1448</v>
      </c>
      <c r="C47" s="19" t="s">
        <v>1449</v>
      </c>
      <c r="D47" s="20">
        <v>45463</v>
      </c>
      <c r="E47" s="21">
        <v>363990</v>
      </c>
      <c r="F47" s="19" t="s">
        <v>32</v>
      </c>
      <c r="G47" s="19" t="s">
        <v>33</v>
      </c>
      <c r="H47" s="21">
        <v>363990</v>
      </c>
      <c r="I47" s="21">
        <v>22400</v>
      </c>
      <c r="J47" s="22">
        <f t="shared" si="0"/>
        <v>6.1540152201983567</v>
      </c>
      <c r="K47" s="21">
        <v>324351</v>
      </c>
      <c r="L47" s="21">
        <f>H47-295581</f>
        <v>68409</v>
      </c>
      <c r="M47" s="21">
        <v>28770</v>
      </c>
      <c r="N47" s="67">
        <f t="shared" si="1"/>
        <v>7.9040632984422654E-2</v>
      </c>
      <c r="O47" s="23">
        <v>70</v>
      </c>
      <c r="P47" s="24">
        <v>120</v>
      </c>
      <c r="Q47" s="25">
        <v>0.193</v>
      </c>
      <c r="R47" s="25">
        <v>0.193</v>
      </c>
      <c r="S47" s="21">
        <f t="shared" si="2"/>
        <v>977.2714285714286</v>
      </c>
      <c r="T47" s="21">
        <f t="shared" si="3"/>
        <v>354450.77720207255</v>
      </c>
      <c r="U47" s="26">
        <f t="shared" si="4"/>
        <v>8.1370701837023081</v>
      </c>
      <c r="V47" s="25">
        <v>70</v>
      </c>
      <c r="W47" s="25">
        <f t="shared" si="5"/>
        <v>72798</v>
      </c>
      <c r="X47" s="25">
        <f t="shared" si="6"/>
        <v>1039.9714285714285</v>
      </c>
      <c r="Y47" s="27" t="s">
        <v>1407</v>
      </c>
      <c r="Z47" s="19" t="s">
        <v>35</v>
      </c>
      <c r="AA47" s="19" t="s">
        <v>35</v>
      </c>
      <c r="AB47" s="19" t="s">
        <v>1408</v>
      </c>
      <c r="AC47" s="19">
        <v>0</v>
      </c>
      <c r="AD47" s="19">
        <v>0</v>
      </c>
      <c r="AE47" s="19" t="s">
        <v>37</v>
      </c>
      <c r="AF47" s="19" t="s">
        <v>43</v>
      </c>
      <c r="AG47" s="19" t="s">
        <v>38</v>
      </c>
      <c r="AH47" s="19" t="s">
        <v>92</v>
      </c>
    </row>
    <row r="48" spans="1:34" ht="15" thickTop="1" x14ac:dyDescent="0.3">
      <c r="A48" s="76"/>
      <c r="B48" s="37"/>
      <c r="C48" s="37"/>
      <c r="D48" s="38" t="s">
        <v>2876</v>
      </c>
      <c r="E48" s="39">
        <f>+SUM(E2:E47)</f>
        <v>16157610</v>
      </c>
      <c r="F48" s="37"/>
      <c r="G48" s="37"/>
      <c r="H48" s="39">
        <f>+SUM(H2:H47)</f>
        <v>16157610</v>
      </c>
      <c r="I48" s="39">
        <f>+SUM(I2:I47)</f>
        <v>2555500</v>
      </c>
      <c r="J48" s="40"/>
      <c r="K48" s="39">
        <f>+SUM(K2:K47)</f>
        <v>15648381</v>
      </c>
      <c r="L48" s="39">
        <f>+SUM(L2:L47)</f>
        <v>1888150</v>
      </c>
      <c r="M48" s="39">
        <f>+SUM(M2:M47)</f>
        <v>1378921</v>
      </c>
      <c r="N48" s="81">
        <f>AVERAGE(N2:N47)</f>
        <v>8.5816066267871499E-2</v>
      </c>
      <c r="O48" s="41">
        <f>+SUM(O2:O47)</f>
        <v>3354.97</v>
      </c>
      <c r="P48" s="42"/>
      <c r="Q48" s="43">
        <f>+SUM(Q2:Q47)</f>
        <v>9.377999999999993</v>
      </c>
      <c r="R48" s="43">
        <f>+SUM(R2:R47)</f>
        <v>9.4259999999999931</v>
      </c>
      <c r="S48" s="39"/>
      <c r="T48" s="39"/>
      <c r="U48" s="44"/>
      <c r="V48" s="43"/>
      <c r="W48" s="82">
        <f>AVERAGE(W2:W47)</f>
        <v>70250.478260869568</v>
      </c>
      <c r="X48" s="83">
        <f>AVERAGE(X2:X47)</f>
        <v>980.62211681900317</v>
      </c>
      <c r="Y48" s="45"/>
      <c r="Z48" s="37"/>
      <c r="AA48" s="37"/>
      <c r="AB48" s="37"/>
      <c r="AC48" s="37"/>
      <c r="AD48" s="37"/>
      <c r="AE48" s="37"/>
      <c r="AF48" s="37"/>
      <c r="AG48" s="37"/>
      <c r="AH48" s="37"/>
    </row>
    <row r="49" spans="1:34" x14ac:dyDescent="0.3">
      <c r="A49" s="77"/>
      <c r="B49" s="28"/>
      <c r="C49" s="28"/>
      <c r="D49" s="29"/>
      <c r="E49" s="30"/>
      <c r="F49" s="28"/>
      <c r="G49" s="28"/>
      <c r="H49" s="30"/>
      <c r="I49" s="30" t="s">
        <v>2877</v>
      </c>
      <c r="J49" s="31">
        <f>I48/H48*100</f>
        <v>15.816076758877088</v>
      </c>
      <c r="K49" s="30"/>
      <c r="L49" s="30"/>
      <c r="M49" s="30" t="s">
        <v>2879</v>
      </c>
      <c r="N49" s="79"/>
      <c r="O49" s="32"/>
      <c r="P49" s="33"/>
      <c r="Q49" s="34" t="s">
        <v>2879</v>
      </c>
      <c r="R49" s="34"/>
      <c r="S49" s="30"/>
      <c r="T49" s="30" t="s">
        <v>2879</v>
      </c>
      <c r="U49" s="35"/>
      <c r="V49" s="34"/>
      <c r="W49" s="63"/>
      <c r="X49" s="68"/>
      <c r="Y49" s="36"/>
      <c r="Z49" s="28"/>
      <c r="AA49" s="28"/>
      <c r="AB49" s="28"/>
      <c r="AC49" s="28"/>
      <c r="AD49" s="28"/>
      <c r="AE49" s="28"/>
      <c r="AF49" s="28"/>
      <c r="AG49" s="28"/>
      <c r="AH49" s="28"/>
    </row>
    <row r="50" spans="1:34" x14ac:dyDescent="0.3">
      <c r="A50" s="78"/>
      <c r="B50" s="46"/>
      <c r="C50" s="46"/>
      <c r="D50" s="47"/>
      <c r="E50" s="48"/>
      <c r="F50" s="46"/>
      <c r="G50" s="46"/>
      <c r="H50" s="48"/>
      <c r="I50" s="48" t="s">
        <v>2878</v>
      </c>
      <c r="J50" s="49">
        <f>STDEV(J2:J47)</f>
        <v>16.678948289115695</v>
      </c>
      <c r="K50" s="48"/>
      <c r="L50" s="48"/>
      <c r="M50" s="48" t="s">
        <v>2880</v>
      </c>
      <c r="N50" s="80"/>
      <c r="O50" s="54">
        <f>L48/O48</f>
        <v>562.7919176624531</v>
      </c>
      <c r="P50" s="50"/>
      <c r="Q50" s="51" t="s">
        <v>2881</v>
      </c>
      <c r="R50" s="51">
        <f>L48/Q48</f>
        <v>201338.23843036909</v>
      </c>
      <c r="S50" s="48"/>
      <c r="T50" s="48" t="s">
        <v>2882</v>
      </c>
      <c r="U50" s="52">
        <f>L48/Q48/43560</f>
        <v>4.6220899547834957</v>
      </c>
      <c r="V50" s="51"/>
      <c r="W50" s="64"/>
      <c r="X50" s="69"/>
      <c r="Y50" s="53"/>
      <c r="Z50" s="46"/>
      <c r="AA50" s="46"/>
      <c r="AB50" s="46"/>
      <c r="AC50" s="46"/>
      <c r="AD50" s="46"/>
      <c r="AE50" s="46"/>
      <c r="AF50" s="46"/>
      <c r="AG50" s="46"/>
      <c r="AH50" s="46"/>
    </row>
    <row r="51" spans="1:34" x14ac:dyDescent="0.3">
      <c r="E51" s="94" t="s">
        <v>3099</v>
      </c>
      <c r="L51" s="95"/>
    </row>
    <row r="52" spans="1:34" x14ac:dyDescent="0.3">
      <c r="E52" s="383" t="s">
        <v>3163</v>
      </c>
      <c r="F52" s="383"/>
      <c r="G52" s="383"/>
      <c r="H52" s="383"/>
      <c r="I52" s="383"/>
      <c r="J52" s="383"/>
      <c r="K52" s="383"/>
      <c r="L52" s="383"/>
    </row>
    <row r="53" spans="1:34" x14ac:dyDescent="0.3">
      <c r="E53" s="383" t="s">
        <v>3164</v>
      </c>
      <c r="F53" s="383"/>
      <c r="G53" s="383"/>
      <c r="H53" s="383"/>
      <c r="I53" s="383"/>
      <c r="J53" s="383"/>
      <c r="K53" s="383"/>
      <c r="L53" s="383"/>
    </row>
    <row r="54" spans="1:34" x14ac:dyDescent="0.3">
      <c r="E54" s="383" t="s">
        <v>3165</v>
      </c>
      <c r="F54" s="383"/>
      <c r="G54" s="383"/>
      <c r="H54" s="383"/>
      <c r="I54" s="383"/>
      <c r="J54" s="383"/>
      <c r="K54" s="383"/>
      <c r="L54" s="383"/>
    </row>
    <row r="55" spans="1:34" x14ac:dyDescent="0.3">
      <c r="E55" s="383" t="s">
        <v>3166</v>
      </c>
      <c r="F55" s="383"/>
      <c r="G55" s="383"/>
      <c r="H55" s="383"/>
      <c r="I55" s="383"/>
      <c r="J55" s="96"/>
      <c r="K55" s="96"/>
      <c r="L55" s="96"/>
    </row>
    <row r="56" spans="1:34" x14ac:dyDescent="0.3">
      <c r="E56" s="383" t="s">
        <v>3167</v>
      </c>
      <c r="F56" s="383"/>
      <c r="G56" s="383"/>
      <c r="H56" s="383"/>
      <c r="I56" s="383"/>
      <c r="L56" s="95"/>
    </row>
    <row r="57" spans="1:34" x14ac:dyDescent="0.3">
      <c r="E57" s="383" t="s">
        <v>3100</v>
      </c>
      <c r="F57" s="383"/>
      <c r="G57" s="383"/>
      <c r="H57" s="383"/>
      <c r="I57" s="383"/>
      <c r="L57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0">
    <tabColor rgb="FF00B050"/>
  </sheetPr>
  <dimension ref="A3:AH3"/>
  <sheetViews>
    <sheetView workbookViewId="0">
      <selection activeCell="B4" sqref="B4"/>
    </sheetView>
  </sheetViews>
  <sheetFormatPr defaultRowHeight="14.4" x14ac:dyDescent="0.3"/>
  <cols>
    <col min="1" max="1" width="9.109375" style="55" collapsed="1"/>
    <col min="2" max="13" width="9.109375" collapsed="1"/>
    <col min="14" max="14" width="9.109375" style="55"/>
    <col min="15" max="22" width="9.109375" collapsed="1"/>
    <col min="23" max="23" width="9.109375" style="65"/>
    <col min="24" max="24" width="9.109375" style="55"/>
    <col min="25" max="34" width="9.109375" collapsed="1"/>
  </cols>
  <sheetData>
    <row r="3" spans="2:2" x14ac:dyDescent="0.3">
      <c r="B3" t="s">
        <v>3202</v>
      </c>
    </row>
  </sheetData>
  <sortState xmlns:xlrd2="http://schemas.microsoft.com/office/spreadsheetml/2017/richdata2" ref="A2:AH54">
    <sortCondition ref="S2:S54"/>
  </sortState>
  <pageMargins left="0.7" right="0.7" top="0.75" bottom="0.75" header="0.3" footer="0.3"/>
  <pageSetup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1">
    <tabColor rgb="FF00B050"/>
  </sheetPr>
  <dimension ref="A1:AG31"/>
  <sheetViews>
    <sheetView workbookViewId="0">
      <selection activeCell="H25" sqref="H25:O3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66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5546875" style="65" bestFit="1" customWidth="1"/>
    <col min="23" max="23" width="7.6640625" style="55" bestFit="1" customWidth="1"/>
    <col min="24" max="24" width="8.6640625" bestFit="1" customWidth="1" collapsed="1"/>
    <col min="25" max="25" width="10.5546875" bestFit="1" customWidth="1" collapsed="1"/>
    <col min="26" max="26" width="19.44140625" bestFit="1" customWidth="1" collapsed="1"/>
    <col min="27" max="27" width="10.44140625" bestFit="1" customWidth="1" collapsed="1"/>
    <col min="28" max="28" width="6.88671875" bestFit="1" customWidth="1" collapsed="1"/>
    <col min="29" max="29" width="6.44140625" bestFit="1" customWidth="1" collapsed="1"/>
    <col min="30" max="30" width="15" bestFit="1" customWidth="1" collapsed="1"/>
    <col min="31" max="31" width="14.6640625" bestFit="1" customWidth="1" collapsed="1"/>
    <col min="32" max="32" width="5.44140625" bestFit="1" customWidth="1" collapsed="1"/>
    <col min="33" max="33" width="12.44140625" bestFit="1" customWidth="1" collapsed="1"/>
  </cols>
  <sheetData>
    <row r="1" spans="1:33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340" t="s">
        <v>3069</v>
      </c>
      <c r="W1" s="339" t="s">
        <v>3070</v>
      </c>
      <c r="X1" s="9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</row>
    <row r="2" spans="1:33" x14ac:dyDescent="0.3">
      <c r="A2" s="75" t="s">
        <v>2287</v>
      </c>
      <c r="B2" s="19" t="s">
        <v>2298</v>
      </c>
      <c r="C2" s="19" t="s">
        <v>2299</v>
      </c>
      <c r="D2" s="20">
        <v>45224</v>
      </c>
      <c r="E2" s="21">
        <v>95000</v>
      </c>
      <c r="F2" s="19" t="s">
        <v>32</v>
      </c>
      <c r="G2" s="19" t="s">
        <v>33</v>
      </c>
      <c r="H2" s="21">
        <v>95000</v>
      </c>
      <c r="I2" s="21">
        <v>39000</v>
      </c>
      <c r="J2" s="22">
        <f t="shared" ref="J2:J13" si="0">I2/H2*100</f>
        <v>41.05263157894737</v>
      </c>
      <c r="K2" s="21">
        <v>102341</v>
      </c>
      <c r="L2" s="21">
        <f t="shared" ref="L2:L8" si="1">H2-92341</f>
        <v>2659</v>
      </c>
      <c r="M2" s="21">
        <v>10000</v>
      </c>
      <c r="N2" s="67">
        <f t="shared" ref="N2:N13" si="2">M2/E2</f>
        <v>0.10526315789473684</v>
      </c>
      <c r="O2" s="23">
        <v>0</v>
      </c>
      <c r="P2" s="24">
        <v>0</v>
      </c>
      <c r="Q2" s="25">
        <v>0</v>
      </c>
      <c r="R2" s="25">
        <v>0</v>
      </c>
      <c r="S2" s="21" t="e">
        <f t="shared" ref="S2:S13" si="3">L2/O2</f>
        <v>#DIV/0!</v>
      </c>
      <c r="T2" s="21" t="e">
        <f t="shared" ref="T2:T13" si="4">L2/Q2</f>
        <v>#DIV/0!</v>
      </c>
      <c r="U2" s="26" t="e">
        <f t="shared" ref="U2:U13" si="5">L2/Q2/43560</f>
        <v>#DIV/0!</v>
      </c>
      <c r="V2" s="25">
        <f t="shared" ref="V2:V13" si="6">0.2*E2</f>
        <v>19000</v>
      </c>
      <c r="W2" s="25"/>
      <c r="X2" s="27" t="s">
        <v>2286</v>
      </c>
      <c r="Y2" s="19" t="s">
        <v>35</v>
      </c>
      <c r="Z2" s="19" t="s">
        <v>35</v>
      </c>
      <c r="AA2" s="19" t="s">
        <v>2287</v>
      </c>
      <c r="AB2" s="19">
        <v>0</v>
      </c>
      <c r="AC2" s="19">
        <v>1</v>
      </c>
      <c r="AD2" s="19" t="s">
        <v>37</v>
      </c>
      <c r="AE2" s="19" t="s">
        <v>43</v>
      </c>
      <c r="AF2" s="19" t="s">
        <v>38</v>
      </c>
      <c r="AG2" s="19" t="s">
        <v>2288</v>
      </c>
    </row>
    <row r="3" spans="1:33" x14ac:dyDescent="0.3">
      <c r="A3" s="74" t="s">
        <v>2287</v>
      </c>
      <c r="B3" s="10" t="s">
        <v>2294</v>
      </c>
      <c r="C3" s="10" t="s">
        <v>2295</v>
      </c>
      <c r="D3" s="11">
        <v>45455</v>
      </c>
      <c r="E3" s="12">
        <v>96000</v>
      </c>
      <c r="F3" s="10" t="s">
        <v>32</v>
      </c>
      <c r="G3" s="10" t="s">
        <v>33</v>
      </c>
      <c r="H3" s="12">
        <v>96000</v>
      </c>
      <c r="I3" s="12">
        <v>42000</v>
      </c>
      <c r="J3" s="13">
        <f t="shared" si="0"/>
        <v>43.75</v>
      </c>
      <c r="K3" s="12">
        <v>102341</v>
      </c>
      <c r="L3" s="12">
        <f t="shared" si="1"/>
        <v>3659</v>
      </c>
      <c r="M3" s="12">
        <v>10000</v>
      </c>
      <c r="N3" s="66">
        <f t="shared" si="2"/>
        <v>0.10416666666666667</v>
      </c>
      <c r="O3" s="14">
        <v>0</v>
      </c>
      <c r="P3" s="15">
        <v>0</v>
      </c>
      <c r="Q3" s="16">
        <v>0</v>
      </c>
      <c r="R3" s="16">
        <v>0</v>
      </c>
      <c r="S3" s="12" t="e">
        <f t="shared" si="3"/>
        <v>#DIV/0!</v>
      </c>
      <c r="T3" s="12" t="e">
        <f t="shared" si="4"/>
        <v>#DIV/0!</v>
      </c>
      <c r="U3" s="17" t="e">
        <f t="shared" si="5"/>
        <v>#DIV/0!</v>
      </c>
      <c r="V3" s="16">
        <f t="shared" si="6"/>
        <v>19200</v>
      </c>
      <c r="W3" s="16"/>
      <c r="X3" s="18" t="s">
        <v>2286</v>
      </c>
      <c r="Y3" s="10" t="s">
        <v>35</v>
      </c>
      <c r="Z3" s="10" t="s">
        <v>35</v>
      </c>
      <c r="AA3" s="10" t="s">
        <v>2287</v>
      </c>
      <c r="AB3" s="10">
        <v>0</v>
      </c>
      <c r="AC3" s="10">
        <v>1</v>
      </c>
      <c r="AD3" s="10" t="s">
        <v>37</v>
      </c>
      <c r="AE3" s="10" t="s">
        <v>43</v>
      </c>
      <c r="AF3" s="10" t="s">
        <v>38</v>
      </c>
      <c r="AG3" s="10" t="s">
        <v>2288</v>
      </c>
    </row>
    <row r="4" spans="1:33" x14ac:dyDescent="0.3">
      <c r="A4" s="75" t="s">
        <v>2287</v>
      </c>
      <c r="B4" s="19" t="s">
        <v>2304</v>
      </c>
      <c r="C4" s="19" t="s">
        <v>2305</v>
      </c>
      <c r="D4" s="20">
        <v>45569</v>
      </c>
      <c r="E4" s="21">
        <v>100000</v>
      </c>
      <c r="F4" s="19" t="s">
        <v>32</v>
      </c>
      <c r="G4" s="19" t="s">
        <v>33</v>
      </c>
      <c r="H4" s="21">
        <v>100000</v>
      </c>
      <c r="I4" s="21">
        <v>42000</v>
      </c>
      <c r="J4" s="22">
        <f t="shared" si="0"/>
        <v>42</v>
      </c>
      <c r="K4" s="21">
        <v>102341</v>
      </c>
      <c r="L4" s="21">
        <f t="shared" si="1"/>
        <v>7659</v>
      </c>
      <c r="M4" s="21">
        <v>10000</v>
      </c>
      <c r="N4" s="67">
        <f t="shared" si="2"/>
        <v>0.1</v>
      </c>
      <c r="O4" s="23">
        <v>0</v>
      </c>
      <c r="P4" s="24">
        <v>0</v>
      </c>
      <c r="Q4" s="25">
        <v>0</v>
      </c>
      <c r="R4" s="25">
        <v>0</v>
      </c>
      <c r="S4" s="21" t="e">
        <f t="shared" si="3"/>
        <v>#DIV/0!</v>
      </c>
      <c r="T4" s="21" t="e">
        <f t="shared" si="4"/>
        <v>#DIV/0!</v>
      </c>
      <c r="U4" s="26" t="e">
        <f t="shared" si="5"/>
        <v>#DIV/0!</v>
      </c>
      <c r="V4" s="25">
        <f t="shared" si="6"/>
        <v>20000</v>
      </c>
      <c r="W4" s="25"/>
      <c r="X4" s="27" t="s">
        <v>2286</v>
      </c>
      <c r="Y4" s="19" t="s">
        <v>35</v>
      </c>
      <c r="Z4" s="19" t="s">
        <v>35</v>
      </c>
      <c r="AA4" s="19" t="s">
        <v>2287</v>
      </c>
      <c r="AB4" s="19">
        <v>0</v>
      </c>
      <c r="AC4" s="19">
        <v>1</v>
      </c>
      <c r="AD4" s="19" t="s">
        <v>37</v>
      </c>
      <c r="AE4" s="19" t="s">
        <v>43</v>
      </c>
      <c r="AF4" s="19" t="s">
        <v>38</v>
      </c>
      <c r="AG4" s="19" t="s">
        <v>2288</v>
      </c>
    </row>
    <row r="5" spans="1:33" x14ac:dyDescent="0.3">
      <c r="A5" s="75" t="s">
        <v>2287</v>
      </c>
      <c r="B5" s="19" t="s">
        <v>2306</v>
      </c>
      <c r="C5" s="19" t="s">
        <v>2307</v>
      </c>
      <c r="D5" s="20">
        <v>45504</v>
      </c>
      <c r="E5" s="21">
        <v>109900</v>
      </c>
      <c r="F5" s="19" t="s">
        <v>32</v>
      </c>
      <c r="G5" s="19" t="s">
        <v>33</v>
      </c>
      <c r="H5" s="21">
        <v>109900</v>
      </c>
      <c r="I5" s="21">
        <v>42000</v>
      </c>
      <c r="J5" s="22">
        <f t="shared" si="0"/>
        <v>38.216560509554142</v>
      </c>
      <c r="K5" s="21">
        <v>102341</v>
      </c>
      <c r="L5" s="21">
        <f t="shared" si="1"/>
        <v>17559</v>
      </c>
      <c r="M5" s="21">
        <v>10000</v>
      </c>
      <c r="N5" s="67">
        <f t="shared" si="2"/>
        <v>9.0991810737033663E-2</v>
      </c>
      <c r="O5" s="23">
        <v>0</v>
      </c>
      <c r="P5" s="24">
        <v>0</v>
      </c>
      <c r="Q5" s="25">
        <v>0</v>
      </c>
      <c r="R5" s="25">
        <v>0</v>
      </c>
      <c r="S5" s="21" t="e">
        <f t="shared" si="3"/>
        <v>#DIV/0!</v>
      </c>
      <c r="T5" s="21" t="e">
        <f t="shared" si="4"/>
        <v>#DIV/0!</v>
      </c>
      <c r="U5" s="26" t="e">
        <f t="shared" si="5"/>
        <v>#DIV/0!</v>
      </c>
      <c r="V5" s="25">
        <f t="shared" si="6"/>
        <v>21980</v>
      </c>
      <c r="W5" s="25"/>
      <c r="X5" s="27" t="s">
        <v>2286</v>
      </c>
      <c r="Y5" s="19" t="s">
        <v>35</v>
      </c>
      <c r="Z5" s="19" t="s">
        <v>35</v>
      </c>
      <c r="AA5" s="19" t="s">
        <v>2287</v>
      </c>
      <c r="AB5" s="19">
        <v>0</v>
      </c>
      <c r="AC5" s="19">
        <v>1</v>
      </c>
      <c r="AD5" s="19" t="s">
        <v>37</v>
      </c>
      <c r="AE5" s="19" t="s">
        <v>43</v>
      </c>
      <c r="AF5" s="19" t="s">
        <v>38</v>
      </c>
      <c r="AG5" s="19" t="s">
        <v>2288</v>
      </c>
    </row>
    <row r="6" spans="1:33" x14ac:dyDescent="0.3">
      <c r="A6" s="75" t="s">
        <v>2287</v>
      </c>
      <c r="B6" s="19" t="s">
        <v>2310</v>
      </c>
      <c r="C6" s="19" t="s">
        <v>2311</v>
      </c>
      <c r="D6" s="20">
        <v>45076</v>
      </c>
      <c r="E6" s="21">
        <v>110000</v>
      </c>
      <c r="F6" s="19" t="s">
        <v>32</v>
      </c>
      <c r="G6" s="19" t="s">
        <v>33</v>
      </c>
      <c r="H6" s="21">
        <v>110000</v>
      </c>
      <c r="I6" s="21">
        <v>39000</v>
      </c>
      <c r="J6" s="22">
        <f t="shared" si="0"/>
        <v>35.454545454545453</v>
      </c>
      <c r="K6" s="21">
        <v>102341</v>
      </c>
      <c r="L6" s="21">
        <f t="shared" si="1"/>
        <v>17659</v>
      </c>
      <c r="M6" s="21">
        <v>10000</v>
      </c>
      <c r="N6" s="67">
        <f t="shared" si="2"/>
        <v>9.0909090909090912E-2</v>
      </c>
      <c r="O6" s="23">
        <v>0</v>
      </c>
      <c r="P6" s="24">
        <v>0</v>
      </c>
      <c r="Q6" s="25">
        <v>0</v>
      </c>
      <c r="R6" s="25">
        <v>0</v>
      </c>
      <c r="S6" s="21" t="e">
        <f t="shared" si="3"/>
        <v>#DIV/0!</v>
      </c>
      <c r="T6" s="21" t="e">
        <f t="shared" si="4"/>
        <v>#DIV/0!</v>
      </c>
      <c r="U6" s="26" t="e">
        <f t="shared" si="5"/>
        <v>#DIV/0!</v>
      </c>
      <c r="V6" s="25">
        <f t="shared" si="6"/>
        <v>22000</v>
      </c>
      <c r="W6" s="25"/>
      <c r="X6" s="27" t="s">
        <v>2286</v>
      </c>
      <c r="Y6" s="19" t="s">
        <v>35</v>
      </c>
      <c r="Z6" s="19" t="s">
        <v>35</v>
      </c>
      <c r="AA6" s="19" t="s">
        <v>2287</v>
      </c>
      <c r="AB6" s="19">
        <v>0</v>
      </c>
      <c r="AC6" s="19">
        <v>1</v>
      </c>
      <c r="AD6" s="19" t="s">
        <v>37</v>
      </c>
      <c r="AE6" s="19" t="s">
        <v>43</v>
      </c>
      <c r="AF6" s="19" t="s">
        <v>38</v>
      </c>
      <c r="AG6" s="19" t="s">
        <v>2288</v>
      </c>
    </row>
    <row r="7" spans="1:33" x14ac:dyDescent="0.3">
      <c r="A7" s="75" t="s">
        <v>2287</v>
      </c>
      <c r="B7" s="19" t="s">
        <v>2284</v>
      </c>
      <c r="C7" s="19" t="s">
        <v>2285</v>
      </c>
      <c r="D7" s="20">
        <v>45588</v>
      </c>
      <c r="E7" s="21">
        <v>115000</v>
      </c>
      <c r="F7" s="19" t="s">
        <v>32</v>
      </c>
      <c r="G7" s="19" t="s">
        <v>33</v>
      </c>
      <c r="H7" s="21">
        <v>115000</v>
      </c>
      <c r="I7" s="21">
        <v>42000</v>
      </c>
      <c r="J7" s="22">
        <f t="shared" si="0"/>
        <v>36.521739130434781</v>
      </c>
      <c r="K7" s="21">
        <v>102341</v>
      </c>
      <c r="L7" s="21">
        <f t="shared" si="1"/>
        <v>22659</v>
      </c>
      <c r="M7" s="21">
        <v>10000</v>
      </c>
      <c r="N7" s="67">
        <f t="shared" si="2"/>
        <v>8.6956521739130432E-2</v>
      </c>
      <c r="O7" s="23">
        <v>0</v>
      </c>
      <c r="P7" s="24">
        <v>0</v>
      </c>
      <c r="Q7" s="25">
        <v>0</v>
      </c>
      <c r="R7" s="25">
        <v>0</v>
      </c>
      <c r="S7" s="21" t="e">
        <f t="shared" si="3"/>
        <v>#DIV/0!</v>
      </c>
      <c r="T7" s="21" t="e">
        <f t="shared" si="4"/>
        <v>#DIV/0!</v>
      </c>
      <c r="U7" s="26" t="e">
        <f t="shared" si="5"/>
        <v>#DIV/0!</v>
      </c>
      <c r="V7" s="25">
        <f t="shared" si="6"/>
        <v>23000</v>
      </c>
      <c r="W7" s="25"/>
      <c r="X7" s="27" t="s">
        <v>2286</v>
      </c>
      <c r="Y7" s="19" t="s">
        <v>35</v>
      </c>
      <c r="Z7" s="19" t="s">
        <v>35</v>
      </c>
      <c r="AA7" s="19" t="s">
        <v>2287</v>
      </c>
      <c r="AB7" s="19">
        <v>0</v>
      </c>
      <c r="AC7" s="19">
        <v>1</v>
      </c>
      <c r="AD7" s="19" t="s">
        <v>37</v>
      </c>
      <c r="AE7" s="19" t="s">
        <v>35</v>
      </c>
      <c r="AF7" s="19" t="s">
        <v>38</v>
      </c>
      <c r="AG7" s="19" t="s">
        <v>2288</v>
      </c>
    </row>
    <row r="8" spans="1:33" x14ac:dyDescent="0.3">
      <c r="A8" s="74" t="s">
        <v>2287</v>
      </c>
      <c r="B8" s="10" t="s">
        <v>2308</v>
      </c>
      <c r="C8" s="10" t="s">
        <v>2309</v>
      </c>
      <c r="D8" s="11">
        <v>45594</v>
      </c>
      <c r="E8" s="12">
        <v>118500</v>
      </c>
      <c r="F8" s="10" t="s">
        <v>32</v>
      </c>
      <c r="G8" s="10" t="s">
        <v>33</v>
      </c>
      <c r="H8" s="12">
        <v>118500</v>
      </c>
      <c r="I8" s="12">
        <v>42000</v>
      </c>
      <c r="J8" s="13">
        <f t="shared" si="0"/>
        <v>35.443037974683541</v>
      </c>
      <c r="K8" s="12">
        <v>102341</v>
      </c>
      <c r="L8" s="12">
        <f t="shared" si="1"/>
        <v>26159</v>
      </c>
      <c r="M8" s="12">
        <v>10000</v>
      </c>
      <c r="N8" s="66">
        <f t="shared" si="2"/>
        <v>8.4388185654008435E-2</v>
      </c>
      <c r="O8" s="14">
        <v>0</v>
      </c>
      <c r="P8" s="15">
        <v>0</v>
      </c>
      <c r="Q8" s="16">
        <v>0</v>
      </c>
      <c r="R8" s="16">
        <v>0</v>
      </c>
      <c r="S8" s="12" t="e">
        <f t="shared" si="3"/>
        <v>#DIV/0!</v>
      </c>
      <c r="T8" s="12" t="e">
        <f t="shared" si="4"/>
        <v>#DIV/0!</v>
      </c>
      <c r="U8" s="17" t="e">
        <f t="shared" si="5"/>
        <v>#DIV/0!</v>
      </c>
      <c r="V8" s="16">
        <f t="shared" si="6"/>
        <v>23700</v>
      </c>
      <c r="W8" s="16"/>
      <c r="X8" s="18" t="s">
        <v>2286</v>
      </c>
      <c r="Y8" s="10" t="s">
        <v>35</v>
      </c>
      <c r="Z8" s="10" t="s">
        <v>35</v>
      </c>
      <c r="AA8" s="10" t="s">
        <v>2287</v>
      </c>
      <c r="AB8" s="10">
        <v>0</v>
      </c>
      <c r="AC8" s="10">
        <v>1</v>
      </c>
      <c r="AD8" s="10" t="s">
        <v>37</v>
      </c>
      <c r="AE8" s="10" t="s">
        <v>35</v>
      </c>
      <c r="AF8" s="10" t="s">
        <v>38</v>
      </c>
      <c r="AG8" s="10" t="s">
        <v>2288</v>
      </c>
    </row>
    <row r="9" spans="1:33" x14ac:dyDescent="0.3">
      <c r="A9" s="75" t="s">
        <v>2287</v>
      </c>
      <c r="B9" s="19" t="s">
        <v>2289</v>
      </c>
      <c r="C9" s="19" t="s">
        <v>2290</v>
      </c>
      <c r="D9" s="20">
        <v>45593</v>
      </c>
      <c r="E9" s="21">
        <v>119900</v>
      </c>
      <c r="F9" s="19" t="s">
        <v>32</v>
      </c>
      <c r="G9" s="19" t="s">
        <v>33</v>
      </c>
      <c r="H9" s="21">
        <v>119900</v>
      </c>
      <c r="I9" s="21">
        <v>42400</v>
      </c>
      <c r="J9" s="22">
        <f t="shared" si="0"/>
        <v>35.362802335279397</v>
      </c>
      <c r="K9" s="21">
        <v>103045</v>
      </c>
      <c r="L9" s="21">
        <f>H9-93045</f>
        <v>26855</v>
      </c>
      <c r="M9" s="21">
        <v>10000</v>
      </c>
      <c r="N9" s="67">
        <f t="shared" si="2"/>
        <v>8.3402835696413671E-2</v>
      </c>
      <c r="O9" s="23">
        <v>0</v>
      </c>
      <c r="P9" s="24">
        <v>0</v>
      </c>
      <c r="Q9" s="25">
        <v>0</v>
      </c>
      <c r="R9" s="25">
        <v>0</v>
      </c>
      <c r="S9" s="21" t="e">
        <f t="shared" si="3"/>
        <v>#DIV/0!</v>
      </c>
      <c r="T9" s="21" t="e">
        <f t="shared" si="4"/>
        <v>#DIV/0!</v>
      </c>
      <c r="U9" s="26" t="e">
        <f t="shared" si="5"/>
        <v>#DIV/0!</v>
      </c>
      <c r="V9" s="25">
        <f t="shared" si="6"/>
        <v>23980</v>
      </c>
      <c r="W9" s="25"/>
      <c r="X9" s="27" t="s">
        <v>2286</v>
      </c>
      <c r="Y9" s="19" t="s">
        <v>35</v>
      </c>
      <c r="Z9" s="19" t="s">
        <v>35</v>
      </c>
      <c r="AA9" s="19" t="s">
        <v>2287</v>
      </c>
      <c r="AB9" s="19">
        <v>0</v>
      </c>
      <c r="AC9" s="19">
        <v>1</v>
      </c>
      <c r="AD9" s="19" t="s">
        <v>2291</v>
      </c>
      <c r="AE9" s="19" t="s">
        <v>35</v>
      </c>
      <c r="AF9" s="19" t="s">
        <v>38</v>
      </c>
      <c r="AG9" s="19" t="s">
        <v>2288</v>
      </c>
    </row>
    <row r="10" spans="1:33" x14ac:dyDescent="0.3">
      <c r="A10" s="74" t="s">
        <v>2287</v>
      </c>
      <c r="B10" s="10" t="s">
        <v>2302</v>
      </c>
      <c r="C10" s="10" t="s">
        <v>2303</v>
      </c>
      <c r="D10" s="11">
        <v>45345</v>
      </c>
      <c r="E10" s="12">
        <v>120000</v>
      </c>
      <c r="F10" s="10" t="s">
        <v>32</v>
      </c>
      <c r="G10" s="10" t="s">
        <v>33</v>
      </c>
      <c r="H10" s="12">
        <v>120000</v>
      </c>
      <c r="I10" s="12">
        <v>39000</v>
      </c>
      <c r="J10" s="13">
        <f t="shared" si="0"/>
        <v>32.5</v>
      </c>
      <c r="K10" s="12">
        <v>102341</v>
      </c>
      <c r="L10" s="12">
        <f>H10-92341</f>
        <v>27659</v>
      </c>
      <c r="M10" s="12">
        <v>10000</v>
      </c>
      <c r="N10" s="66">
        <f t="shared" si="2"/>
        <v>8.3333333333333329E-2</v>
      </c>
      <c r="O10" s="14">
        <v>0</v>
      </c>
      <c r="P10" s="15">
        <v>0</v>
      </c>
      <c r="Q10" s="16">
        <v>0</v>
      </c>
      <c r="R10" s="16">
        <v>0</v>
      </c>
      <c r="S10" s="12" t="e">
        <f t="shared" si="3"/>
        <v>#DIV/0!</v>
      </c>
      <c r="T10" s="12" t="e">
        <f t="shared" si="4"/>
        <v>#DIV/0!</v>
      </c>
      <c r="U10" s="17" t="e">
        <f t="shared" si="5"/>
        <v>#DIV/0!</v>
      </c>
      <c r="V10" s="16">
        <f t="shared" si="6"/>
        <v>24000</v>
      </c>
      <c r="W10" s="16"/>
      <c r="X10" s="18" t="s">
        <v>2286</v>
      </c>
      <c r="Y10" s="10" t="s">
        <v>35</v>
      </c>
      <c r="Z10" s="10" t="s">
        <v>35</v>
      </c>
      <c r="AA10" s="10" t="s">
        <v>2287</v>
      </c>
      <c r="AB10" s="10">
        <v>0</v>
      </c>
      <c r="AC10" s="10">
        <v>1</v>
      </c>
      <c r="AD10" s="10" t="s">
        <v>37</v>
      </c>
      <c r="AE10" s="10" t="s">
        <v>43</v>
      </c>
      <c r="AF10" s="10" t="s">
        <v>38</v>
      </c>
      <c r="AG10" s="10" t="s">
        <v>2288</v>
      </c>
    </row>
    <row r="11" spans="1:33" x14ac:dyDescent="0.3">
      <c r="A11" s="75" t="s">
        <v>2287</v>
      </c>
      <c r="B11" s="19" t="s">
        <v>2296</v>
      </c>
      <c r="C11" s="19" t="s">
        <v>2297</v>
      </c>
      <c r="D11" s="20">
        <v>45230</v>
      </c>
      <c r="E11" s="21">
        <v>121000</v>
      </c>
      <c r="F11" s="19" t="s">
        <v>32</v>
      </c>
      <c r="G11" s="19" t="s">
        <v>33</v>
      </c>
      <c r="H11" s="21">
        <v>121000</v>
      </c>
      <c r="I11" s="21">
        <v>39000</v>
      </c>
      <c r="J11" s="22">
        <f t="shared" si="0"/>
        <v>32.231404958677686</v>
      </c>
      <c r="K11" s="21">
        <v>102341</v>
      </c>
      <c r="L11" s="21">
        <f>H11-92341</f>
        <v>28659</v>
      </c>
      <c r="M11" s="21">
        <v>10000</v>
      </c>
      <c r="N11" s="67">
        <f t="shared" si="2"/>
        <v>8.2644628099173556E-2</v>
      </c>
      <c r="O11" s="23">
        <v>0</v>
      </c>
      <c r="P11" s="24">
        <v>0</v>
      </c>
      <c r="Q11" s="25">
        <v>0</v>
      </c>
      <c r="R11" s="25">
        <v>0</v>
      </c>
      <c r="S11" s="21" t="e">
        <f t="shared" si="3"/>
        <v>#DIV/0!</v>
      </c>
      <c r="T11" s="21" t="e">
        <f t="shared" si="4"/>
        <v>#DIV/0!</v>
      </c>
      <c r="U11" s="26" t="e">
        <f t="shared" si="5"/>
        <v>#DIV/0!</v>
      </c>
      <c r="V11" s="25">
        <f t="shared" si="6"/>
        <v>24200</v>
      </c>
      <c r="W11" s="25"/>
      <c r="X11" s="27" t="s">
        <v>2286</v>
      </c>
      <c r="Y11" s="19" t="s">
        <v>35</v>
      </c>
      <c r="Z11" s="19" t="s">
        <v>35</v>
      </c>
      <c r="AA11" s="19" t="s">
        <v>2287</v>
      </c>
      <c r="AB11" s="19">
        <v>0</v>
      </c>
      <c r="AC11" s="19">
        <v>1</v>
      </c>
      <c r="AD11" s="19" t="s">
        <v>37</v>
      </c>
      <c r="AE11" s="19" t="s">
        <v>43</v>
      </c>
      <c r="AF11" s="19" t="s">
        <v>38</v>
      </c>
      <c r="AG11" s="19" t="s">
        <v>2288</v>
      </c>
    </row>
    <row r="12" spans="1:33" x14ac:dyDescent="0.3">
      <c r="A12" s="74" t="s">
        <v>2287</v>
      </c>
      <c r="B12" s="10" t="s">
        <v>2292</v>
      </c>
      <c r="C12" s="10" t="s">
        <v>2293</v>
      </c>
      <c r="D12" s="11">
        <v>45593</v>
      </c>
      <c r="E12" s="12">
        <v>125000</v>
      </c>
      <c r="F12" s="10" t="s">
        <v>32</v>
      </c>
      <c r="G12" s="10" t="s">
        <v>33</v>
      </c>
      <c r="H12" s="12">
        <v>125000</v>
      </c>
      <c r="I12" s="12">
        <v>42000</v>
      </c>
      <c r="J12" s="13">
        <f t="shared" si="0"/>
        <v>33.6</v>
      </c>
      <c r="K12" s="12">
        <v>102341</v>
      </c>
      <c r="L12" s="12">
        <f>H12-92341</f>
        <v>32659</v>
      </c>
      <c r="M12" s="12">
        <v>10000</v>
      </c>
      <c r="N12" s="66">
        <f t="shared" si="2"/>
        <v>0.08</v>
      </c>
      <c r="O12" s="14">
        <v>0</v>
      </c>
      <c r="P12" s="15">
        <v>0</v>
      </c>
      <c r="Q12" s="16">
        <v>0</v>
      </c>
      <c r="R12" s="16">
        <v>0</v>
      </c>
      <c r="S12" s="12" t="e">
        <f t="shared" si="3"/>
        <v>#DIV/0!</v>
      </c>
      <c r="T12" s="12" t="e">
        <f t="shared" si="4"/>
        <v>#DIV/0!</v>
      </c>
      <c r="U12" s="17" t="e">
        <f t="shared" si="5"/>
        <v>#DIV/0!</v>
      </c>
      <c r="V12" s="16">
        <f t="shared" si="6"/>
        <v>25000</v>
      </c>
      <c r="W12" s="16"/>
      <c r="X12" s="18" t="s">
        <v>2286</v>
      </c>
      <c r="Y12" s="10" t="s">
        <v>35</v>
      </c>
      <c r="Z12" s="10" t="s">
        <v>35</v>
      </c>
      <c r="AA12" s="10" t="s">
        <v>2287</v>
      </c>
      <c r="AB12" s="10">
        <v>0</v>
      </c>
      <c r="AC12" s="10">
        <v>1</v>
      </c>
      <c r="AD12" s="10" t="s">
        <v>37</v>
      </c>
      <c r="AE12" s="10" t="s">
        <v>35</v>
      </c>
      <c r="AF12" s="10" t="s">
        <v>38</v>
      </c>
      <c r="AG12" s="10" t="s">
        <v>2288</v>
      </c>
    </row>
    <row r="13" spans="1:33" ht="15" thickBot="1" x14ac:dyDescent="0.35">
      <c r="A13" s="74" t="s">
        <v>2287</v>
      </c>
      <c r="B13" s="10" t="s">
        <v>2300</v>
      </c>
      <c r="C13" s="10" t="s">
        <v>2301</v>
      </c>
      <c r="D13" s="11">
        <v>45103</v>
      </c>
      <c r="E13" s="12">
        <v>125000</v>
      </c>
      <c r="F13" s="10" t="s">
        <v>32</v>
      </c>
      <c r="G13" s="10" t="s">
        <v>33</v>
      </c>
      <c r="H13" s="12">
        <v>125000</v>
      </c>
      <c r="I13" s="12">
        <v>40200</v>
      </c>
      <c r="J13" s="13">
        <f t="shared" si="0"/>
        <v>32.159999999999997</v>
      </c>
      <c r="K13" s="12">
        <v>105200</v>
      </c>
      <c r="L13" s="12">
        <f>H13-95200</f>
        <v>29800</v>
      </c>
      <c r="M13" s="12">
        <v>10000</v>
      </c>
      <c r="N13" s="66">
        <f t="shared" si="2"/>
        <v>0.08</v>
      </c>
      <c r="O13" s="14">
        <v>0</v>
      </c>
      <c r="P13" s="15">
        <v>0</v>
      </c>
      <c r="Q13" s="16">
        <v>0</v>
      </c>
      <c r="R13" s="16">
        <v>0</v>
      </c>
      <c r="S13" s="12" t="e">
        <f t="shared" si="3"/>
        <v>#DIV/0!</v>
      </c>
      <c r="T13" s="12" t="e">
        <f t="shared" si="4"/>
        <v>#DIV/0!</v>
      </c>
      <c r="U13" s="17" t="e">
        <f t="shared" si="5"/>
        <v>#DIV/0!</v>
      </c>
      <c r="V13" s="16">
        <f t="shared" si="6"/>
        <v>25000</v>
      </c>
      <c r="W13" s="16"/>
      <c r="X13" s="18" t="s">
        <v>2286</v>
      </c>
      <c r="Y13" s="10" t="s">
        <v>35</v>
      </c>
      <c r="Z13" s="10" t="s">
        <v>35</v>
      </c>
      <c r="AA13" s="10" t="s">
        <v>2287</v>
      </c>
      <c r="AB13" s="10">
        <v>0</v>
      </c>
      <c r="AC13" s="10">
        <v>1</v>
      </c>
      <c r="AD13" s="10" t="s">
        <v>37</v>
      </c>
      <c r="AE13" s="10" t="s">
        <v>43</v>
      </c>
      <c r="AF13" s="10" t="s">
        <v>38</v>
      </c>
      <c r="AG13" s="10" t="s">
        <v>2288</v>
      </c>
    </row>
    <row r="14" spans="1:33" ht="15" thickTop="1" x14ac:dyDescent="0.3">
      <c r="A14" s="76"/>
      <c r="B14" s="37"/>
      <c r="C14" s="37"/>
      <c r="D14" s="38" t="s">
        <v>2876</v>
      </c>
      <c r="E14" s="39">
        <f>+SUM(E2:E13)</f>
        <v>1355300</v>
      </c>
      <c r="F14" s="37"/>
      <c r="G14" s="37"/>
      <c r="H14" s="39">
        <f>+SUM(H2:H13)</f>
        <v>1355300</v>
      </c>
      <c r="I14" s="39">
        <f>+SUM(I2:I13)</f>
        <v>490600</v>
      </c>
      <c r="J14" s="40"/>
      <c r="K14" s="39">
        <f>+SUM(K2:K13)</f>
        <v>1231655</v>
      </c>
      <c r="L14" s="39">
        <f>+SUM(L2:L13)</f>
        <v>243645</v>
      </c>
      <c r="M14" s="39">
        <f>+SUM(M2:M13)</f>
        <v>120000</v>
      </c>
      <c r="N14" s="81">
        <f>AVERAGE(N2:N13)</f>
        <v>8.9338019227465634E-2</v>
      </c>
      <c r="O14" s="41">
        <f>+SUM(O2:O13)</f>
        <v>0</v>
      </c>
      <c r="P14" s="42"/>
      <c r="Q14" s="43">
        <f>+SUM(Q2:Q13)</f>
        <v>0</v>
      </c>
      <c r="R14" s="43">
        <f>+SUM(R2:R13)</f>
        <v>0</v>
      </c>
      <c r="S14" s="39"/>
      <c r="T14" s="39"/>
      <c r="U14" s="44"/>
      <c r="V14" s="82">
        <f>AVERAGE(V2:V13)</f>
        <v>22588.333333333332</v>
      </c>
      <c r="W14" s="83" t="e">
        <f>AVERAGE(W2:W13)</f>
        <v>#DIV/0!</v>
      </c>
      <c r="X14" s="45"/>
      <c r="Y14" s="37"/>
      <c r="Z14" s="37"/>
      <c r="AA14" s="37"/>
      <c r="AB14" s="37"/>
      <c r="AC14" s="37"/>
      <c r="AD14" s="37"/>
      <c r="AE14" s="37"/>
      <c r="AF14" s="37"/>
      <c r="AG14" s="37"/>
    </row>
    <row r="15" spans="1:33" x14ac:dyDescent="0.3">
      <c r="A15" s="77"/>
      <c r="B15" s="28"/>
      <c r="C15" s="28"/>
      <c r="D15" s="29"/>
      <c r="E15" s="30"/>
      <c r="F15" s="28"/>
      <c r="G15" s="28"/>
      <c r="H15" s="30"/>
      <c r="I15" s="30" t="s">
        <v>2877</v>
      </c>
      <c r="J15" s="31">
        <f>I14/H14*100</f>
        <v>36.198627610123218</v>
      </c>
      <c r="K15" s="30"/>
      <c r="L15" s="30"/>
      <c r="M15" s="30" t="s">
        <v>2879</v>
      </c>
      <c r="N15" s="79"/>
      <c r="O15" s="32"/>
      <c r="P15" s="33"/>
      <c r="Q15" s="34" t="s">
        <v>2879</v>
      </c>
      <c r="R15" s="34"/>
      <c r="S15" s="30"/>
      <c r="T15" s="30" t="s">
        <v>2879</v>
      </c>
      <c r="U15" s="35"/>
      <c r="V15" s="63"/>
      <c r="W15" s="68"/>
      <c r="X15" s="36"/>
      <c r="Y15" s="28"/>
      <c r="Z15" s="28"/>
      <c r="AA15" s="28"/>
      <c r="AB15" s="28"/>
      <c r="AC15" s="28"/>
      <c r="AD15" s="28"/>
      <c r="AE15" s="28"/>
      <c r="AF15" s="28"/>
      <c r="AG15" s="28"/>
    </row>
    <row r="16" spans="1:33" x14ac:dyDescent="0.3">
      <c r="A16" s="78"/>
      <c r="B16" s="46"/>
      <c r="C16" s="46"/>
      <c r="D16" s="47"/>
      <c r="E16" s="48"/>
      <c r="F16" s="46"/>
      <c r="G16" s="46"/>
      <c r="H16" s="48"/>
      <c r="I16" s="48" t="s">
        <v>2878</v>
      </c>
      <c r="J16" s="49">
        <f>STDEV(J2:J13)</f>
        <v>3.9479422999388878</v>
      </c>
      <c r="K16" s="48"/>
      <c r="L16" s="48"/>
      <c r="M16" s="48" t="s">
        <v>2880</v>
      </c>
      <c r="N16" s="80"/>
      <c r="O16" s="54" t="e">
        <f>L14/O14</f>
        <v>#DIV/0!</v>
      </c>
      <c r="P16" s="50"/>
      <c r="Q16" s="51" t="s">
        <v>2881</v>
      </c>
      <c r="R16" s="51" t="e">
        <f>L14/Q14</f>
        <v>#DIV/0!</v>
      </c>
      <c r="S16" s="48"/>
      <c r="T16" s="48" t="s">
        <v>2882</v>
      </c>
      <c r="U16" s="52" t="e">
        <f>L14/Q14/43560</f>
        <v>#DIV/0!</v>
      </c>
      <c r="V16" s="64"/>
      <c r="W16" s="69"/>
      <c r="X16" s="53"/>
      <c r="Y16" s="46"/>
      <c r="Z16" s="46"/>
      <c r="AA16" s="46"/>
      <c r="AB16" s="46"/>
      <c r="AC16" s="46"/>
      <c r="AD16" s="46"/>
      <c r="AE16" s="46"/>
      <c r="AF16" s="46"/>
      <c r="AG16" s="46"/>
    </row>
    <row r="17" spans="1:33" x14ac:dyDescent="0.3">
      <c r="E17" s="258">
        <f>AVERAGE(E2:E13)</f>
        <v>112941.66666666667</v>
      </c>
    </row>
    <row r="18" spans="1:33" x14ac:dyDescent="0.3">
      <c r="E18" s="225" t="s">
        <v>3194</v>
      </c>
    </row>
    <row r="19" spans="1:33" x14ac:dyDescent="0.3">
      <c r="E19" s="257">
        <f>E17*0.2</f>
        <v>22588.333333333336</v>
      </c>
    </row>
    <row r="22" spans="1:33" x14ac:dyDescent="0.3">
      <c r="A22" s="55" t="s">
        <v>3092</v>
      </c>
    </row>
    <row r="23" spans="1:33" x14ac:dyDescent="0.3">
      <c r="A23" s="74" t="s">
        <v>2287</v>
      </c>
      <c r="B23" s="10" t="s">
        <v>2308</v>
      </c>
      <c r="C23" s="10" t="s">
        <v>2309</v>
      </c>
      <c r="D23" s="11">
        <v>45427</v>
      </c>
      <c r="E23" s="12">
        <v>60000</v>
      </c>
      <c r="F23" s="10" t="s">
        <v>32</v>
      </c>
      <c r="G23" s="10" t="s">
        <v>33</v>
      </c>
      <c r="H23" s="12">
        <v>60000</v>
      </c>
      <c r="I23" s="12">
        <v>42000</v>
      </c>
      <c r="J23" s="13">
        <f>I23/H23*100</f>
        <v>70</v>
      </c>
      <c r="K23" s="12">
        <v>102341</v>
      </c>
      <c r="L23" s="12">
        <f>H23-92341</f>
        <v>-32341</v>
      </c>
      <c r="M23" s="12">
        <v>10000</v>
      </c>
      <c r="N23" s="66">
        <f>M23/E23</f>
        <v>0.16666666666666666</v>
      </c>
      <c r="O23" s="14">
        <v>0</v>
      </c>
      <c r="P23" s="15">
        <v>0</v>
      </c>
      <c r="Q23" s="16">
        <v>0</v>
      </c>
      <c r="R23" s="16">
        <v>0</v>
      </c>
      <c r="S23" s="12" t="e">
        <f>L23/O23</f>
        <v>#DIV/0!</v>
      </c>
      <c r="T23" s="12" t="e">
        <f>L23/Q23</f>
        <v>#DIV/0!</v>
      </c>
      <c r="U23" s="17" t="e">
        <f>L23/Q23/43560</f>
        <v>#DIV/0!</v>
      </c>
      <c r="V23" s="16">
        <f>0.2*E23</f>
        <v>12000</v>
      </c>
      <c r="W23" s="16"/>
      <c r="X23" s="18" t="s">
        <v>2286</v>
      </c>
      <c r="Y23" s="10" t="s">
        <v>35</v>
      </c>
      <c r="Z23" s="10" t="s">
        <v>35</v>
      </c>
      <c r="AA23" s="10" t="s">
        <v>2287</v>
      </c>
      <c r="AB23" s="10">
        <v>0</v>
      </c>
      <c r="AC23" s="10">
        <v>1</v>
      </c>
      <c r="AD23" s="10" t="s">
        <v>37</v>
      </c>
      <c r="AE23" s="10" t="s">
        <v>43</v>
      </c>
      <c r="AF23" s="10" t="s">
        <v>38</v>
      </c>
      <c r="AG23" s="10" t="s">
        <v>2288</v>
      </c>
    </row>
    <row r="25" spans="1:33" x14ac:dyDescent="0.3">
      <c r="H25" s="94" t="s">
        <v>3099</v>
      </c>
      <c r="N25"/>
      <c r="O25" s="95"/>
    </row>
    <row r="26" spans="1:33" x14ac:dyDescent="0.3">
      <c r="H26" s="383" t="s">
        <v>3163</v>
      </c>
      <c r="I26" s="383"/>
      <c r="J26" s="383"/>
      <c r="K26" s="383"/>
      <c r="L26" s="383"/>
      <c r="M26" s="383"/>
      <c r="N26" s="383"/>
      <c r="O26" s="383"/>
    </row>
    <row r="27" spans="1:33" x14ac:dyDescent="0.3">
      <c r="H27" s="383" t="s">
        <v>3164</v>
      </c>
      <c r="I27" s="383"/>
      <c r="J27" s="383"/>
      <c r="K27" s="383"/>
      <c r="L27" s="383"/>
      <c r="M27" s="383"/>
      <c r="N27" s="383"/>
      <c r="O27" s="383"/>
    </row>
    <row r="28" spans="1:33" x14ac:dyDescent="0.3">
      <c r="H28" s="383" t="s">
        <v>3165</v>
      </c>
      <c r="I28" s="383"/>
      <c r="J28" s="383"/>
      <c r="K28" s="383"/>
      <c r="L28" s="383"/>
      <c r="M28" s="383"/>
      <c r="N28" s="383"/>
      <c r="O28" s="383"/>
    </row>
    <row r="29" spans="1:33" x14ac:dyDescent="0.3">
      <c r="H29" s="383" t="s">
        <v>3166</v>
      </c>
      <c r="I29" s="383"/>
      <c r="J29" s="383"/>
      <c r="K29" s="383"/>
      <c r="L29" s="383"/>
      <c r="M29" s="96"/>
      <c r="N29" s="96"/>
      <c r="O29" s="96"/>
    </row>
    <row r="30" spans="1:33" x14ac:dyDescent="0.3">
      <c r="H30" s="383" t="s">
        <v>3167</v>
      </c>
      <c r="I30" s="383"/>
      <c r="J30" s="383"/>
      <c r="K30" s="383"/>
      <c r="L30" s="383"/>
      <c r="N30"/>
      <c r="O30" s="95"/>
    </row>
    <row r="31" spans="1:33" x14ac:dyDescent="0.3">
      <c r="H31" s="383" t="s">
        <v>3100</v>
      </c>
      <c r="I31" s="383"/>
      <c r="J31" s="383"/>
      <c r="K31" s="383"/>
      <c r="L31" s="383"/>
      <c r="N31"/>
      <c r="O31" s="95"/>
    </row>
  </sheetData>
  <sortState xmlns:xlrd2="http://schemas.microsoft.com/office/spreadsheetml/2017/richdata2" ref="A2:AH14">
    <sortCondition ref="V2:V14"/>
  </sortState>
  <pageMargins left="0.7" right="0.7" top="0.75" bottom="0.75" header="0.3" footer="0.3"/>
  <pageSetup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2">
    <tabColor rgb="FF00B050"/>
  </sheetPr>
  <dimension ref="A1:AH36"/>
  <sheetViews>
    <sheetView workbookViewId="0">
      <selection activeCell="E26" sqref="E26:N3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7.664062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2791</v>
      </c>
      <c r="B2" s="10" t="s">
        <v>2829</v>
      </c>
      <c r="C2" s="10" t="s">
        <v>2830</v>
      </c>
      <c r="D2" s="11">
        <v>45565</v>
      </c>
      <c r="E2" s="12">
        <v>55000</v>
      </c>
      <c r="F2" s="10" t="s">
        <v>32</v>
      </c>
      <c r="G2" s="10" t="s">
        <v>33</v>
      </c>
      <c r="H2" s="12">
        <v>55000</v>
      </c>
      <c r="I2" s="12">
        <v>36500</v>
      </c>
      <c r="J2" s="13">
        <f t="shared" ref="J2:J22" si="0">I2/H2*100</f>
        <v>66.363636363636374</v>
      </c>
      <c r="K2" s="12">
        <v>80475</v>
      </c>
      <c r="L2" s="12">
        <f>H2-70475</f>
        <v>-15475</v>
      </c>
      <c r="M2" s="12">
        <v>10000</v>
      </c>
      <c r="N2" s="66">
        <f t="shared" ref="N2:N22" si="1">M2/E2</f>
        <v>0.18181818181818182</v>
      </c>
      <c r="O2" s="14">
        <v>0</v>
      </c>
      <c r="P2" s="15">
        <v>0</v>
      </c>
      <c r="Q2" s="16">
        <v>0</v>
      </c>
      <c r="R2" s="16">
        <v>0</v>
      </c>
      <c r="S2" s="12" t="e">
        <f t="shared" ref="S2:S22" si="2">L2/O2</f>
        <v>#DIV/0!</v>
      </c>
      <c r="T2" s="12" t="e">
        <f t="shared" ref="T2:T22" si="3">L2/Q2</f>
        <v>#DIV/0!</v>
      </c>
      <c r="U2" s="17" t="e">
        <f t="shared" ref="U2:U22" si="4">L2/Q2/43560</f>
        <v>#DIV/0!</v>
      </c>
      <c r="V2" s="16">
        <v>0</v>
      </c>
      <c r="W2" s="16">
        <f t="shared" ref="W2:W22" si="5">0.2*E2</f>
        <v>11000</v>
      </c>
      <c r="X2" s="16"/>
      <c r="Y2" s="18" t="s">
        <v>2790</v>
      </c>
      <c r="Z2" s="10" t="s">
        <v>35</v>
      </c>
      <c r="AA2" s="10" t="s">
        <v>35</v>
      </c>
      <c r="AB2" s="10" t="s">
        <v>2791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38</v>
      </c>
      <c r="AH2" s="10" t="s">
        <v>2792</v>
      </c>
    </row>
    <row r="3" spans="1:34" x14ac:dyDescent="0.3">
      <c r="A3" s="75" t="s">
        <v>2791</v>
      </c>
      <c r="B3" s="19" t="s">
        <v>2799</v>
      </c>
      <c r="C3" s="19" t="s">
        <v>2800</v>
      </c>
      <c r="D3" s="20">
        <v>45565</v>
      </c>
      <c r="E3" s="21">
        <v>60000</v>
      </c>
      <c r="F3" s="19" t="s">
        <v>32</v>
      </c>
      <c r="G3" s="19" t="s">
        <v>33</v>
      </c>
      <c r="H3" s="21">
        <v>60000</v>
      </c>
      <c r="I3" s="21">
        <v>35200</v>
      </c>
      <c r="J3" s="22">
        <f t="shared" si="0"/>
        <v>58.666666666666664</v>
      </c>
      <c r="K3" s="21">
        <v>77600</v>
      </c>
      <c r="L3" s="21">
        <f>H3-67600</f>
        <v>-7600</v>
      </c>
      <c r="M3" s="21">
        <v>10000</v>
      </c>
      <c r="N3" s="67">
        <f t="shared" si="1"/>
        <v>0.16666666666666666</v>
      </c>
      <c r="O3" s="23">
        <v>0</v>
      </c>
      <c r="P3" s="24">
        <v>0</v>
      </c>
      <c r="Q3" s="25">
        <v>0</v>
      </c>
      <c r="R3" s="25">
        <v>0</v>
      </c>
      <c r="S3" s="21" t="e">
        <f t="shared" si="2"/>
        <v>#DIV/0!</v>
      </c>
      <c r="T3" s="21" t="e">
        <f t="shared" si="3"/>
        <v>#DIV/0!</v>
      </c>
      <c r="U3" s="26" t="e">
        <f t="shared" si="4"/>
        <v>#DIV/0!</v>
      </c>
      <c r="V3" s="25">
        <v>0</v>
      </c>
      <c r="W3" s="25">
        <f t="shared" si="5"/>
        <v>12000</v>
      </c>
      <c r="X3" s="25"/>
      <c r="Y3" s="27" t="s">
        <v>2790</v>
      </c>
      <c r="Z3" s="19" t="s">
        <v>35</v>
      </c>
      <c r="AA3" s="19" t="s">
        <v>35</v>
      </c>
      <c r="AB3" s="19" t="s">
        <v>2791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2792</v>
      </c>
    </row>
    <row r="4" spans="1:34" x14ac:dyDescent="0.3">
      <c r="A4" s="74" t="s">
        <v>2791</v>
      </c>
      <c r="B4" s="10" t="s">
        <v>2819</v>
      </c>
      <c r="C4" s="10" t="s">
        <v>2820</v>
      </c>
      <c r="D4" s="11">
        <v>45729</v>
      </c>
      <c r="E4" s="12">
        <v>65000</v>
      </c>
      <c r="F4" s="10" t="s">
        <v>32</v>
      </c>
      <c r="G4" s="10" t="s">
        <v>33</v>
      </c>
      <c r="H4" s="12">
        <v>65000</v>
      </c>
      <c r="I4" s="12">
        <v>35200</v>
      </c>
      <c r="J4" s="13">
        <f t="shared" si="0"/>
        <v>54.153846153846153</v>
      </c>
      <c r="K4" s="12">
        <v>77600</v>
      </c>
      <c r="L4" s="12">
        <f>H4-67600</f>
        <v>-2600</v>
      </c>
      <c r="M4" s="12">
        <v>10000</v>
      </c>
      <c r="N4" s="66">
        <f t="shared" si="1"/>
        <v>0.15384615384615385</v>
      </c>
      <c r="O4" s="14">
        <v>0</v>
      </c>
      <c r="P4" s="15">
        <v>0</v>
      </c>
      <c r="Q4" s="16">
        <v>0</v>
      </c>
      <c r="R4" s="16">
        <v>0</v>
      </c>
      <c r="S4" s="12" t="e">
        <f t="shared" si="2"/>
        <v>#DIV/0!</v>
      </c>
      <c r="T4" s="12" t="e">
        <f t="shared" si="3"/>
        <v>#DIV/0!</v>
      </c>
      <c r="U4" s="17" t="e">
        <f t="shared" si="4"/>
        <v>#DIV/0!</v>
      </c>
      <c r="V4" s="16">
        <v>0</v>
      </c>
      <c r="W4" s="16">
        <f t="shared" si="5"/>
        <v>13000</v>
      </c>
      <c r="X4" s="16"/>
      <c r="Y4" s="18" t="s">
        <v>2790</v>
      </c>
      <c r="Z4" s="10" t="s">
        <v>35</v>
      </c>
      <c r="AA4" s="10" t="s">
        <v>35</v>
      </c>
      <c r="AB4" s="10" t="s">
        <v>2791</v>
      </c>
      <c r="AC4" s="10">
        <v>0</v>
      </c>
      <c r="AD4" s="10">
        <v>1</v>
      </c>
      <c r="AE4" s="10" t="s">
        <v>37</v>
      </c>
      <c r="AF4" s="10" t="s">
        <v>35</v>
      </c>
      <c r="AG4" s="10" t="s">
        <v>38</v>
      </c>
      <c r="AH4" s="10" t="s">
        <v>2792</v>
      </c>
    </row>
    <row r="5" spans="1:34" x14ac:dyDescent="0.3">
      <c r="A5" s="75" t="s">
        <v>2791</v>
      </c>
      <c r="B5" s="19" t="s">
        <v>2788</v>
      </c>
      <c r="C5" s="19" t="s">
        <v>2789</v>
      </c>
      <c r="D5" s="20">
        <v>45476</v>
      </c>
      <c r="E5" s="21">
        <v>70000</v>
      </c>
      <c r="F5" s="19" t="s">
        <v>32</v>
      </c>
      <c r="G5" s="19" t="s">
        <v>33</v>
      </c>
      <c r="H5" s="21">
        <v>70000</v>
      </c>
      <c r="I5" s="21">
        <v>35200</v>
      </c>
      <c r="J5" s="22">
        <f t="shared" si="0"/>
        <v>50.285714285714292</v>
      </c>
      <c r="K5" s="21">
        <v>77600</v>
      </c>
      <c r="L5" s="21">
        <f>H5-67600</f>
        <v>2400</v>
      </c>
      <c r="M5" s="21">
        <v>10000</v>
      </c>
      <c r="N5" s="67">
        <f t="shared" si="1"/>
        <v>0.14285714285714285</v>
      </c>
      <c r="O5" s="23">
        <v>0</v>
      </c>
      <c r="P5" s="24">
        <v>0</v>
      </c>
      <c r="Q5" s="25">
        <v>0</v>
      </c>
      <c r="R5" s="25">
        <v>0</v>
      </c>
      <c r="S5" s="21" t="e">
        <f t="shared" si="2"/>
        <v>#DIV/0!</v>
      </c>
      <c r="T5" s="21" t="e">
        <f t="shared" si="3"/>
        <v>#DIV/0!</v>
      </c>
      <c r="U5" s="26" t="e">
        <f t="shared" si="4"/>
        <v>#DIV/0!</v>
      </c>
      <c r="V5" s="25">
        <v>0</v>
      </c>
      <c r="W5" s="25">
        <f t="shared" si="5"/>
        <v>14000</v>
      </c>
      <c r="X5" s="25"/>
      <c r="Y5" s="27" t="s">
        <v>2790</v>
      </c>
      <c r="Z5" s="19" t="s">
        <v>35</v>
      </c>
      <c r="AA5" s="19" t="s">
        <v>35</v>
      </c>
      <c r="AB5" s="19" t="s">
        <v>2791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2792</v>
      </c>
    </row>
    <row r="6" spans="1:34" x14ac:dyDescent="0.3">
      <c r="A6" s="75" t="s">
        <v>2791</v>
      </c>
      <c r="B6" s="19" t="s">
        <v>2825</v>
      </c>
      <c r="C6" s="19" t="s">
        <v>2826</v>
      </c>
      <c r="D6" s="20">
        <v>45322</v>
      </c>
      <c r="E6" s="21">
        <v>74200</v>
      </c>
      <c r="F6" s="19" t="s">
        <v>32</v>
      </c>
      <c r="G6" s="19" t="s">
        <v>33</v>
      </c>
      <c r="H6" s="21">
        <v>74200</v>
      </c>
      <c r="I6" s="21">
        <v>31100</v>
      </c>
      <c r="J6" s="22">
        <f t="shared" si="0"/>
        <v>41.913746630727758</v>
      </c>
      <c r="K6" s="21">
        <v>81921</v>
      </c>
      <c r="L6" s="21">
        <f>H6-71921</f>
        <v>2279</v>
      </c>
      <c r="M6" s="21">
        <v>10000</v>
      </c>
      <c r="N6" s="67">
        <f t="shared" si="1"/>
        <v>0.13477088948787061</v>
      </c>
      <c r="O6" s="23">
        <v>0</v>
      </c>
      <c r="P6" s="24">
        <v>0</v>
      </c>
      <c r="Q6" s="25">
        <v>0</v>
      </c>
      <c r="R6" s="25">
        <v>0</v>
      </c>
      <c r="S6" s="21" t="e">
        <f t="shared" si="2"/>
        <v>#DIV/0!</v>
      </c>
      <c r="T6" s="21" t="e">
        <f t="shared" si="3"/>
        <v>#DIV/0!</v>
      </c>
      <c r="U6" s="26" t="e">
        <f t="shared" si="4"/>
        <v>#DIV/0!</v>
      </c>
      <c r="V6" s="25">
        <v>0</v>
      </c>
      <c r="W6" s="25">
        <f t="shared" si="5"/>
        <v>14840</v>
      </c>
      <c r="X6" s="25"/>
      <c r="Y6" s="27" t="s">
        <v>2790</v>
      </c>
      <c r="Z6" s="19" t="s">
        <v>35</v>
      </c>
      <c r="AA6" s="19" t="s">
        <v>35</v>
      </c>
      <c r="AB6" s="19" t="s">
        <v>2791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2792</v>
      </c>
    </row>
    <row r="7" spans="1:34" x14ac:dyDescent="0.3">
      <c r="A7" s="75" t="s">
        <v>2791</v>
      </c>
      <c r="B7" s="19" t="s">
        <v>2833</v>
      </c>
      <c r="C7" s="19" t="s">
        <v>2834</v>
      </c>
      <c r="D7" s="20">
        <v>45520</v>
      </c>
      <c r="E7" s="21">
        <v>74900</v>
      </c>
      <c r="F7" s="19" t="s">
        <v>32</v>
      </c>
      <c r="G7" s="19" t="s">
        <v>33</v>
      </c>
      <c r="H7" s="21">
        <v>74900</v>
      </c>
      <c r="I7" s="21">
        <v>39200</v>
      </c>
      <c r="J7" s="22">
        <f t="shared" si="0"/>
        <v>52.336448598130836</v>
      </c>
      <c r="K7" s="21">
        <v>84017</v>
      </c>
      <c r="L7" s="21">
        <f>H7-74017</f>
        <v>883</v>
      </c>
      <c r="M7" s="21">
        <v>10000</v>
      </c>
      <c r="N7" s="67">
        <f t="shared" si="1"/>
        <v>0.13351134846461948</v>
      </c>
      <c r="O7" s="23">
        <v>0</v>
      </c>
      <c r="P7" s="24">
        <v>0</v>
      </c>
      <c r="Q7" s="25">
        <v>0</v>
      </c>
      <c r="R7" s="25">
        <v>0</v>
      </c>
      <c r="S7" s="21" t="e">
        <f t="shared" si="2"/>
        <v>#DIV/0!</v>
      </c>
      <c r="T7" s="21" t="e">
        <f t="shared" si="3"/>
        <v>#DIV/0!</v>
      </c>
      <c r="U7" s="26" t="e">
        <f t="shared" si="4"/>
        <v>#DIV/0!</v>
      </c>
      <c r="V7" s="25">
        <v>0</v>
      </c>
      <c r="W7" s="25">
        <f t="shared" si="5"/>
        <v>14980</v>
      </c>
      <c r="X7" s="25"/>
      <c r="Y7" s="27" t="s">
        <v>2790</v>
      </c>
      <c r="Z7" s="19" t="s">
        <v>35</v>
      </c>
      <c r="AA7" s="19" t="s">
        <v>35</v>
      </c>
      <c r="AB7" s="19" t="s">
        <v>2791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2792</v>
      </c>
    </row>
    <row r="8" spans="1:34" x14ac:dyDescent="0.3">
      <c r="A8" s="75" t="s">
        <v>2791</v>
      </c>
      <c r="B8" s="19" t="s">
        <v>2807</v>
      </c>
      <c r="C8" s="19" t="s">
        <v>2808</v>
      </c>
      <c r="D8" s="20">
        <v>45579</v>
      </c>
      <c r="E8" s="21">
        <v>78000</v>
      </c>
      <c r="F8" s="19" t="s">
        <v>32</v>
      </c>
      <c r="G8" s="19" t="s">
        <v>33</v>
      </c>
      <c r="H8" s="21">
        <v>78000</v>
      </c>
      <c r="I8" s="21">
        <v>36600</v>
      </c>
      <c r="J8" s="22">
        <f t="shared" si="0"/>
        <v>46.92307692307692</v>
      </c>
      <c r="K8" s="21">
        <v>80744</v>
      </c>
      <c r="L8" s="21">
        <f>H8-70744</f>
        <v>7256</v>
      </c>
      <c r="M8" s="21">
        <v>10000</v>
      </c>
      <c r="N8" s="67">
        <f t="shared" si="1"/>
        <v>0.12820512820512819</v>
      </c>
      <c r="O8" s="23">
        <v>0</v>
      </c>
      <c r="P8" s="24">
        <v>0</v>
      </c>
      <c r="Q8" s="25">
        <v>0</v>
      </c>
      <c r="R8" s="25">
        <v>0</v>
      </c>
      <c r="S8" s="21" t="e">
        <f t="shared" si="2"/>
        <v>#DIV/0!</v>
      </c>
      <c r="T8" s="21" t="e">
        <f t="shared" si="3"/>
        <v>#DIV/0!</v>
      </c>
      <c r="U8" s="26" t="e">
        <f t="shared" si="4"/>
        <v>#DIV/0!</v>
      </c>
      <c r="V8" s="25">
        <v>0</v>
      </c>
      <c r="W8" s="25">
        <f t="shared" si="5"/>
        <v>15600</v>
      </c>
      <c r="X8" s="25"/>
      <c r="Y8" s="27" t="s">
        <v>2790</v>
      </c>
      <c r="Z8" s="19" t="s">
        <v>35</v>
      </c>
      <c r="AA8" s="19" t="s">
        <v>35</v>
      </c>
      <c r="AB8" s="19" t="s">
        <v>2791</v>
      </c>
      <c r="AC8" s="19">
        <v>0</v>
      </c>
      <c r="AD8" s="19">
        <v>1</v>
      </c>
      <c r="AE8" s="19" t="s">
        <v>37</v>
      </c>
      <c r="AF8" s="19" t="s">
        <v>35</v>
      </c>
      <c r="AG8" s="19" t="s">
        <v>38</v>
      </c>
      <c r="AH8" s="19" t="s">
        <v>2792</v>
      </c>
    </row>
    <row r="9" spans="1:34" x14ac:dyDescent="0.3">
      <c r="A9" s="75" t="s">
        <v>2791</v>
      </c>
      <c r="B9" s="19" t="s">
        <v>2817</v>
      </c>
      <c r="C9" s="19" t="s">
        <v>2818</v>
      </c>
      <c r="D9" s="20">
        <v>45211</v>
      </c>
      <c r="E9" s="21">
        <v>80000</v>
      </c>
      <c r="F9" s="19" t="s">
        <v>32</v>
      </c>
      <c r="G9" s="19" t="s">
        <v>33</v>
      </c>
      <c r="H9" s="21">
        <v>80000</v>
      </c>
      <c r="I9" s="21">
        <v>31900</v>
      </c>
      <c r="J9" s="22">
        <f t="shared" si="0"/>
        <v>39.875</v>
      </c>
      <c r="K9" s="21">
        <v>84017</v>
      </c>
      <c r="L9" s="21">
        <f>H9-74017</f>
        <v>5983</v>
      </c>
      <c r="M9" s="21">
        <v>10000</v>
      </c>
      <c r="N9" s="67">
        <f t="shared" si="1"/>
        <v>0.125</v>
      </c>
      <c r="O9" s="23">
        <v>0</v>
      </c>
      <c r="P9" s="24">
        <v>0</v>
      </c>
      <c r="Q9" s="25">
        <v>0</v>
      </c>
      <c r="R9" s="25">
        <v>0</v>
      </c>
      <c r="S9" s="21" t="e">
        <f t="shared" si="2"/>
        <v>#DIV/0!</v>
      </c>
      <c r="T9" s="21" t="e">
        <f t="shared" si="3"/>
        <v>#DIV/0!</v>
      </c>
      <c r="U9" s="26" t="e">
        <f t="shared" si="4"/>
        <v>#DIV/0!</v>
      </c>
      <c r="V9" s="25">
        <v>0</v>
      </c>
      <c r="W9" s="25">
        <f t="shared" si="5"/>
        <v>16000</v>
      </c>
      <c r="X9" s="25"/>
      <c r="Y9" s="27" t="s">
        <v>2790</v>
      </c>
      <c r="Z9" s="19" t="s">
        <v>35</v>
      </c>
      <c r="AA9" s="19" t="s">
        <v>35</v>
      </c>
      <c r="AB9" s="19" t="s">
        <v>2791</v>
      </c>
      <c r="AC9" s="19">
        <v>0</v>
      </c>
      <c r="AD9" s="19">
        <v>1</v>
      </c>
      <c r="AE9" s="19" t="s">
        <v>37</v>
      </c>
      <c r="AF9" s="19" t="s">
        <v>43</v>
      </c>
      <c r="AG9" s="19" t="s">
        <v>38</v>
      </c>
      <c r="AH9" s="19" t="s">
        <v>2792</v>
      </c>
    </row>
    <row r="10" spans="1:34" x14ac:dyDescent="0.3">
      <c r="A10" s="75" t="s">
        <v>2791</v>
      </c>
      <c r="B10" s="19" t="s">
        <v>2831</v>
      </c>
      <c r="C10" s="19" t="s">
        <v>2832</v>
      </c>
      <c r="D10" s="20">
        <v>45266</v>
      </c>
      <c r="E10" s="21">
        <v>80000</v>
      </c>
      <c r="F10" s="19" t="s">
        <v>32</v>
      </c>
      <c r="G10" s="19" t="s">
        <v>33</v>
      </c>
      <c r="H10" s="21">
        <v>80000</v>
      </c>
      <c r="I10" s="21">
        <v>28800</v>
      </c>
      <c r="J10" s="22">
        <f t="shared" si="0"/>
        <v>36</v>
      </c>
      <c r="K10" s="21">
        <v>77600</v>
      </c>
      <c r="L10" s="21">
        <f>H10-67600</f>
        <v>12400</v>
      </c>
      <c r="M10" s="21">
        <v>10000</v>
      </c>
      <c r="N10" s="67">
        <f t="shared" si="1"/>
        <v>0.125</v>
      </c>
      <c r="O10" s="23">
        <v>0</v>
      </c>
      <c r="P10" s="24">
        <v>0</v>
      </c>
      <c r="Q10" s="25">
        <v>0</v>
      </c>
      <c r="R10" s="25">
        <v>0</v>
      </c>
      <c r="S10" s="21" t="e">
        <f t="shared" si="2"/>
        <v>#DIV/0!</v>
      </c>
      <c r="T10" s="21" t="e">
        <f t="shared" si="3"/>
        <v>#DIV/0!</v>
      </c>
      <c r="U10" s="26" t="e">
        <f t="shared" si="4"/>
        <v>#DIV/0!</v>
      </c>
      <c r="V10" s="25">
        <v>0</v>
      </c>
      <c r="W10" s="25">
        <f t="shared" si="5"/>
        <v>16000</v>
      </c>
      <c r="X10" s="25"/>
      <c r="Y10" s="27" t="s">
        <v>2790</v>
      </c>
      <c r="Z10" s="19" t="s">
        <v>35</v>
      </c>
      <c r="AA10" s="19" t="s">
        <v>35</v>
      </c>
      <c r="AB10" s="19" t="s">
        <v>2791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2792</v>
      </c>
    </row>
    <row r="11" spans="1:34" x14ac:dyDescent="0.3">
      <c r="A11" s="75" t="s">
        <v>2791</v>
      </c>
      <c r="B11" s="19" t="s">
        <v>2823</v>
      </c>
      <c r="C11" s="19" t="s">
        <v>2824</v>
      </c>
      <c r="D11" s="20">
        <v>45054</v>
      </c>
      <c r="E11" s="21">
        <v>80850</v>
      </c>
      <c r="F11" s="19" t="s">
        <v>32</v>
      </c>
      <c r="G11" s="19" t="s">
        <v>33</v>
      </c>
      <c r="H11" s="21">
        <v>80850</v>
      </c>
      <c r="I11" s="21">
        <v>30800</v>
      </c>
      <c r="J11" s="22">
        <f t="shared" si="0"/>
        <v>38.095238095238095</v>
      </c>
      <c r="K11" s="21">
        <v>80951</v>
      </c>
      <c r="L11" s="21">
        <f>H11-70951</f>
        <v>9899</v>
      </c>
      <c r="M11" s="21">
        <v>10000</v>
      </c>
      <c r="N11" s="67">
        <f t="shared" si="1"/>
        <v>0.12368583797155226</v>
      </c>
      <c r="O11" s="23">
        <v>0</v>
      </c>
      <c r="P11" s="24">
        <v>0</v>
      </c>
      <c r="Q11" s="25">
        <v>0</v>
      </c>
      <c r="R11" s="25">
        <v>0</v>
      </c>
      <c r="S11" s="21" t="e">
        <f t="shared" si="2"/>
        <v>#DIV/0!</v>
      </c>
      <c r="T11" s="21" t="e">
        <f t="shared" si="3"/>
        <v>#DIV/0!</v>
      </c>
      <c r="U11" s="26" t="e">
        <f t="shared" si="4"/>
        <v>#DIV/0!</v>
      </c>
      <c r="V11" s="25">
        <v>0</v>
      </c>
      <c r="W11" s="25">
        <f t="shared" si="5"/>
        <v>16170</v>
      </c>
      <c r="X11" s="25"/>
      <c r="Y11" s="27" t="s">
        <v>2790</v>
      </c>
      <c r="Z11" s="19" t="s">
        <v>35</v>
      </c>
      <c r="AA11" s="19" t="s">
        <v>35</v>
      </c>
      <c r="AB11" s="19" t="s">
        <v>2791</v>
      </c>
      <c r="AC11" s="19">
        <v>0</v>
      </c>
      <c r="AD11" s="19">
        <v>1</v>
      </c>
      <c r="AE11" s="19" t="s">
        <v>37</v>
      </c>
      <c r="AF11" s="19" t="s">
        <v>43</v>
      </c>
      <c r="AG11" s="19" t="s">
        <v>38</v>
      </c>
      <c r="AH11" s="19" t="s">
        <v>2792</v>
      </c>
    </row>
    <row r="12" spans="1:34" x14ac:dyDescent="0.3">
      <c r="A12" s="75" t="s">
        <v>2791</v>
      </c>
      <c r="B12" s="19" t="s">
        <v>2793</v>
      </c>
      <c r="C12" s="19" t="s">
        <v>2794</v>
      </c>
      <c r="D12" s="20">
        <v>45428</v>
      </c>
      <c r="E12" s="21">
        <v>82000</v>
      </c>
      <c r="F12" s="19" t="s">
        <v>32</v>
      </c>
      <c r="G12" s="19" t="s">
        <v>33</v>
      </c>
      <c r="H12" s="21">
        <v>82000</v>
      </c>
      <c r="I12" s="21">
        <v>35700</v>
      </c>
      <c r="J12" s="22">
        <f t="shared" si="0"/>
        <v>43.536585365853661</v>
      </c>
      <c r="K12" s="21">
        <v>78570</v>
      </c>
      <c r="L12" s="21">
        <f>H12-68570</f>
        <v>13430</v>
      </c>
      <c r="M12" s="21">
        <v>10000</v>
      </c>
      <c r="N12" s="67">
        <f t="shared" si="1"/>
        <v>0.12195121951219512</v>
      </c>
      <c r="O12" s="23">
        <v>0</v>
      </c>
      <c r="P12" s="24">
        <v>0</v>
      </c>
      <c r="Q12" s="25">
        <v>0</v>
      </c>
      <c r="R12" s="25">
        <v>0</v>
      </c>
      <c r="S12" s="21" t="e">
        <f t="shared" si="2"/>
        <v>#DIV/0!</v>
      </c>
      <c r="T12" s="21" t="e">
        <f t="shared" si="3"/>
        <v>#DIV/0!</v>
      </c>
      <c r="U12" s="26" t="e">
        <f t="shared" si="4"/>
        <v>#DIV/0!</v>
      </c>
      <c r="V12" s="25">
        <v>0</v>
      </c>
      <c r="W12" s="25">
        <f t="shared" si="5"/>
        <v>16400</v>
      </c>
      <c r="X12" s="25"/>
      <c r="Y12" s="27" t="s">
        <v>2790</v>
      </c>
      <c r="Z12" s="19" t="s">
        <v>35</v>
      </c>
      <c r="AA12" s="19" t="s">
        <v>35</v>
      </c>
      <c r="AB12" s="19" t="s">
        <v>2791</v>
      </c>
      <c r="AC12" s="19">
        <v>0</v>
      </c>
      <c r="AD12" s="19">
        <v>1</v>
      </c>
      <c r="AE12" s="19" t="s">
        <v>37</v>
      </c>
      <c r="AF12" s="19" t="s">
        <v>35</v>
      </c>
      <c r="AG12" s="19" t="s">
        <v>38</v>
      </c>
      <c r="AH12" s="19" t="s">
        <v>2792</v>
      </c>
    </row>
    <row r="13" spans="1:34" x14ac:dyDescent="0.3">
      <c r="A13" s="74" t="s">
        <v>2791</v>
      </c>
      <c r="B13" s="10" t="s">
        <v>2797</v>
      </c>
      <c r="C13" s="10" t="s">
        <v>2798</v>
      </c>
      <c r="D13" s="11">
        <v>45202</v>
      </c>
      <c r="E13" s="12">
        <v>83500</v>
      </c>
      <c r="F13" s="10" t="s">
        <v>32</v>
      </c>
      <c r="G13" s="10" t="s">
        <v>33</v>
      </c>
      <c r="H13" s="12">
        <v>83500</v>
      </c>
      <c r="I13" s="12">
        <v>28800</v>
      </c>
      <c r="J13" s="13">
        <f t="shared" si="0"/>
        <v>34.491017964071858</v>
      </c>
      <c r="K13" s="12">
        <v>77600</v>
      </c>
      <c r="L13" s="12">
        <f>H13-67600</f>
        <v>15900</v>
      </c>
      <c r="M13" s="12">
        <v>10000</v>
      </c>
      <c r="N13" s="66">
        <f t="shared" si="1"/>
        <v>0.11976047904191617</v>
      </c>
      <c r="O13" s="14">
        <v>0</v>
      </c>
      <c r="P13" s="15">
        <v>0</v>
      </c>
      <c r="Q13" s="16">
        <v>0</v>
      </c>
      <c r="R13" s="16">
        <v>0</v>
      </c>
      <c r="S13" s="12" t="e">
        <f t="shared" si="2"/>
        <v>#DIV/0!</v>
      </c>
      <c r="T13" s="12" t="e">
        <f t="shared" si="3"/>
        <v>#DIV/0!</v>
      </c>
      <c r="U13" s="17" t="e">
        <f t="shared" si="4"/>
        <v>#DIV/0!</v>
      </c>
      <c r="V13" s="16">
        <v>0</v>
      </c>
      <c r="W13" s="16">
        <f t="shared" si="5"/>
        <v>16700</v>
      </c>
      <c r="X13" s="16"/>
      <c r="Y13" s="18" t="s">
        <v>2790</v>
      </c>
      <c r="Z13" s="10" t="s">
        <v>35</v>
      </c>
      <c r="AA13" s="10" t="s">
        <v>35</v>
      </c>
      <c r="AB13" s="10" t="s">
        <v>2791</v>
      </c>
      <c r="AC13" s="10">
        <v>0</v>
      </c>
      <c r="AD13" s="10">
        <v>1</v>
      </c>
      <c r="AE13" s="10" t="s">
        <v>37</v>
      </c>
      <c r="AF13" s="10" t="s">
        <v>43</v>
      </c>
      <c r="AG13" s="10" t="s">
        <v>38</v>
      </c>
      <c r="AH13" s="10" t="s">
        <v>2792</v>
      </c>
    </row>
    <row r="14" spans="1:34" x14ac:dyDescent="0.3">
      <c r="A14" s="74" t="s">
        <v>2791</v>
      </c>
      <c r="B14" s="10" t="s">
        <v>2803</v>
      </c>
      <c r="C14" s="10" t="s">
        <v>2804</v>
      </c>
      <c r="D14" s="11">
        <v>45531</v>
      </c>
      <c r="E14" s="12">
        <v>85000</v>
      </c>
      <c r="F14" s="10" t="s">
        <v>32</v>
      </c>
      <c r="G14" s="10" t="s">
        <v>33</v>
      </c>
      <c r="H14" s="12">
        <v>85000</v>
      </c>
      <c r="I14" s="12">
        <v>36700</v>
      </c>
      <c r="J14" s="13">
        <f t="shared" si="0"/>
        <v>43.176470588235297</v>
      </c>
      <c r="K14" s="12">
        <v>81055</v>
      </c>
      <c r="L14" s="12">
        <f>H14-71055</f>
        <v>13945</v>
      </c>
      <c r="M14" s="12">
        <v>10000</v>
      </c>
      <c r="N14" s="66">
        <f t="shared" si="1"/>
        <v>0.11764705882352941</v>
      </c>
      <c r="O14" s="14">
        <v>0</v>
      </c>
      <c r="P14" s="15">
        <v>0</v>
      </c>
      <c r="Q14" s="16">
        <v>0</v>
      </c>
      <c r="R14" s="16">
        <v>0</v>
      </c>
      <c r="S14" s="12" t="e">
        <f t="shared" si="2"/>
        <v>#DIV/0!</v>
      </c>
      <c r="T14" s="12" t="e">
        <f t="shared" si="3"/>
        <v>#DIV/0!</v>
      </c>
      <c r="U14" s="17" t="e">
        <f t="shared" si="4"/>
        <v>#DIV/0!</v>
      </c>
      <c r="V14" s="16">
        <v>0</v>
      </c>
      <c r="W14" s="16">
        <f t="shared" si="5"/>
        <v>17000</v>
      </c>
      <c r="X14" s="16"/>
      <c r="Y14" s="18" t="s">
        <v>2790</v>
      </c>
      <c r="Z14" s="10" t="s">
        <v>35</v>
      </c>
      <c r="AA14" s="10" t="s">
        <v>35</v>
      </c>
      <c r="AB14" s="10" t="s">
        <v>2791</v>
      </c>
      <c r="AC14" s="10">
        <v>0</v>
      </c>
      <c r="AD14" s="10">
        <v>1</v>
      </c>
      <c r="AE14" s="10" t="s">
        <v>37</v>
      </c>
      <c r="AF14" s="10" t="s">
        <v>43</v>
      </c>
      <c r="AG14" s="10" t="s">
        <v>38</v>
      </c>
      <c r="AH14" s="10" t="s">
        <v>2792</v>
      </c>
    </row>
    <row r="15" spans="1:34" x14ac:dyDescent="0.3">
      <c r="A15" s="74" t="s">
        <v>2791</v>
      </c>
      <c r="B15" s="10" t="s">
        <v>2805</v>
      </c>
      <c r="C15" s="10" t="s">
        <v>2806</v>
      </c>
      <c r="D15" s="11">
        <v>45645</v>
      </c>
      <c r="E15" s="12">
        <v>85000</v>
      </c>
      <c r="F15" s="10" t="s">
        <v>32</v>
      </c>
      <c r="G15" s="10" t="s">
        <v>33</v>
      </c>
      <c r="H15" s="12">
        <v>85000</v>
      </c>
      <c r="I15" s="12">
        <v>36500</v>
      </c>
      <c r="J15" s="13">
        <f t="shared" si="0"/>
        <v>42.941176470588232</v>
      </c>
      <c r="K15" s="12">
        <v>80475</v>
      </c>
      <c r="L15" s="12">
        <f>H15-70475</f>
        <v>14525</v>
      </c>
      <c r="M15" s="12">
        <v>10000</v>
      </c>
      <c r="N15" s="66">
        <f t="shared" si="1"/>
        <v>0.11764705882352941</v>
      </c>
      <c r="O15" s="14">
        <v>0</v>
      </c>
      <c r="P15" s="15">
        <v>0</v>
      </c>
      <c r="Q15" s="16">
        <v>0</v>
      </c>
      <c r="R15" s="16">
        <v>0</v>
      </c>
      <c r="S15" s="12" t="e">
        <f t="shared" si="2"/>
        <v>#DIV/0!</v>
      </c>
      <c r="T15" s="12" t="e">
        <f t="shared" si="3"/>
        <v>#DIV/0!</v>
      </c>
      <c r="U15" s="17" t="e">
        <f t="shared" si="4"/>
        <v>#DIV/0!</v>
      </c>
      <c r="V15" s="16">
        <v>0</v>
      </c>
      <c r="W15" s="16">
        <f t="shared" si="5"/>
        <v>17000</v>
      </c>
      <c r="X15" s="16"/>
      <c r="Y15" s="18" t="s">
        <v>2790</v>
      </c>
      <c r="Z15" s="10" t="s">
        <v>35</v>
      </c>
      <c r="AA15" s="10" t="s">
        <v>35</v>
      </c>
      <c r="AB15" s="10" t="s">
        <v>2791</v>
      </c>
      <c r="AC15" s="10">
        <v>0</v>
      </c>
      <c r="AD15" s="10">
        <v>1</v>
      </c>
      <c r="AE15" s="10" t="s">
        <v>37</v>
      </c>
      <c r="AF15" s="10" t="s">
        <v>35</v>
      </c>
      <c r="AG15" s="10" t="s">
        <v>38</v>
      </c>
      <c r="AH15" s="10" t="s">
        <v>2792</v>
      </c>
    </row>
    <row r="16" spans="1:34" x14ac:dyDescent="0.3">
      <c r="A16" s="74" t="s">
        <v>2791</v>
      </c>
      <c r="B16" s="10" t="s">
        <v>2811</v>
      </c>
      <c r="C16" s="10" t="s">
        <v>2812</v>
      </c>
      <c r="D16" s="11">
        <v>45246</v>
      </c>
      <c r="E16" s="12">
        <v>85000</v>
      </c>
      <c r="F16" s="10" t="s">
        <v>32</v>
      </c>
      <c r="G16" s="10" t="s">
        <v>33</v>
      </c>
      <c r="H16" s="12">
        <v>85000</v>
      </c>
      <c r="I16" s="12">
        <v>28800</v>
      </c>
      <c r="J16" s="13">
        <f t="shared" si="0"/>
        <v>33.882352941176471</v>
      </c>
      <c r="K16" s="12">
        <v>77600</v>
      </c>
      <c r="L16" s="12">
        <f>H16-67600</f>
        <v>17400</v>
      </c>
      <c r="M16" s="12">
        <v>10000</v>
      </c>
      <c r="N16" s="66">
        <f t="shared" si="1"/>
        <v>0.11764705882352941</v>
      </c>
      <c r="O16" s="14">
        <v>0</v>
      </c>
      <c r="P16" s="15">
        <v>0</v>
      </c>
      <c r="Q16" s="16">
        <v>0</v>
      </c>
      <c r="R16" s="16">
        <v>0</v>
      </c>
      <c r="S16" s="12" t="e">
        <f t="shared" si="2"/>
        <v>#DIV/0!</v>
      </c>
      <c r="T16" s="12" t="e">
        <f t="shared" si="3"/>
        <v>#DIV/0!</v>
      </c>
      <c r="U16" s="17" t="e">
        <f t="shared" si="4"/>
        <v>#DIV/0!</v>
      </c>
      <c r="V16" s="16">
        <v>0</v>
      </c>
      <c r="W16" s="16">
        <f t="shared" si="5"/>
        <v>17000</v>
      </c>
      <c r="X16" s="16"/>
      <c r="Y16" s="18" t="s">
        <v>2790</v>
      </c>
      <c r="Z16" s="10" t="s">
        <v>35</v>
      </c>
      <c r="AA16" s="10" t="s">
        <v>35</v>
      </c>
      <c r="AB16" s="10" t="s">
        <v>2791</v>
      </c>
      <c r="AC16" s="10">
        <v>0</v>
      </c>
      <c r="AD16" s="10">
        <v>1</v>
      </c>
      <c r="AE16" s="10" t="s">
        <v>37</v>
      </c>
      <c r="AF16" s="10" t="s">
        <v>43</v>
      </c>
      <c r="AG16" s="10" t="s">
        <v>38</v>
      </c>
      <c r="AH16" s="10" t="s">
        <v>2792</v>
      </c>
    </row>
    <row r="17" spans="1:34" x14ac:dyDescent="0.3">
      <c r="A17" s="74" t="s">
        <v>2791</v>
      </c>
      <c r="B17" s="10" t="s">
        <v>2813</v>
      </c>
      <c r="C17" s="10" t="s">
        <v>2814</v>
      </c>
      <c r="D17" s="11">
        <v>45247</v>
      </c>
      <c r="E17" s="12">
        <v>85000</v>
      </c>
      <c r="F17" s="10" t="s">
        <v>32</v>
      </c>
      <c r="G17" s="10" t="s">
        <v>33</v>
      </c>
      <c r="H17" s="12">
        <v>85000</v>
      </c>
      <c r="I17" s="12">
        <v>29100</v>
      </c>
      <c r="J17" s="13">
        <f t="shared" si="0"/>
        <v>34.235294117647058</v>
      </c>
      <c r="K17" s="12">
        <v>78570</v>
      </c>
      <c r="L17" s="12">
        <f>H17-68570</f>
        <v>16430</v>
      </c>
      <c r="M17" s="12">
        <v>10000</v>
      </c>
      <c r="N17" s="66">
        <f t="shared" si="1"/>
        <v>0.11764705882352941</v>
      </c>
      <c r="O17" s="14">
        <v>0</v>
      </c>
      <c r="P17" s="15">
        <v>0</v>
      </c>
      <c r="Q17" s="16">
        <v>0</v>
      </c>
      <c r="R17" s="16">
        <v>0</v>
      </c>
      <c r="S17" s="12" t="e">
        <f t="shared" si="2"/>
        <v>#DIV/0!</v>
      </c>
      <c r="T17" s="12" t="e">
        <f t="shared" si="3"/>
        <v>#DIV/0!</v>
      </c>
      <c r="U17" s="17" t="e">
        <f t="shared" si="4"/>
        <v>#DIV/0!</v>
      </c>
      <c r="V17" s="16">
        <v>0</v>
      </c>
      <c r="W17" s="16">
        <f t="shared" si="5"/>
        <v>17000</v>
      </c>
      <c r="X17" s="16"/>
      <c r="Y17" s="18" t="s">
        <v>2790</v>
      </c>
      <c r="Z17" s="10" t="s">
        <v>35</v>
      </c>
      <c r="AA17" s="10" t="s">
        <v>35</v>
      </c>
      <c r="AB17" s="10" t="s">
        <v>2791</v>
      </c>
      <c r="AC17" s="10">
        <v>0</v>
      </c>
      <c r="AD17" s="10">
        <v>1</v>
      </c>
      <c r="AE17" s="10" t="s">
        <v>37</v>
      </c>
      <c r="AF17" s="10" t="s">
        <v>43</v>
      </c>
      <c r="AG17" s="10" t="s">
        <v>38</v>
      </c>
      <c r="AH17" s="10" t="s">
        <v>2792</v>
      </c>
    </row>
    <row r="18" spans="1:34" x14ac:dyDescent="0.3">
      <c r="A18" s="74" t="s">
        <v>2791</v>
      </c>
      <c r="B18" s="10" t="s">
        <v>2835</v>
      </c>
      <c r="C18" s="10" t="s">
        <v>2836</v>
      </c>
      <c r="D18" s="11">
        <v>45394</v>
      </c>
      <c r="E18" s="12">
        <v>88000</v>
      </c>
      <c r="F18" s="10" t="s">
        <v>32</v>
      </c>
      <c r="G18" s="10" t="s">
        <v>33</v>
      </c>
      <c r="H18" s="12">
        <v>88000</v>
      </c>
      <c r="I18" s="12">
        <v>38600</v>
      </c>
      <c r="J18" s="13">
        <f t="shared" si="0"/>
        <v>43.863636363636367</v>
      </c>
      <c r="K18" s="12">
        <v>82703</v>
      </c>
      <c r="L18" s="12">
        <f>H18-72703</f>
        <v>15297</v>
      </c>
      <c r="M18" s="12">
        <v>10000</v>
      </c>
      <c r="N18" s="66">
        <f t="shared" si="1"/>
        <v>0.11363636363636363</v>
      </c>
      <c r="O18" s="14">
        <v>0</v>
      </c>
      <c r="P18" s="15">
        <v>0</v>
      </c>
      <c r="Q18" s="16">
        <v>0</v>
      </c>
      <c r="R18" s="16">
        <v>0</v>
      </c>
      <c r="S18" s="12" t="e">
        <f t="shared" si="2"/>
        <v>#DIV/0!</v>
      </c>
      <c r="T18" s="12" t="e">
        <f t="shared" si="3"/>
        <v>#DIV/0!</v>
      </c>
      <c r="U18" s="17" t="e">
        <f t="shared" si="4"/>
        <v>#DIV/0!</v>
      </c>
      <c r="V18" s="16">
        <v>0</v>
      </c>
      <c r="W18" s="16">
        <f t="shared" si="5"/>
        <v>17600</v>
      </c>
      <c r="X18" s="16"/>
      <c r="Y18" s="18" t="s">
        <v>2790</v>
      </c>
      <c r="Z18" s="10" t="s">
        <v>35</v>
      </c>
      <c r="AA18" s="10" t="s">
        <v>35</v>
      </c>
      <c r="AB18" s="10" t="s">
        <v>2791</v>
      </c>
      <c r="AC18" s="10">
        <v>0</v>
      </c>
      <c r="AD18" s="10">
        <v>1</v>
      </c>
      <c r="AE18" s="10" t="s">
        <v>37</v>
      </c>
      <c r="AF18" s="10" t="s">
        <v>43</v>
      </c>
      <c r="AG18" s="10" t="s">
        <v>38</v>
      </c>
      <c r="AH18" s="10" t="s">
        <v>2792</v>
      </c>
    </row>
    <row r="19" spans="1:34" x14ac:dyDescent="0.3">
      <c r="A19" s="74" t="s">
        <v>2791</v>
      </c>
      <c r="B19" s="10" t="s">
        <v>2795</v>
      </c>
      <c r="C19" s="10" t="s">
        <v>2796</v>
      </c>
      <c r="D19" s="11">
        <v>45582</v>
      </c>
      <c r="E19" s="12">
        <v>90000</v>
      </c>
      <c r="F19" s="10" t="s">
        <v>32</v>
      </c>
      <c r="G19" s="10" t="s">
        <v>33</v>
      </c>
      <c r="H19" s="12">
        <v>90000</v>
      </c>
      <c r="I19" s="12">
        <v>35200</v>
      </c>
      <c r="J19" s="13">
        <f t="shared" si="0"/>
        <v>39.111111111111114</v>
      </c>
      <c r="K19" s="12">
        <v>77600</v>
      </c>
      <c r="L19" s="12">
        <f>H19-67600</f>
        <v>22400</v>
      </c>
      <c r="M19" s="12">
        <v>10000</v>
      </c>
      <c r="N19" s="66">
        <f t="shared" si="1"/>
        <v>0.1111111111111111</v>
      </c>
      <c r="O19" s="14">
        <v>0</v>
      </c>
      <c r="P19" s="15">
        <v>0</v>
      </c>
      <c r="Q19" s="16">
        <v>0</v>
      </c>
      <c r="R19" s="16">
        <v>0</v>
      </c>
      <c r="S19" s="12" t="e">
        <f t="shared" si="2"/>
        <v>#DIV/0!</v>
      </c>
      <c r="T19" s="12" t="e">
        <f t="shared" si="3"/>
        <v>#DIV/0!</v>
      </c>
      <c r="U19" s="17" t="e">
        <f t="shared" si="4"/>
        <v>#DIV/0!</v>
      </c>
      <c r="V19" s="16">
        <v>0</v>
      </c>
      <c r="W19" s="16">
        <f t="shared" si="5"/>
        <v>18000</v>
      </c>
      <c r="X19" s="16"/>
      <c r="Y19" s="18" t="s">
        <v>2790</v>
      </c>
      <c r="Z19" s="10" t="s">
        <v>35</v>
      </c>
      <c r="AA19" s="10" t="s">
        <v>35</v>
      </c>
      <c r="AB19" s="10" t="s">
        <v>2791</v>
      </c>
      <c r="AC19" s="10">
        <v>0</v>
      </c>
      <c r="AD19" s="10">
        <v>1</v>
      </c>
      <c r="AE19" s="10" t="s">
        <v>37</v>
      </c>
      <c r="AF19" s="10" t="s">
        <v>35</v>
      </c>
      <c r="AG19" s="10" t="s">
        <v>38</v>
      </c>
      <c r="AH19" s="10" t="s">
        <v>2792</v>
      </c>
    </row>
    <row r="20" spans="1:34" x14ac:dyDescent="0.3">
      <c r="A20" s="75" t="s">
        <v>2791</v>
      </c>
      <c r="B20" s="19" t="s">
        <v>2815</v>
      </c>
      <c r="C20" s="19" t="s">
        <v>2816</v>
      </c>
      <c r="D20" s="20">
        <v>45411</v>
      </c>
      <c r="E20" s="21">
        <v>94000</v>
      </c>
      <c r="F20" s="19" t="s">
        <v>32</v>
      </c>
      <c r="G20" s="19" t="s">
        <v>33</v>
      </c>
      <c r="H20" s="21">
        <v>94000</v>
      </c>
      <c r="I20" s="21">
        <v>38600</v>
      </c>
      <c r="J20" s="22">
        <f t="shared" si="0"/>
        <v>41.063829787234042</v>
      </c>
      <c r="K20" s="21">
        <v>82703</v>
      </c>
      <c r="L20" s="21">
        <f>H20-72703</f>
        <v>21297</v>
      </c>
      <c r="M20" s="21">
        <v>10000</v>
      </c>
      <c r="N20" s="67">
        <f t="shared" si="1"/>
        <v>0.10638297872340426</v>
      </c>
      <c r="O20" s="23">
        <v>0</v>
      </c>
      <c r="P20" s="24">
        <v>0</v>
      </c>
      <c r="Q20" s="25">
        <v>0</v>
      </c>
      <c r="R20" s="25">
        <v>0</v>
      </c>
      <c r="S20" s="21" t="e">
        <f t="shared" si="2"/>
        <v>#DIV/0!</v>
      </c>
      <c r="T20" s="21" t="e">
        <f t="shared" si="3"/>
        <v>#DIV/0!</v>
      </c>
      <c r="U20" s="26" t="e">
        <f t="shared" si="4"/>
        <v>#DIV/0!</v>
      </c>
      <c r="V20" s="25">
        <v>0</v>
      </c>
      <c r="W20" s="25">
        <f t="shared" si="5"/>
        <v>18800</v>
      </c>
      <c r="X20" s="25"/>
      <c r="Y20" s="27" t="s">
        <v>2790</v>
      </c>
      <c r="Z20" s="19" t="s">
        <v>35</v>
      </c>
      <c r="AA20" s="19" t="s">
        <v>35</v>
      </c>
      <c r="AB20" s="19" t="s">
        <v>2791</v>
      </c>
      <c r="AC20" s="19">
        <v>0</v>
      </c>
      <c r="AD20" s="19">
        <v>1</v>
      </c>
      <c r="AE20" s="19" t="s">
        <v>37</v>
      </c>
      <c r="AF20" s="19" t="s">
        <v>43</v>
      </c>
      <c r="AG20" s="19" t="s">
        <v>38</v>
      </c>
      <c r="AH20" s="19" t="s">
        <v>2792</v>
      </c>
    </row>
    <row r="21" spans="1:34" x14ac:dyDescent="0.3">
      <c r="A21" s="74" t="s">
        <v>2791</v>
      </c>
      <c r="B21" s="10" t="s">
        <v>2821</v>
      </c>
      <c r="C21" s="10" t="s">
        <v>2822</v>
      </c>
      <c r="D21" s="11">
        <v>45401</v>
      </c>
      <c r="E21" s="12">
        <v>97000</v>
      </c>
      <c r="F21" s="10" t="s">
        <v>32</v>
      </c>
      <c r="G21" s="10" t="s">
        <v>33</v>
      </c>
      <c r="H21" s="12">
        <v>97000</v>
      </c>
      <c r="I21" s="12">
        <v>38600</v>
      </c>
      <c r="J21" s="13">
        <f t="shared" si="0"/>
        <v>39.793814432989691</v>
      </c>
      <c r="K21" s="12">
        <v>82703</v>
      </c>
      <c r="L21" s="12">
        <f>H21-72703</f>
        <v>24297</v>
      </c>
      <c r="M21" s="12">
        <v>10000</v>
      </c>
      <c r="N21" s="66">
        <f t="shared" si="1"/>
        <v>0.10309278350515463</v>
      </c>
      <c r="O21" s="14">
        <v>0</v>
      </c>
      <c r="P21" s="15">
        <v>0</v>
      </c>
      <c r="Q21" s="16">
        <v>0</v>
      </c>
      <c r="R21" s="16">
        <v>0</v>
      </c>
      <c r="S21" s="12" t="e">
        <f t="shared" si="2"/>
        <v>#DIV/0!</v>
      </c>
      <c r="T21" s="12" t="e">
        <f t="shared" si="3"/>
        <v>#DIV/0!</v>
      </c>
      <c r="U21" s="17" t="e">
        <f t="shared" si="4"/>
        <v>#DIV/0!</v>
      </c>
      <c r="V21" s="16">
        <v>0</v>
      </c>
      <c r="W21" s="16">
        <f t="shared" si="5"/>
        <v>19400</v>
      </c>
      <c r="X21" s="16"/>
      <c r="Y21" s="18" t="s">
        <v>2790</v>
      </c>
      <c r="Z21" s="10" t="s">
        <v>35</v>
      </c>
      <c r="AA21" s="10" t="s">
        <v>35</v>
      </c>
      <c r="AB21" s="10" t="s">
        <v>2791</v>
      </c>
      <c r="AC21" s="10">
        <v>0</v>
      </c>
      <c r="AD21" s="10">
        <v>1</v>
      </c>
      <c r="AE21" s="10" t="s">
        <v>37</v>
      </c>
      <c r="AF21" s="10" t="s">
        <v>43</v>
      </c>
      <c r="AG21" s="10" t="s">
        <v>38</v>
      </c>
      <c r="AH21" s="10" t="s">
        <v>2792</v>
      </c>
    </row>
    <row r="22" spans="1:34" ht="15" thickBot="1" x14ac:dyDescent="0.35">
      <c r="A22" s="74" t="s">
        <v>2791</v>
      </c>
      <c r="B22" s="10" t="s">
        <v>2827</v>
      </c>
      <c r="C22" s="10" t="s">
        <v>2828</v>
      </c>
      <c r="D22" s="11">
        <v>45744</v>
      </c>
      <c r="E22" s="12">
        <v>100000</v>
      </c>
      <c r="F22" s="10" t="s">
        <v>32</v>
      </c>
      <c r="G22" s="10" t="s">
        <v>33</v>
      </c>
      <c r="H22" s="12">
        <v>100000</v>
      </c>
      <c r="I22" s="12">
        <v>40100</v>
      </c>
      <c r="J22" s="13">
        <f t="shared" si="0"/>
        <v>40.1</v>
      </c>
      <c r="K22" s="12">
        <v>85950</v>
      </c>
      <c r="L22" s="12">
        <f>H22-75950</f>
        <v>24050</v>
      </c>
      <c r="M22" s="12">
        <v>10000</v>
      </c>
      <c r="N22" s="66">
        <f t="shared" si="1"/>
        <v>0.1</v>
      </c>
      <c r="O22" s="14">
        <v>0</v>
      </c>
      <c r="P22" s="15">
        <v>0</v>
      </c>
      <c r="Q22" s="16">
        <v>0</v>
      </c>
      <c r="R22" s="16">
        <v>0</v>
      </c>
      <c r="S22" s="12" t="e">
        <f t="shared" si="2"/>
        <v>#DIV/0!</v>
      </c>
      <c r="T22" s="12" t="e">
        <f t="shared" si="3"/>
        <v>#DIV/0!</v>
      </c>
      <c r="U22" s="17" t="e">
        <f t="shared" si="4"/>
        <v>#DIV/0!</v>
      </c>
      <c r="V22" s="16">
        <v>0</v>
      </c>
      <c r="W22" s="16">
        <f t="shared" si="5"/>
        <v>20000</v>
      </c>
      <c r="X22" s="16"/>
      <c r="Y22" s="18" t="s">
        <v>2790</v>
      </c>
      <c r="Z22" s="10" t="s">
        <v>35</v>
      </c>
      <c r="AA22" s="10" t="s">
        <v>35</v>
      </c>
      <c r="AB22" s="10" t="s">
        <v>2791</v>
      </c>
      <c r="AC22" s="10">
        <v>0</v>
      </c>
      <c r="AD22" s="10">
        <v>1</v>
      </c>
      <c r="AE22" s="10" t="s">
        <v>37</v>
      </c>
      <c r="AF22" s="10" t="s">
        <v>35</v>
      </c>
      <c r="AG22" s="10" t="s">
        <v>38</v>
      </c>
      <c r="AH22" s="10" t="s">
        <v>2792</v>
      </c>
    </row>
    <row r="23" spans="1:34" ht="15" thickTop="1" x14ac:dyDescent="0.3">
      <c r="A23" s="76"/>
      <c r="B23" s="37"/>
      <c r="C23" s="37"/>
      <c r="D23" s="38" t="s">
        <v>2876</v>
      </c>
      <c r="E23" s="39">
        <f>+SUM(E2:E22)</f>
        <v>1692450</v>
      </c>
      <c r="F23" s="37"/>
      <c r="G23" s="37"/>
      <c r="H23" s="39">
        <f>+SUM(H2:H22)</f>
        <v>1692450</v>
      </c>
      <c r="I23" s="39">
        <f>+SUM(I2:I22)</f>
        <v>727200</v>
      </c>
      <c r="J23" s="40"/>
      <c r="K23" s="39">
        <f>+SUM(K2:K22)</f>
        <v>1688054</v>
      </c>
      <c r="L23" s="39">
        <f>+SUM(L2:L22)</f>
        <v>214396</v>
      </c>
      <c r="M23" s="39">
        <f>+SUM(M2:M22)</f>
        <v>210000</v>
      </c>
      <c r="N23" s="81">
        <f>AVERAGE(N2:N22)</f>
        <v>0.12675640572102753</v>
      </c>
      <c r="O23" s="41">
        <f>+SUM(O2:O22)</f>
        <v>0</v>
      </c>
      <c r="P23" s="42"/>
      <c r="Q23" s="43">
        <f>+SUM(Q2:Q22)</f>
        <v>0</v>
      </c>
      <c r="R23" s="43">
        <f>+SUM(R2:R22)</f>
        <v>0</v>
      </c>
      <c r="S23" s="39"/>
      <c r="T23" s="39"/>
      <c r="U23" s="44"/>
      <c r="V23" s="43"/>
      <c r="W23" s="82">
        <f>AVERAGE(W2:W22)</f>
        <v>16118.571428571429</v>
      </c>
      <c r="X23" s="83" t="e">
        <f>AVERAGE(X2:X22)</f>
        <v>#DIV/0!</v>
      </c>
      <c r="Y23" s="45"/>
      <c r="Z23" s="37"/>
      <c r="AA23" s="37"/>
      <c r="AB23" s="37"/>
      <c r="AC23" s="37"/>
      <c r="AD23" s="37"/>
      <c r="AE23" s="37"/>
      <c r="AF23" s="37"/>
      <c r="AG23" s="37"/>
      <c r="AH23" s="37"/>
    </row>
    <row r="24" spans="1:34" x14ac:dyDescent="0.3">
      <c r="A24" s="77"/>
      <c r="B24" s="28"/>
      <c r="C24" s="28"/>
      <c r="D24" s="29"/>
      <c r="E24" s="30"/>
      <c r="F24" s="28"/>
      <c r="G24" s="28"/>
      <c r="H24" s="30"/>
      <c r="I24" s="30" t="s">
        <v>2877</v>
      </c>
      <c r="J24" s="31">
        <f>I23/H23*100</f>
        <v>42.967295931932995</v>
      </c>
      <c r="K24" s="30"/>
      <c r="L24" s="30"/>
      <c r="M24" s="30" t="s">
        <v>2879</v>
      </c>
      <c r="N24" s="79"/>
      <c r="O24" s="32"/>
      <c r="P24" s="33"/>
      <c r="Q24" s="34" t="s">
        <v>2879</v>
      </c>
      <c r="R24" s="34"/>
      <c r="S24" s="30"/>
      <c r="T24" s="30" t="s">
        <v>2879</v>
      </c>
      <c r="U24" s="35"/>
      <c r="V24" s="34"/>
      <c r="W24" s="63"/>
      <c r="X24" s="68"/>
      <c r="Y24" s="36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x14ac:dyDescent="0.3">
      <c r="A25" s="78"/>
      <c r="B25" s="46"/>
      <c r="C25" s="46"/>
      <c r="D25" s="47"/>
      <c r="E25" s="48"/>
      <c r="F25" s="46"/>
      <c r="G25" s="46"/>
      <c r="H25" s="48"/>
      <c r="I25" s="48" t="s">
        <v>2878</v>
      </c>
      <c r="J25" s="49">
        <f>STDEV(J2:J22)</f>
        <v>8.4001136497400744</v>
      </c>
      <c r="K25" s="48"/>
      <c r="L25" s="48"/>
      <c r="M25" s="48" t="s">
        <v>2880</v>
      </c>
      <c r="N25" s="80"/>
      <c r="O25" s="54" t="e">
        <f>L23/O23</f>
        <v>#DIV/0!</v>
      </c>
      <c r="P25" s="50"/>
      <c r="Q25" s="51" t="s">
        <v>2881</v>
      </c>
      <c r="R25" s="51" t="e">
        <f>L23/Q23</f>
        <v>#DIV/0!</v>
      </c>
      <c r="S25" s="48"/>
      <c r="T25" s="48" t="s">
        <v>2882</v>
      </c>
      <c r="U25" s="52" t="e">
        <f>L23/Q23/43560</f>
        <v>#DIV/0!</v>
      </c>
      <c r="V25" s="51"/>
      <c r="W25" s="64"/>
      <c r="X25" s="69"/>
      <c r="Y25" s="53"/>
      <c r="Z25" s="46"/>
      <c r="AA25" s="46"/>
      <c r="AB25" s="46"/>
      <c r="AC25" s="46"/>
      <c r="AD25" s="46"/>
      <c r="AE25" s="46"/>
      <c r="AF25" s="46"/>
      <c r="AG25" s="46"/>
      <c r="AH25" s="46"/>
    </row>
    <row r="26" spans="1:34" x14ac:dyDescent="0.3">
      <c r="E26" s="94" t="s">
        <v>3099</v>
      </c>
      <c r="L26" s="95"/>
    </row>
    <row r="27" spans="1:34" x14ac:dyDescent="0.3">
      <c r="E27" s="383" t="s">
        <v>3163</v>
      </c>
      <c r="F27" s="383"/>
      <c r="G27" s="383"/>
      <c r="H27" s="383"/>
      <c r="I27" s="383"/>
      <c r="J27" s="383"/>
      <c r="K27" s="383"/>
      <c r="L27" s="383"/>
    </row>
    <row r="28" spans="1:34" x14ac:dyDescent="0.3">
      <c r="E28" s="383" t="s">
        <v>3164</v>
      </c>
      <c r="F28" s="383"/>
      <c r="G28" s="383"/>
      <c r="H28" s="383"/>
      <c r="I28" s="383"/>
      <c r="J28" s="383"/>
      <c r="K28" s="383"/>
      <c r="L28" s="383"/>
    </row>
    <row r="29" spans="1:34" x14ac:dyDescent="0.3">
      <c r="E29" s="383" t="s">
        <v>3165</v>
      </c>
      <c r="F29" s="383"/>
      <c r="G29" s="383"/>
      <c r="H29" s="383"/>
      <c r="I29" s="383"/>
      <c r="J29" s="383"/>
      <c r="K29" s="383"/>
      <c r="L29" s="383"/>
    </row>
    <row r="30" spans="1:34" x14ac:dyDescent="0.3">
      <c r="E30" s="383" t="s">
        <v>3166</v>
      </c>
      <c r="F30" s="383"/>
      <c r="G30" s="383"/>
      <c r="H30" s="383"/>
      <c r="I30" s="383"/>
      <c r="J30" s="96"/>
      <c r="K30" s="96"/>
      <c r="L30" s="96"/>
    </row>
    <row r="31" spans="1:34" x14ac:dyDescent="0.3">
      <c r="E31" s="383" t="s">
        <v>3167</v>
      </c>
      <c r="F31" s="383"/>
      <c r="G31" s="383"/>
      <c r="H31" s="383"/>
      <c r="I31" s="383"/>
      <c r="L31" s="95"/>
    </row>
    <row r="32" spans="1:34" x14ac:dyDescent="0.3">
      <c r="E32" s="383" t="s">
        <v>3100</v>
      </c>
      <c r="F32" s="383"/>
      <c r="G32" s="383"/>
      <c r="H32" s="383"/>
      <c r="I32" s="383"/>
      <c r="L32" s="95"/>
    </row>
    <row r="33" spans="1:34" x14ac:dyDescent="0.3">
      <c r="E33" s="96"/>
      <c r="F33" s="96"/>
      <c r="G33" s="96"/>
      <c r="H33" s="96"/>
      <c r="I33" s="96"/>
      <c r="L33" s="95"/>
    </row>
    <row r="34" spans="1:34" x14ac:dyDescent="0.3">
      <c r="A34" s="55" t="s">
        <v>3092</v>
      </c>
      <c r="E34" s="96"/>
      <c r="F34" s="96"/>
      <c r="G34" s="96"/>
      <c r="H34" s="96"/>
      <c r="I34" s="96"/>
      <c r="L34" s="95"/>
    </row>
    <row r="35" spans="1:34" x14ac:dyDescent="0.3">
      <c r="A35" s="75" t="s">
        <v>2791</v>
      </c>
      <c r="B35" s="19" t="s">
        <v>2801</v>
      </c>
      <c r="C35" s="19" t="s">
        <v>2802</v>
      </c>
      <c r="D35" s="20">
        <v>45474</v>
      </c>
      <c r="E35" s="21">
        <v>30000</v>
      </c>
      <c r="F35" s="19" t="s">
        <v>32</v>
      </c>
      <c r="G35" s="19" t="s">
        <v>33</v>
      </c>
      <c r="H35" s="21">
        <v>30000</v>
      </c>
      <c r="I35" s="21">
        <v>35900</v>
      </c>
      <c r="J35" s="22">
        <f>I35/H35*100</f>
        <v>119.66666666666667</v>
      </c>
      <c r="K35" s="21">
        <v>79203</v>
      </c>
      <c r="L35" s="21">
        <f>H35-69203</f>
        <v>-39203</v>
      </c>
      <c r="M35" s="21">
        <v>10000</v>
      </c>
      <c r="N35" s="67">
        <f>M35/E35</f>
        <v>0.33333333333333331</v>
      </c>
      <c r="O35" s="23">
        <v>0</v>
      </c>
      <c r="P35" s="24">
        <v>0</v>
      </c>
      <c r="Q35" s="25">
        <v>0</v>
      </c>
      <c r="R35" s="25">
        <v>0</v>
      </c>
      <c r="S35" s="21" t="e">
        <f>L35/O35</f>
        <v>#DIV/0!</v>
      </c>
      <c r="T35" s="21" t="e">
        <f>L35/Q35</f>
        <v>#DIV/0!</v>
      </c>
      <c r="U35" s="26" t="e">
        <f>L35/Q35/43560</f>
        <v>#DIV/0!</v>
      </c>
      <c r="V35" s="25">
        <v>0</v>
      </c>
      <c r="W35" s="25">
        <f>0.2*E35</f>
        <v>6000</v>
      </c>
      <c r="X35" s="25"/>
      <c r="Y35" s="27" t="s">
        <v>2790</v>
      </c>
      <c r="Z35" s="19" t="s">
        <v>35</v>
      </c>
      <c r="AA35" s="19" t="s">
        <v>35</v>
      </c>
      <c r="AB35" s="19" t="s">
        <v>2791</v>
      </c>
      <c r="AC35" s="19">
        <v>0</v>
      </c>
      <c r="AD35" s="19">
        <v>1</v>
      </c>
      <c r="AE35" s="19" t="s">
        <v>37</v>
      </c>
      <c r="AF35" s="19" t="s">
        <v>43</v>
      </c>
      <c r="AG35" s="19" t="s">
        <v>38</v>
      </c>
      <c r="AH35" s="19" t="s">
        <v>2792</v>
      </c>
    </row>
    <row r="36" spans="1:34" x14ac:dyDescent="0.3">
      <c r="A36" s="75" t="s">
        <v>2791</v>
      </c>
      <c r="B36" s="19" t="s">
        <v>2809</v>
      </c>
      <c r="C36" s="19" t="s">
        <v>2810</v>
      </c>
      <c r="D36" s="20">
        <v>45672</v>
      </c>
      <c r="E36" s="21">
        <v>30000</v>
      </c>
      <c r="F36" s="19" t="s">
        <v>32</v>
      </c>
      <c r="G36" s="19" t="s">
        <v>33</v>
      </c>
      <c r="H36" s="21">
        <v>30000</v>
      </c>
      <c r="I36" s="21">
        <v>35200</v>
      </c>
      <c r="J36" s="22">
        <f>I36/H36*100</f>
        <v>117.33333333333333</v>
      </c>
      <c r="K36" s="21">
        <v>77600</v>
      </c>
      <c r="L36" s="21">
        <f>H36-67600</f>
        <v>-37600</v>
      </c>
      <c r="M36" s="21">
        <v>10000</v>
      </c>
      <c r="N36" s="67">
        <f>M36/E36</f>
        <v>0.33333333333333331</v>
      </c>
      <c r="O36" s="23">
        <v>0</v>
      </c>
      <c r="P36" s="24">
        <v>0</v>
      </c>
      <c r="Q36" s="25">
        <v>0</v>
      </c>
      <c r="R36" s="25">
        <v>0</v>
      </c>
      <c r="S36" s="21" t="e">
        <f>L36/O36</f>
        <v>#DIV/0!</v>
      </c>
      <c r="T36" s="21" t="e">
        <f>L36/Q36</f>
        <v>#DIV/0!</v>
      </c>
      <c r="U36" s="26" t="e">
        <f>L36/Q36/43560</f>
        <v>#DIV/0!</v>
      </c>
      <c r="V36" s="25">
        <v>0</v>
      </c>
      <c r="W36" s="25">
        <f>0.2*E36</f>
        <v>6000</v>
      </c>
      <c r="X36" s="25"/>
      <c r="Y36" s="27" t="s">
        <v>2790</v>
      </c>
      <c r="Z36" s="19" t="s">
        <v>35</v>
      </c>
      <c r="AA36" s="19" t="s">
        <v>35</v>
      </c>
      <c r="AB36" s="19" t="s">
        <v>2791</v>
      </c>
      <c r="AC36" s="19">
        <v>0</v>
      </c>
      <c r="AD36" s="19">
        <v>1</v>
      </c>
      <c r="AE36" s="19" t="s">
        <v>37</v>
      </c>
      <c r="AF36" s="19" t="s">
        <v>35</v>
      </c>
      <c r="AG36" s="19" t="s">
        <v>38</v>
      </c>
      <c r="AH36" s="19" t="s">
        <v>2792</v>
      </c>
    </row>
  </sheetData>
  <sortState xmlns:xlrd2="http://schemas.microsoft.com/office/spreadsheetml/2017/richdata2" ref="A2:AH24">
    <sortCondition ref="W2:W24"/>
  </sortState>
  <pageMargins left="0.7" right="0.7" top="0.75" bottom="0.75" header="0.3" footer="0.3"/>
  <pageSetup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3">
    <tabColor rgb="FF00B050"/>
  </sheetPr>
  <dimension ref="A5:AH5"/>
  <sheetViews>
    <sheetView workbookViewId="0">
      <selection activeCell="I20" sqref="I20"/>
    </sheetView>
  </sheetViews>
  <sheetFormatPr defaultRowHeight="14.4" x14ac:dyDescent="0.3"/>
  <cols>
    <col min="1" max="1" width="9.109375" style="55" collapsed="1"/>
    <col min="2" max="13" width="9.109375" collapsed="1"/>
    <col min="14" max="14" width="9.109375" style="55"/>
    <col min="15" max="22" width="9.109375" collapsed="1"/>
    <col min="23" max="23" width="9.109375" style="65"/>
    <col min="24" max="24" width="9.109375" style="55"/>
    <col min="25" max="34" width="9.109375" collapsed="1"/>
  </cols>
  <sheetData>
    <row r="5" spans="3:3" x14ac:dyDescent="0.3">
      <c r="C5" t="s">
        <v>3203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50"/>
  </sheetPr>
  <dimension ref="A1:AH39"/>
  <sheetViews>
    <sheetView workbookViewId="0">
      <selection activeCell="L28" sqref="L2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1.5546875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91</v>
      </c>
      <c r="B2" s="10" t="s">
        <v>135</v>
      </c>
      <c r="C2" s="10" t="s">
        <v>136</v>
      </c>
      <c r="D2" s="11">
        <v>45313</v>
      </c>
      <c r="E2" s="12">
        <v>161000</v>
      </c>
      <c r="F2" s="10" t="s">
        <v>32</v>
      </c>
      <c r="G2" s="10" t="s">
        <v>33</v>
      </c>
      <c r="H2" s="12">
        <v>161000</v>
      </c>
      <c r="I2" s="12">
        <v>58100</v>
      </c>
      <c r="J2" s="13">
        <f t="shared" ref="J2:J19" si="0">I2/H2*100</f>
        <v>36.086956521739133</v>
      </c>
      <c r="K2" s="12">
        <v>155521</v>
      </c>
      <c r="L2" s="12">
        <f>H2-144930</f>
        <v>16070</v>
      </c>
      <c r="M2" s="12">
        <v>10591</v>
      </c>
      <c r="N2" s="66">
        <f t="shared" ref="N2:N19" si="1">M2/E2</f>
        <v>6.5782608695652167E-2</v>
      </c>
      <c r="O2" s="14">
        <v>53.48</v>
      </c>
      <c r="P2" s="15">
        <v>110</v>
      </c>
      <c r="Q2" s="16">
        <v>0.14399999999999999</v>
      </c>
      <c r="R2" s="16">
        <v>0.14399999999999999</v>
      </c>
      <c r="S2" s="12">
        <f t="shared" ref="S2:S19" si="2">L2/O2</f>
        <v>300.48616305160812</v>
      </c>
      <c r="T2" s="12">
        <f t="shared" ref="T2:T19" si="3">L2/Q2</f>
        <v>111597.22222222223</v>
      </c>
      <c r="U2" s="17">
        <f t="shared" ref="U2:U19" si="4">L2/Q2/43560</f>
        <v>2.5619197020712177</v>
      </c>
      <c r="V2" s="16">
        <v>57.02</v>
      </c>
      <c r="W2" s="16">
        <f t="shared" ref="W2:W19" si="5">0.2*E2</f>
        <v>32200</v>
      </c>
      <c r="X2" s="16">
        <f t="shared" ref="X2:X19" si="6">W2/V2</f>
        <v>564.71413539109085</v>
      </c>
      <c r="Y2" s="18" t="s">
        <v>90</v>
      </c>
      <c r="Z2" s="10" t="s">
        <v>35</v>
      </c>
      <c r="AA2" s="10" t="s">
        <v>35</v>
      </c>
      <c r="AB2" s="10" t="s">
        <v>91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91</v>
      </c>
      <c r="B3" s="19" t="s">
        <v>101</v>
      </c>
      <c r="C3" s="19" t="s">
        <v>102</v>
      </c>
      <c r="D3" s="20">
        <v>45720</v>
      </c>
      <c r="E3" s="21">
        <v>129000</v>
      </c>
      <c r="F3" s="19" t="s">
        <v>32</v>
      </c>
      <c r="G3" s="19" t="s">
        <v>33</v>
      </c>
      <c r="H3" s="21">
        <v>129000</v>
      </c>
      <c r="I3" s="21">
        <v>53200</v>
      </c>
      <c r="J3" s="22">
        <f t="shared" si="0"/>
        <v>41.240310077519382</v>
      </c>
      <c r="K3" s="21">
        <v>124229</v>
      </c>
      <c r="L3" s="21">
        <f>H3-116246</f>
        <v>12754</v>
      </c>
      <c r="M3" s="21">
        <v>7983</v>
      </c>
      <c r="N3" s="67">
        <f t="shared" si="1"/>
        <v>6.1883720930232561E-2</v>
      </c>
      <c r="O3" s="23">
        <v>40.31</v>
      </c>
      <c r="P3" s="24">
        <v>127</v>
      </c>
      <c r="Q3" s="25">
        <v>0.11700000000000001</v>
      </c>
      <c r="R3" s="25">
        <v>0.11700000000000001</v>
      </c>
      <c r="S3" s="21">
        <f t="shared" si="2"/>
        <v>316.39791614983875</v>
      </c>
      <c r="T3" s="21">
        <f t="shared" si="3"/>
        <v>109008.547008547</v>
      </c>
      <c r="U3" s="26">
        <f t="shared" si="4"/>
        <v>2.5024918964312901</v>
      </c>
      <c r="V3" s="25">
        <v>40</v>
      </c>
      <c r="W3" s="25">
        <f t="shared" si="5"/>
        <v>25800</v>
      </c>
      <c r="X3" s="25">
        <f t="shared" si="6"/>
        <v>645</v>
      </c>
      <c r="Y3" s="27" t="s">
        <v>90</v>
      </c>
      <c r="Z3" s="19" t="s">
        <v>35</v>
      </c>
      <c r="AA3" s="19" t="s">
        <v>35</v>
      </c>
      <c r="AB3" s="19" t="s">
        <v>91</v>
      </c>
      <c r="AC3" s="19">
        <v>0</v>
      </c>
      <c r="AD3" s="19">
        <v>1</v>
      </c>
      <c r="AE3" s="19" t="s">
        <v>42</v>
      </c>
      <c r="AF3" s="19" t="s">
        <v>35</v>
      </c>
      <c r="AG3" s="19" t="s">
        <v>38</v>
      </c>
      <c r="AH3" s="19" t="s">
        <v>92</v>
      </c>
    </row>
    <row r="4" spans="1:34" x14ac:dyDescent="0.3">
      <c r="A4" s="75" t="s">
        <v>91</v>
      </c>
      <c r="B4" s="19" t="s">
        <v>143</v>
      </c>
      <c r="C4" s="19" t="s">
        <v>144</v>
      </c>
      <c r="D4" s="20">
        <v>45734</v>
      </c>
      <c r="E4" s="21">
        <v>172000</v>
      </c>
      <c r="F4" s="19" t="s">
        <v>32</v>
      </c>
      <c r="G4" s="19" t="s">
        <v>33</v>
      </c>
      <c r="H4" s="21">
        <v>172000</v>
      </c>
      <c r="I4" s="21">
        <v>73800</v>
      </c>
      <c r="J4" s="22">
        <f t="shared" si="0"/>
        <v>42.906976744186046</v>
      </c>
      <c r="K4" s="21">
        <v>164391</v>
      </c>
      <c r="L4" s="21">
        <f>H4-156345</f>
        <v>15655</v>
      </c>
      <c r="M4" s="21">
        <v>8046</v>
      </c>
      <c r="N4" s="67">
        <f t="shared" si="1"/>
        <v>4.677906976744186E-2</v>
      </c>
      <c r="O4" s="23">
        <v>40.630000000000003</v>
      </c>
      <c r="P4" s="24">
        <v>129</v>
      </c>
      <c r="Q4" s="25">
        <v>0.11799999999999999</v>
      </c>
      <c r="R4" s="25">
        <v>0.11799999999999999</v>
      </c>
      <c r="S4" s="21">
        <f t="shared" si="2"/>
        <v>385.30642382476003</v>
      </c>
      <c r="T4" s="21">
        <f t="shared" si="3"/>
        <v>132669.49152542374</v>
      </c>
      <c r="U4" s="26">
        <f t="shared" si="4"/>
        <v>3.0456724408958618</v>
      </c>
      <c r="V4" s="25">
        <v>40</v>
      </c>
      <c r="W4" s="25">
        <f t="shared" si="5"/>
        <v>34400</v>
      </c>
      <c r="X4" s="25">
        <f t="shared" si="6"/>
        <v>860</v>
      </c>
      <c r="Y4" s="27" t="s">
        <v>90</v>
      </c>
      <c r="Z4" s="19" t="s">
        <v>35</v>
      </c>
      <c r="AA4" s="19" t="s">
        <v>35</v>
      </c>
      <c r="AB4" s="19" t="s">
        <v>91</v>
      </c>
      <c r="AC4" s="19">
        <v>0</v>
      </c>
      <c r="AD4" s="19">
        <v>1</v>
      </c>
      <c r="AE4" s="19" t="s">
        <v>37</v>
      </c>
      <c r="AF4" s="19" t="s">
        <v>35</v>
      </c>
      <c r="AG4" s="19" t="s">
        <v>38</v>
      </c>
      <c r="AH4" s="19" t="s">
        <v>92</v>
      </c>
    </row>
    <row r="5" spans="1:34" x14ac:dyDescent="0.3">
      <c r="A5" s="74" t="s">
        <v>91</v>
      </c>
      <c r="B5" s="10" t="s">
        <v>108</v>
      </c>
      <c r="C5" s="10" t="s">
        <v>109</v>
      </c>
      <c r="D5" s="11">
        <v>45512</v>
      </c>
      <c r="E5" s="12">
        <v>173000</v>
      </c>
      <c r="F5" s="10" t="s">
        <v>32</v>
      </c>
      <c r="G5" s="10" t="s">
        <v>33</v>
      </c>
      <c r="H5" s="12">
        <v>173000</v>
      </c>
      <c r="I5" s="12">
        <v>68100</v>
      </c>
      <c r="J5" s="13">
        <f t="shared" si="0"/>
        <v>39.364161849710982</v>
      </c>
      <c r="K5" s="12">
        <v>158728</v>
      </c>
      <c r="L5" s="12">
        <f>H5-148868</f>
        <v>24132</v>
      </c>
      <c r="M5" s="12">
        <v>9860</v>
      </c>
      <c r="N5" s="66">
        <f t="shared" si="1"/>
        <v>5.699421965317919E-2</v>
      </c>
      <c r="O5" s="14">
        <v>49.79</v>
      </c>
      <c r="P5" s="15">
        <v>124</v>
      </c>
      <c r="Q5" s="16">
        <v>0.14199999999999999</v>
      </c>
      <c r="R5" s="16">
        <v>0.14199999999999999</v>
      </c>
      <c r="S5" s="12">
        <f t="shared" si="2"/>
        <v>484.67563767824868</v>
      </c>
      <c r="T5" s="12">
        <f t="shared" si="3"/>
        <v>169943.661971831</v>
      </c>
      <c r="U5" s="17">
        <f t="shared" si="4"/>
        <v>3.9013696504093431</v>
      </c>
      <c r="V5" s="16">
        <v>50</v>
      </c>
      <c r="W5" s="16">
        <f t="shared" si="5"/>
        <v>34600</v>
      </c>
      <c r="X5" s="16">
        <f t="shared" si="6"/>
        <v>692</v>
      </c>
      <c r="Y5" s="18" t="s">
        <v>90</v>
      </c>
      <c r="Z5" s="10" t="s">
        <v>35</v>
      </c>
      <c r="AA5" s="10" t="s">
        <v>35</v>
      </c>
      <c r="AB5" s="10" t="s">
        <v>91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91</v>
      </c>
      <c r="B6" s="19" t="s">
        <v>151</v>
      </c>
      <c r="C6" s="19" t="s">
        <v>152</v>
      </c>
      <c r="D6" s="20">
        <v>45021</v>
      </c>
      <c r="E6" s="21">
        <v>163000</v>
      </c>
      <c r="F6" s="19" t="s">
        <v>32</v>
      </c>
      <c r="G6" s="19" t="s">
        <v>33</v>
      </c>
      <c r="H6" s="21">
        <v>163000</v>
      </c>
      <c r="I6" s="21">
        <v>56100</v>
      </c>
      <c r="J6" s="22">
        <f t="shared" si="0"/>
        <v>34.417177914110432</v>
      </c>
      <c r="K6" s="21">
        <v>150778</v>
      </c>
      <c r="L6" s="21">
        <f>H6-142732</f>
        <v>20268</v>
      </c>
      <c r="M6" s="21">
        <v>8046</v>
      </c>
      <c r="N6" s="67">
        <f t="shared" si="1"/>
        <v>4.9361963190184051E-2</v>
      </c>
      <c r="O6" s="23">
        <v>40.630000000000003</v>
      </c>
      <c r="P6" s="24">
        <v>129</v>
      </c>
      <c r="Q6" s="25">
        <v>0.11799999999999999</v>
      </c>
      <c r="R6" s="25">
        <v>0.11799999999999999</v>
      </c>
      <c r="S6" s="21">
        <f t="shared" si="2"/>
        <v>498.8432192960866</v>
      </c>
      <c r="T6" s="21">
        <f t="shared" si="3"/>
        <v>171762.7118644068</v>
      </c>
      <c r="U6" s="26">
        <f t="shared" si="4"/>
        <v>3.9431292898165013</v>
      </c>
      <c r="V6" s="25">
        <v>40</v>
      </c>
      <c r="W6" s="25">
        <f t="shared" si="5"/>
        <v>32600</v>
      </c>
      <c r="X6" s="25">
        <f t="shared" si="6"/>
        <v>815</v>
      </c>
      <c r="Y6" s="27" t="s">
        <v>90</v>
      </c>
      <c r="Z6" s="19" t="s">
        <v>35</v>
      </c>
      <c r="AA6" s="19" t="s">
        <v>35</v>
      </c>
      <c r="AB6" s="19" t="s">
        <v>91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91</v>
      </c>
      <c r="B7" s="10" t="s">
        <v>149</v>
      </c>
      <c r="C7" s="10" t="s">
        <v>150</v>
      </c>
      <c r="D7" s="11">
        <v>45443</v>
      </c>
      <c r="E7" s="12">
        <v>147500</v>
      </c>
      <c r="F7" s="10" t="s">
        <v>32</v>
      </c>
      <c r="G7" s="10" t="s">
        <v>33</v>
      </c>
      <c r="H7" s="12">
        <v>147500</v>
      </c>
      <c r="I7" s="12">
        <v>59700</v>
      </c>
      <c r="J7" s="13">
        <f t="shared" si="0"/>
        <v>40.474576271186443</v>
      </c>
      <c r="K7" s="12">
        <v>135138</v>
      </c>
      <c r="L7" s="12">
        <f>H7-127092</f>
        <v>20408</v>
      </c>
      <c r="M7" s="12">
        <v>8046</v>
      </c>
      <c r="N7" s="66">
        <f t="shared" si="1"/>
        <v>5.4549152542372879E-2</v>
      </c>
      <c r="O7" s="14">
        <v>40.630000000000003</v>
      </c>
      <c r="P7" s="15">
        <v>129</v>
      </c>
      <c r="Q7" s="16">
        <v>0.11799999999999999</v>
      </c>
      <c r="R7" s="16">
        <v>0.11799999999999999</v>
      </c>
      <c r="S7" s="12">
        <f t="shared" si="2"/>
        <v>502.2889490524243</v>
      </c>
      <c r="T7" s="12">
        <f t="shared" si="3"/>
        <v>172949.1525423729</v>
      </c>
      <c r="U7" s="17">
        <f t="shared" si="4"/>
        <v>3.9703662199810124</v>
      </c>
      <c r="V7" s="16">
        <v>40</v>
      </c>
      <c r="W7" s="16">
        <f t="shared" si="5"/>
        <v>29500</v>
      </c>
      <c r="X7" s="16">
        <f t="shared" si="6"/>
        <v>737.5</v>
      </c>
      <c r="Y7" s="18" t="s">
        <v>90</v>
      </c>
      <c r="Z7" s="10" t="s">
        <v>35</v>
      </c>
      <c r="AA7" s="10" t="s">
        <v>35</v>
      </c>
      <c r="AB7" s="10" t="s">
        <v>91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91</v>
      </c>
      <c r="B8" s="10" t="s">
        <v>105</v>
      </c>
      <c r="C8" s="10" t="s">
        <v>106</v>
      </c>
      <c r="D8" s="11">
        <v>45644</v>
      </c>
      <c r="E8" s="12">
        <v>139900</v>
      </c>
      <c r="F8" s="10" t="s">
        <v>32</v>
      </c>
      <c r="G8" s="10" t="s">
        <v>33</v>
      </c>
      <c r="H8" s="12">
        <v>139900</v>
      </c>
      <c r="I8" s="12">
        <v>53200</v>
      </c>
      <c r="J8" s="13">
        <f t="shared" si="0"/>
        <v>38.027162258756256</v>
      </c>
      <c r="K8" s="12">
        <v>124058</v>
      </c>
      <c r="L8" s="12">
        <f>H8-115112</f>
        <v>24788</v>
      </c>
      <c r="M8" s="12">
        <v>8946</v>
      </c>
      <c r="N8" s="66">
        <f t="shared" si="1"/>
        <v>6.3945675482487488E-2</v>
      </c>
      <c r="O8" s="14">
        <v>45.17</v>
      </c>
      <c r="P8" s="15">
        <v>126</v>
      </c>
      <c r="Q8" s="16">
        <v>0.13</v>
      </c>
      <c r="R8" s="16">
        <v>0.13</v>
      </c>
      <c r="S8" s="12">
        <f t="shared" si="2"/>
        <v>548.77130839052461</v>
      </c>
      <c r="T8" s="12">
        <f t="shared" si="3"/>
        <v>190676.92307692306</v>
      </c>
      <c r="U8" s="17">
        <f t="shared" si="4"/>
        <v>4.3773398318852861</v>
      </c>
      <c r="V8" s="16">
        <v>45</v>
      </c>
      <c r="W8" s="16">
        <f t="shared" si="5"/>
        <v>27980</v>
      </c>
      <c r="X8" s="16">
        <f t="shared" si="6"/>
        <v>621.77777777777783</v>
      </c>
      <c r="Y8" s="18" t="s">
        <v>90</v>
      </c>
      <c r="Z8" s="10" t="s">
        <v>35</v>
      </c>
      <c r="AA8" s="10" t="s">
        <v>35</v>
      </c>
      <c r="AB8" s="10" t="s">
        <v>91</v>
      </c>
      <c r="AC8" s="10">
        <v>0</v>
      </c>
      <c r="AD8" s="10">
        <v>1</v>
      </c>
      <c r="AE8" s="10" t="s">
        <v>107</v>
      </c>
      <c r="AF8" s="10" t="s">
        <v>35</v>
      </c>
      <c r="AG8" s="10" t="s">
        <v>38</v>
      </c>
      <c r="AH8" s="10" t="s">
        <v>92</v>
      </c>
    </row>
    <row r="9" spans="1:34" x14ac:dyDescent="0.3">
      <c r="A9" s="75" t="s">
        <v>91</v>
      </c>
      <c r="B9" s="19" t="s">
        <v>95</v>
      </c>
      <c r="C9" s="19" t="s">
        <v>96</v>
      </c>
      <c r="D9" s="20">
        <v>45071</v>
      </c>
      <c r="E9" s="21">
        <v>100000</v>
      </c>
      <c r="F9" s="19" t="s">
        <v>32</v>
      </c>
      <c r="G9" s="19" t="s">
        <v>33</v>
      </c>
      <c r="H9" s="21">
        <v>100000</v>
      </c>
      <c r="I9" s="21">
        <v>30100</v>
      </c>
      <c r="J9" s="22">
        <f t="shared" si="0"/>
        <v>30.099999999999998</v>
      </c>
      <c r="K9" s="21">
        <v>82872</v>
      </c>
      <c r="L9" s="21">
        <f>H9-73856</f>
        <v>26144</v>
      </c>
      <c r="M9" s="21">
        <v>9016</v>
      </c>
      <c r="N9" s="67">
        <f t="shared" si="1"/>
        <v>9.0160000000000004E-2</v>
      </c>
      <c r="O9" s="23">
        <v>45.53</v>
      </c>
      <c r="P9" s="24">
        <v>162</v>
      </c>
      <c r="Q9" s="25">
        <v>0.14899999999999999</v>
      </c>
      <c r="R9" s="25">
        <v>0.14899999999999999</v>
      </c>
      <c r="S9" s="21">
        <f t="shared" si="2"/>
        <v>574.2148034263123</v>
      </c>
      <c r="T9" s="21">
        <f t="shared" si="3"/>
        <v>175463.08724832215</v>
      </c>
      <c r="U9" s="26">
        <f t="shared" si="4"/>
        <v>4.0280782196584513</v>
      </c>
      <c r="V9" s="25">
        <v>40</v>
      </c>
      <c r="W9" s="25">
        <f t="shared" si="5"/>
        <v>20000</v>
      </c>
      <c r="X9" s="25">
        <f t="shared" si="6"/>
        <v>500</v>
      </c>
      <c r="Y9" s="27" t="s">
        <v>90</v>
      </c>
      <c r="Z9" s="19" t="s">
        <v>35</v>
      </c>
      <c r="AA9" s="19" t="s">
        <v>35</v>
      </c>
      <c r="AB9" s="19" t="s">
        <v>91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5" t="s">
        <v>91</v>
      </c>
      <c r="B10" s="19" t="s">
        <v>159</v>
      </c>
      <c r="C10" s="19" t="s">
        <v>160</v>
      </c>
      <c r="D10" s="20">
        <v>45239</v>
      </c>
      <c r="E10" s="21">
        <v>188000</v>
      </c>
      <c r="F10" s="19" t="s">
        <v>32</v>
      </c>
      <c r="G10" s="19" t="s">
        <v>33</v>
      </c>
      <c r="H10" s="21">
        <v>188000</v>
      </c>
      <c r="I10" s="21">
        <v>61500</v>
      </c>
      <c r="J10" s="22">
        <f t="shared" si="0"/>
        <v>32.712765957446813</v>
      </c>
      <c r="K10" s="21">
        <v>166074</v>
      </c>
      <c r="L10" s="21">
        <f>H10-157872</f>
        <v>30128</v>
      </c>
      <c r="M10" s="21">
        <v>8202</v>
      </c>
      <c r="N10" s="67">
        <f t="shared" si="1"/>
        <v>4.3627659574468083E-2</v>
      </c>
      <c r="O10" s="23">
        <v>41.42</v>
      </c>
      <c r="P10" s="24">
        <v>121.6</v>
      </c>
      <c r="Q10" s="25">
        <v>0.11700000000000001</v>
      </c>
      <c r="R10" s="25">
        <v>0.11700000000000001</v>
      </c>
      <c r="S10" s="21">
        <f t="shared" si="2"/>
        <v>727.37807822308059</v>
      </c>
      <c r="T10" s="21">
        <f t="shared" si="3"/>
        <v>257504.2735042735</v>
      </c>
      <c r="U10" s="26">
        <f t="shared" si="4"/>
        <v>5.9114846993634869</v>
      </c>
      <c r="V10" s="25">
        <v>42</v>
      </c>
      <c r="W10" s="25">
        <f t="shared" si="5"/>
        <v>37600</v>
      </c>
      <c r="X10" s="25">
        <f t="shared" si="6"/>
        <v>895.23809523809518</v>
      </c>
      <c r="Y10" s="27" t="s">
        <v>90</v>
      </c>
      <c r="Z10" s="19" t="s">
        <v>35</v>
      </c>
      <c r="AA10" s="19" t="s">
        <v>35</v>
      </c>
      <c r="AB10" s="19" t="s">
        <v>91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91</v>
      </c>
      <c r="B11" s="10" t="s">
        <v>161</v>
      </c>
      <c r="C11" s="10" t="s">
        <v>162</v>
      </c>
      <c r="D11" s="11">
        <v>45170</v>
      </c>
      <c r="E11" s="12">
        <v>167000</v>
      </c>
      <c r="F11" s="10" t="s">
        <v>32</v>
      </c>
      <c r="G11" s="10" t="s">
        <v>33</v>
      </c>
      <c r="H11" s="12">
        <v>167000</v>
      </c>
      <c r="I11" s="12">
        <v>51600</v>
      </c>
      <c r="J11" s="13">
        <f t="shared" si="0"/>
        <v>30.898203592814372</v>
      </c>
      <c r="K11" s="12">
        <v>138244</v>
      </c>
      <c r="L11" s="12">
        <f>H11-127576</f>
        <v>39424</v>
      </c>
      <c r="M11" s="12">
        <v>10668</v>
      </c>
      <c r="N11" s="66">
        <f t="shared" si="1"/>
        <v>6.3880239520958088E-2</v>
      </c>
      <c r="O11" s="14">
        <v>53.88</v>
      </c>
      <c r="P11" s="15">
        <v>85</v>
      </c>
      <c r="Q11" s="16">
        <v>0.127</v>
      </c>
      <c r="R11" s="16">
        <v>0.127</v>
      </c>
      <c r="S11" s="12">
        <f t="shared" si="2"/>
        <v>731.70007423904974</v>
      </c>
      <c r="T11" s="12">
        <f t="shared" si="3"/>
        <v>310425.19685039372</v>
      </c>
      <c r="U11" s="17">
        <f t="shared" si="4"/>
        <v>7.1263819295315365</v>
      </c>
      <c r="V11" s="16">
        <v>65.52</v>
      </c>
      <c r="W11" s="16">
        <f t="shared" si="5"/>
        <v>33400</v>
      </c>
      <c r="X11" s="16">
        <f t="shared" si="6"/>
        <v>509.76800976800979</v>
      </c>
      <c r="Y11" s="18" t="s">
        <v>90</v>
      </c>
      <c r="Z11" s="10" t="s">
        <v>35</v>
      </c>
      <c r="AA11" s="10" t="s">
        <v>35</v>
      </c>
      <c r="AB11" s="10" t="s">
        <v>91</v>
      </c>
      <c r="AC11" s="10">
        <v>0</v>
      </c>
      <c r="AD11" s="10">
        <v>1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91</v>
      </c>
      <c r="B12" s="19" t="s">
        <v>139</v>
      </c>
      <c r="C12" s="19" t="s">
        <v>140</v>
      </c>
      <c r="D12" s="20">
        <v>45539</v>
      </c>
      <c r="E12" s="21">
        <v>160000</v>
      </c>
      <c r="F12" s="19" t="s">
        <v>32</v>
      </c>
      <c r="G12" s="19" t="s">
        <v>33</v>
      </c>
      <c r="H12" s="21">
        <v>160000</v>
      </c>
      <c r="I12" s="21">
        <v>59500</v>
      </c>
      <c r="J12" s="22">
        <f t="shared" si="0"/>
        <v>37.1875</v>
      </c>
      <c r="K12" s="21">
        <v>134183</v>
      </c>
      <c r="L12" s="21">
        <f>H12-124844</f>
        <v>35156</v>
      </c>
      <c r="M12" s="21">
        <v>9339</v>
      </c>
      <c r="N12" s="67">
        <f t="shared" si="1"/>
        <v>5.8368749999999997E-2</v>
      </c>
      <c r="O12" s="23">
        <v>47.16</v>
      </c>
      <c r="P12" s="24">
        <v>125</v>
      </c>
      <c r="Q12" s="25">
        <v>0.13500000000000001</v>
      </c>
      <c r="R12" s="25">
        <v>0.13500000000000001</v>
      </c>
      <c r="S12" s="21">
        <f t="shared" si="2"/>
        <v>745.46225614927914</v>
      </c>
      <c r="T12" s="21">
        <f t="shared" si="3"/>
        <v>260414.8148148148</v>
      </c>
      <c r="U12" s="26">
        <f t="shared" si="4"/>
        <v>5.9783015338570893</v>
      </c>
      <c r="V12" s="25">
        <v>47.2</v>
      </c>
      <c r="W12" s="25">
        <f t="shared" si="5"/>
        <v>32000</v>
      </c>
      <c r="X12" s="25">
        <f t="shared" si="6"/>
        <v>677.96610169491521</v>
      </c>
      <c r="Y12" s="27" t="s">
        <v>90</v>
      </c>
      <c r="Z12" s="19" t="s">
        <v>35</v>
      </c>
      <c r="AA12" s="19" t="s">
        <v>35</v>
      </c>
      <c r="AB12" s="19" t="s">
        <v>91</v>
      </c>
      <c r="AC12" s="19">
        <v>0</v>
      </c>
      <c r="AD12" s="19">
        <v>1</v>
      </c>
      <c r="AE12" s="19" t="s">
        <v>107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5" t="s">
        <v>91</v>
      </c>
      <c r="B13" s="19" t="s">
        <v>153</v>
      </c>
      <c r="C13" s="19" t="s">
        <v>154</v>
      </c>
      <c r="D13" s="20">
        <v>45351</v>
      </c>
      <c r="E13" s="21">
        <v>190000</v>
      </c>
      <c r="F13" s="19" t="s">
        <v>32</v>
      </c>
      <c r="G13" s="19" t="s">
        <v>33</v>
      </c>
      <c r="H13" s="21">
        <v>190000</v>
      </c>
      <c r="I13" s="21">
        <v>56700</v>
      </c>
      <c r="J13" s="22">
        <f t="shared" si="0"/>
        <v>29.84210526315789</v>
      </c>
      <c r="K13" s="21">
        <v>151694</v>
      </c>
      <c r="L13" s="21">
        <f>H13-140474</f>
        <v>49526</v>
      </c>
      <c r="M13" s="21">
        <v>11220</v>
      </c>
      <c r="N13" s="67">
        <f t="shared" si="1"/>
        <v>5.905263157894737E-2</v>
      </c>
      <c r="O13" s="23">
        <v>56.66</v>
      </c>
      <c r="P13" s="24">
        <v>98</v>
      </c>
      <c r="Q13" s="25">
        <v>0.14399999999999999</v>
      </c>
      <c r="R13" s="25">
        <v>0.14399999999999999</v>
      </c>
      <c r="S13" s="21">
        <f t="shared" si="2"/>
        <v>874.09106953759272</v>
      </c>
      <c r="T13" s="21">
        <f t="shared" si="3"/>
        <v>343930.55555555556</v>
      </c>
      <c r="U13" s="26">
        <f t="shared" si="4"/>
        <v>7.8955591266197329</v>
      </c>
      <c r="V13" s="25">
        <v>64</v>
      </c>
      <c r="W13" s="25">
        <f t="shared" si="5"/>
        <v>38000</v>
      </c>
      <c r="X13" s="25">
        <f t="shared" si="6"/>
        <v>593.75</v>
      </c>
      <c r="Y13" s="27" t="s">
        <v>90</v>
      </c>
      <c r="Z13" s="19" t="s">
        <v>35</v>
      </c>
      <c r="AA13" s="19" t="s">
        <v>35</v>
      </c>
      <c r="AB13" s="19" t="s">
        <v>91</v>
      </c>
      <c r="AC13" s="19">
        <v>0</v>
      </c>
      <c r="AD13" s="19">
        <v>1</v>
      </c>
      <c r="AE13" s="19" t="s">
        <v>37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91</v>
      </c>
      <c r="B14" s="19" t="s">
        <v>97</v>
      </c>
      <c r="C14" s="19" t="s">
        <v>98</v>
      </c>
      <c r="D14" s="20">
        <v>45369</v>
      </c>
      <c r="E14" s="21">
        <v>149000</v>
      </c>
      <c r="F14" s="19" t="s">
        <v>32</v>
      </c>
      <c r="G14" s="19" t="s">
        <v>33</v>
      </c>
      <c r="H14" s="21">
        <v>149000</v>
      </c>
      <c r="I14" s="21">
        <v>43400</v>
      </c>
      <c r="J14" s="22">
        <f t="shared" si="0"/>
        <v>29.127516778523489</v>
      </c>
      <c r="K14" s="21">
        <v>120439</v>
      </c>
      <c r="L14" s="21">
        <f>H14-112456</f>
        <v>36544</v>
      </c>
      <c r="M14" s="21">
        <v>7983</v>
      </c>
      <c r="N14" s="67">
        <f t="shared" si="1"/>
        <v>5.3577181208053694E-2</v>
      </c>
      <c r="O14" s="23">
        <v>40.31</v>
      </c>
      <c r="P14" s="24">
        <v>127</v>
      </c>
      <c r="Q14" s="25">
        <v>0.11700000000000001</v>
      </c>
      <c r="R14" s="25">
        <v>0.11700000000000001</v>
      </c>
      <c r="S14" s="21">
        <f t="shared" si="2"/>
        <v>906.57405110394438</v>
      </c>
      <c r="T14" s="21">
        <f t="shared" si="3"/>
        <v>312341.88034188031</v>
      </c>
      <c r="U14" s="26">
        <f t="shared" si="4"/>
        <v>7.170382927958685</v>
      </c>
      <c r="V14" s="25">
        <v>40</v>
      </c>
      <c r="W14" s="25">
        <f t="shared" si="5"/>
        <v>29800</v>
      </c>
      <c r="X14" s="25">
        <f t="shared" si="6"/>
        <v>745</v>
      </c>
      <c r="Y14" s="27" t="s">
        <v>90</v>
      </c>
      <c r="Z14" s="19" t="s">
        <v>35</v>
      </c>
      <c r="AA14" s="19" t="s">
        <v>35</v>
      </c>
      <c r="AB14" s="19" t="s">
        <v>91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5" t="s">
        <v>91</v>
      </c>
      <c r="B15" s="19" t="s">
        <v>129</v>
      </c>
      <c r="C15" s="19" t="s">
        <v>130</v>
      </c>
      <c r="D15" s="20">
        <v>45604</v>
      </c>
      <c r="E15" s="21">
        <v>190000</v>
      </c>
      <c r="F15" s="19" t="s">
        <v>32</v>
      </c>
      <c r="G15" s="19" t="s">
        <v>33</v>
      </c>
      <c r="H15" s="21">
        <v>190000</v>
      </c>
      <c r="I15" s="21">
        <v>69100</v>
      </c>
      <c r="J15" s="22">
        <f t="shared" si="0"/>
        <v>36.368421052631575</v>
      </c>
      <c r="K15" s="21">
        <v>155889</v>
      </c>
      <c r="L15" s="21">
        <f>H15-146602</f>
        <v>43398</v>
      </c>
      <c r="M15" s="21">
        <v>9287</v>
      </c>
      <c r="N15" s="67">
        <f t="shared" si="1"/>
        <v>4.887894736842105E-2</v>
      </c>
      <c r="O15" s="23">
        <v>46.9</v>
      </c>
      <c r="P15" s="24">
        <v>110</v>
      </c>
      <c r="Q15" s="25">
        <v>0.126</v>
      </c>
      <c r="R15" s="25">
        <v>0.126</v>
      </c>
      <c r="S15" s="21">
        <f t="shared" si="2"/>
        <v>925.3304904051173</v>
      </c>
      <c r="T15" s="21">
        <f t="shared" si="3"/>
        <v>344428.57142857142</v>
      </c>
      <c r="U15" s="26">
        <f t="shared" si="4"/>
        <v>7.9069919979010885</v>
      </c>
      <c r="V15" s="25">
        <v>50</v>
      </c>
      <c r="W15" s="25">
        <f t="shared" si="5"/>
        <v>38000</v>
      </c>
      <c r="X15" s="25">
        <f t="shared" si="6"/>
        <v>760</v>
      </c>
      <c r="Y15" s="27" t="s">
        <v>90</v>
      </c>
      <c r="Z15" s="19" t="s">
        <v>35</v>
      </c>
      <c r="AA15" s="19" t="s">
        <v>35</v>
      </c>
      <c r="AB15" s="19" t="s">
        <v>91</v>
      </c>
      <c r="AC15" s="19">
        <v>0</v>
      </c>
      <c r="AD15" s="19">
        <v>1</v>
      </c>
      <c r="AE15" s="19" t="s">
        <v>42</v>
      </c>
      <c r="AF15" s="19" t="s">
        <v>35</v>
      </c>
      <c r="AG15" s="19" t="s">
        <v>38</v>
      </c>
      <c r="AH15" s="19" t="s">
        <v>92</v>
      </c>
    </row>
    <row r="16" spans="1:34" x14ac:dyDescent="0.3">
      <c r="A16" s="75" t="s">
        <v>91</v>
      </c>
      <c r="B16" s="19" t="s">
        <v>157</v>
      </c>
      <c r="C16" s="19" t="s">
        <v>158</v>
      </c>
      <c r="D16" s="20">
        <v>45112</v>
      </c>
      <c r="E16" s="21">
        <v>178500</v>
      </c>
      <c r="F16" s="19" t="s">
        <v>32</v>
      </c>
      <c r="G16" s="19" t="s">
        <v>33</v>
      </c>
      <c r="H16" s="21">
        <v>178500</v>
      </c>
      <c r="I16" s="21">
        <v>55100</v>
      </c>
      <c r="J16" s="22">
        <f t="shared" si="0"/>
        <v>30.868347338935575</v>
      </c>
      <c r="K16" s="21">
        <v>147946</v>
      </c>
      <c r="L16" s="21">
        <f>H16-139770</f>
        <v>38730</v>
      </c>
      <c r="M16" s="21">
        <v>8176</v>
      </c>
      <c r="N16" s="67">
        <f t="shared" si="1"/>
        <v>4.5803921568627448E-2</v>
      </c>
      <c r="O16" s="23">
        <v>41.29</v>
      </c>
      <c r="P16" s="24">
        <v>120.83</v>
      </c>
      <c r="Q16" s="25">
        <v>0.11700000000000001</v>
      </c>
      <c r="R16" s="25">
        <v>0.11700000000000001</v>
      </c>
      <c r="S16" s="21">
        <f t="shared" si="2"/>
        <v>937.99951562121578</v>
      </c>
      <c r="T16" s="21">
        <f t="shared" si="3"/>
        <v>331025.641025641</v>
      </c>
      <c r="U16" s="26">
        <f t="shared" si="4"/>
        <v>7.5993030538485078</v>
      </c>
      <c r="V16" s="25">
        <v>42</v>
      </c>
      <c r="W16" s="25">
        <f t="shared" si="5"/>
        <v>35700</v>
      </c>
      <c r="X16" s="25">
        <f t="shared" si="6"/>
        <v>850</v>
      </c>
      <c r="Y16" s="27" t="s">
        <v>90</v>
      </c>
      <c r="Z16" s="19" t="s">
        <v>35</v>
      </c>
      <c r="AA16" s="19" t="s">
        <v>35</v>
      </c>
      <c r="AB16" s="19" t="s">
        <v>91</v>
      </c>
      <c r="AC16" s="19">
        <v>0</v>
      </c>
      <c r="AD16" s="19">
        <v>1</v>
      </c>
      <c r="AE16" s="19" t="s">
        <v>42</v>
      </c>
      <c r="AF16" s="19" t="s">
        <v>43</v>
      </c>
      <c r="AG16" s="19" t="s">
        <v>38</v>
      </c>
      <c r="AH16" s="19" t="s">
        <v>92</v>
      </c>
    </row>
    <row r="17" spans="1:34" x14ac:dyDescent="0.3">
      <c r="A17" s="74" t="s">
        <v>91</v>
      </c>
      <c r="B17" s="10" t="s">
        <v>153</v>
      </c>
      <c r="C17" s="10" t="s">
        <v>154</v>
      </c>
      <c r="D17" s="11">
        <v>45603</v>
      </c>
      <c r="E17" s="12">
        <v>200000</v>
      </c>
      <c r="F17" s="10" t="s">
        <v>32</v>
      </c>
      <c r="G17" s="10" t="s">
        <v>33</v>
      </c>
      <c r="H17" s="12">
        <v>200000</v>
      </c>
      <c r="I17" s="12">
        <v>67300</v>
      </c>
      <c r="J17" s="13">
        <f t="shared" si="0"/>
        <v>33.650000000000006</v>
      </c>
      <c r="K17" s="12">
        <v>151694</v>
      </c>
      <c r="L17" s="12">
        <f>H17-140474</f>
        <v>59526</v>
      </c>
      <c r="M17" s="12">
        <v>11220</v>
      </c>
      <c r="N17" s="66">
        <f t="shared" si="1"/>
        <v>5.6099999999999997E-2</v>
      </c>
      <c r="O17" s="14">
        <v>56.66</v>
      </c>
      <c r="P17" s="15">
        <v>98</v>
      </c>
      <c r="Q17" s="16">
        <v>0.14399999999999999</v>
      </c>
      <c r="R17" s="16">
        <v>0.14399999999999999</v>
      </c>
      <c r="S17" s="12">
        <f t="shared" si="2"/>
        <v>1050.5824214613485</v>
      </c>
      <c r="T17" s="12">
        <f t="shared" si="3"/>
        <v>413375.00000000006</v>
      </c>
      <c r="U17" s="17">
        <f t="shared" si="4"/>
        <v>9.4897842056932973</v>
      </c>
      <c r="V17" s="16">
        <v>64</v>
      </c>
      <c r="W17" s="16">
        <f t="shared" si="5"/>
        <v>40000</v>
      </c>
      <c r="X17" s="16">
        <f t="shared" si="6"/>
        <v>625</v>
      </c>
      <c r="Y17" s="18" t="s">
        <v>90</v>
      </c>
      <c r="Z17" s="10" t="s">
        <v>35</v>
      </c>
      <c r="AA17" s="10" t="s">
        <v>35</v>
      </c>
      <c r="AB17" s="10" t="s">
        <v>91</v>
      </c>
      <c r="AC17" s="10">
        <v>0</v>
      </c>
      <c r="AD17" s="10">
        <v>1</v>
      </c>
      <c r="AE17" s="10" t="s">
        <v>37</v>
      </c>
      <c r="AF17" s="10" t="s">
        <v>35</v>
      </c>
      <c r="AG17" s="10" t="s">
        <v>38</v>
      </c>
      <c r="AH17" s="10" t="s">
        <v>92</v>
      </c>
    </row>
    <row r="18" spans="1:34" x14ac:dyDescent="0.3">
      <c r="A18" s="74" t="s">
        <v>91</v>
      </c>
      <c r="B18" s="10" t="s">
        <v>127</v>
      </c>
      <c r="C18" s="10" t="s">
        <v>128</v>
      </c>
      <c r="D18" s="11">
        <v>45155</v>
      </c>
      <c r="E18" s="12">
        <v>189900</v>
      </c>
      <c r="F18" s="10" t="s">
        <v>32</v>
      </c>
      <c r="G18" s="10" t="s">
        <v>33</v>
      </c>
      <c r="H18" s="12">
        <v>189900</v>
      </c>
      <c r="I18" s="12">
        <v>51200</v>
      </c>
      <c r="J18" s="13">
        <f t="shared" si="0"/>
        <v>26.961558715113217</v>
      </c>
      <c r="K18" s="12">
        <v>135866</v>
      </c>
      <c r="L18" s="12">
        <f>H18-123774</f>
        <v>66126</v>
      </c>
      <c r="M18" s="12">
        <v>12092</v>
      </c>
      <c r="N18" s="66">
        <f t="shared" si="1"/>
        <v>6.3675618746708795E-2</v>
      </c>
      <c r="O18" s="14">
        <v>61.06</v>
      </c>
      <c r="P18" s="15">
        <v>110</v>
      </c>
      <c r="Q18" s="16">
        <v>0.16400000000000001</v>
      </c>
      <c r="R18" s="16">
        <v>0.16400000000000001</v>
      </c>
      <c r="S18" s="12">
        <f t="shared" si="2"/>
        <v>1082.9675728791353</v>
      </c>
      <c r="T18" s="12">
        <f t="shared" si="3"/>
        <v>403207.31707317074</v>
      </c>
      <c r="U18" s="17">
        <f t="shared" si="4"/>
        <v>9.2563663239938183</v>
      </c>
      <c r="V18" s="16">
        <v>65.099999999999994</v>
      </c>
      <c r="W18" s="16">
        <f t="shared" si="5"/>
        <v>37980</v>
      </c>
      <c r="X18" s="16">
        <f t="shared" si="6"/>
        <v>583.41013824884794</v>
      </c>
      <c r="Y18" s="18" t="s">
        <v>90</v>
      </c>
      <c r="Z18" s="10" t="s">
        <v>35</v>
      </c>
      <c r="AA18" s="10" t="s">
        <v>35</v>
      </c>
      <c r="AB18" s="10" t="s">
        <v>91</v>
      </c>
      <c r="AC18" s="10">
        <v>0</v>
      </c>
      <c r="AD18" s="10">
        <v>1</v>
      </c>
      <c r="AE18" s="10" t="s">
        <v>37</v>
      </c>
      <c r="AF18" s="10" t="s">
        <v>43</v>
      </c>
      <c r="AG18" s="10" t="s">
        <v>38</v>
      </c>
      <c r="AH18" s="10" t="s">
        <v>92</v>
      </c>
    </row>
    <row r="19" spans="1:34" ht="15" thickBot="1" x14ac:dyDescent="0.35">
      <c r="A19" s="74" t="s">
        <v>91</v>
      </c>
      <c r="B19" s="10" t="s">
        <v>88</v>
      </c>
      <c r="C19" s="10" t="s">
        <v>89</v>
      </c>
      <c r="D19" s="11">
        <v>45616</v>
      </c>
      <c r="E19" s="12">
        <v>190000</v>
      </c>
      <c r="F19" s="10" t="s">
        <v>32</v>
      </c>
      <c r="G19" s="10" t="s">
        <v>33</v>
      </c>
      <c r="H19" s="12">
        <v>190000</v>
      </c>
      <c r="I19" s="12">
        <v>66800</v>
      </c>
      <c r="J19" s="13">
        <f t="shared" si="0"/>
        <v>35.157894736842103</v>
      </c>
      <c r="K19" s="12">
        <v>153609</v>
      </c>
      <c r="L19" s="12">
        <f>H19-145470</f>
        <v>44530</v>
      </c>
      <c r="M19" s="12">
        <v>8139</v>
      </c>
      <c r="N19" s="66">
        <f t="shared" si="1"/>
        <v>4.2836842105263159E-2</v>
      </c>
      <c r="O19" s="14">
        <v>41.1</v>
      </c>
      <c r="P19" s="15">
        <v>132</v>
      </c>
      <c r="Q19" s="16">
        <v>0.121</v>
      </c>
      <c r="R19" s="16">
        <v>0.121</v>
      </c>
      <c r="S19" s="12">
        <f t="shared" si="2"/>
        <v>1083.4549878345499</v>
      </c>
      <c r="T19" s="12">
        <f t="shared" si="3"/>
        <v>368016.52892561984</v>
      </c>
      <c r="U19" s="17">
        <f t="shared" si="4"/>
        <v>8.4484969909462766</v>
      </c>
      <c r="V19" s="16">
        <v>40</v>
      </c>
      <c r="W19" s="16">
        <f t="shared" si="5"/>
        <v>38000</v>
      </c>
      <c r="X19" s="16">
        <f t="shared" si="6"/>
        <v>950</v>
      </c>
      <c r="Y19" s="18" t="s">
        <v>90</v>
      </c>
      <c r="Z19" s="10" t="s">
        <v>35</v>
      </c>
      <c r="AA19" s="10" t="s">
        <v>35</v>
      </c>
      <c r="AB19" s="10" t="s">
        <v>91</v>
      </c>
      <c r="AC19" s="10">
        <v>0</v>
      </c>
      <c r="AD19" s="10">
        <v>1</v>
      </c>
      <c r="AE19" s="10" t="s">
        <v>37</v>
      </c>
      <c r="AF19" s="10" t="s">
        <v>35</v>
      </c>
      <c r="AG19" s="10" t="s">
        <v>38</v>
      </c>
      <c r="AH19" s="10" t="s">
        <v>92</v>
      </c>
    </row>
    <row r="20" spans="1:34" ht="15" thickTop="1" x14ac:dyDescent="0.3">
      <c r="A20" s="76"/>
      <c r="B20" s="37"/>
      <c r="C20" s="37"/>
      <c r="D20" s="38" t="s">
        <v>2876</v>
      </c>
      <c r="E20" s="39">
        <f>+SUM(E2:E19)</f>
        <v>2987800</v>
      </c>
      <c r="F20" s="37"/>
      <c r="G20" s="37"/>
      <c r="H20" s="39">
        <f>+SUM(H2:H19)</f>
        <v>2987800</v>
      </c>
      <c r="I20" s="39">
        <f>+SUM(I2:I19)</f>
        <v>1034500</v>
      </c>
      <c r="J20" s="40"/>
      <c r="K20" s="39">
        <f>+SUM(K2:K19)</f>
        <v>2551353</v>
      </c>
      <c r="L20" s="39">
        <f>+SUM(L2:L19)</f>
        <v>603307</v>
      </c>
      <c r="M20" s="39">
        <f>+SUM(M2:M19)</f>
        <v>166860</v>
      </c>
      <c r="N20" s="81">
        <f>AVERAGE(N2:N19)</f>
        <v>5.6958788996277661E-2</v>
      </c>
      <c r="O20" s="41">
        <f>+SUM(O2:O19)</f>
        <v>842.60999999999979</v>
      </c>
      <c r="P20" s="42"/>
      <c r="Q20" s="43">
        <f>+SUM(Q2:Q19)</f>
        <v>2.3480000000000003</v>
      </c>
      <c r="R20" s="43">
        <f>+SUM(R2:R19)</f>
        <v>2.3480000000000003</v>
      </c>
      <c r="S20" s="39"/>
      <c r="T20" s="39"/>
      <c r="U20" s="44"/>
      <c r="V20" s="43"/>
      <c r="W20" s="82">
        <f>AVERAGE(W2:W19)</f>
        <v>33197.777777777781</v>
      </c>
      <c r="X20" s="83">
        <f>AVERAGE(X2:X19)</f>
        <v>701.45134767326317</v>
      </c>
      <c r="Y20" s="45"/>
      <c r="Z20" s="37"/>
      <c r="AA20" s="37"/>
      <c r="AB20" s="37"/>
      <c r="AC20" s="37"/>
      <c r="AD20" s="37"/>
      <c r="AE20" s="37"/>
      <c r="AF20" s="37"/>
      <c r="AG20" s="37"/>
      <c r="AH20" s="37"/>
    </row>
    <row r="21" spans="1:34" x14ac:dyDescent="0.3">
      <c r="A21" s="77"/>
      <c r="B21" s="28"/>
      <c r="C21" s="28"/>
      <c r="D21" s="29"/>
      <c r="E21" s="30"/>
      <c r="F21" s="28"/>
      <c r="G21" s="28"/>
      <c r="H21" s="30"/>
      <c r="I21" s="30" t="s">
        <v>2877</v>
      </c>
      <c r="J21" s="31">
        <f>I20/H20*100</f>
        <v>34.624138161858227</v>
      </c>
      <c r="K21" s="30"/>
      <c r="L21" s="30"/>
      <c r="M21" s="30" t="s">
        <v>2879</v>
      </c>
      <c r="N21" s="79"/>
      <c r="O21" s="32"/>
      <c r="P21" s="33"/>
      <c r="Q21" s="34" t="s">
        <v>2879</v>
      </c>
      <c r="R21" s="34"/>
      <c r="S21" s="30"/>
      <c r="T21" s="30" t="s">
        <v>2879</v>
      </c>
      <c r="U21" s="35"/>
      <c r="V21" s="34"/>
      <c r="W21" s="63"/>
      <c r="X21" s="68"/>
      <c r="Y21" s="36"/>
      <c r="Z21" s="28"/>
      <c r="AA21" s="28"/>
      <c r="AB21" s="28"/>
      <c r="AC21" s="28"/>
      <c r="AD21" s="28"/>
      <c r="AE21" s="28"/>
      <c r="AF21" s="28"/>
      <c r="AG21" s="28"/>
      <c r="AH21" s="28"/>
    </row>
    <row r="22" spans="1:34" x14ac:dyDescent="0.3">
      <c r="A22" s="78"/>
      <c r="B22" s="46"/>
      <c r="C22" s="46"/>
      <c r="D22" s="47"/>
      <c r="E22" s="48"/>
      <c r="F22" s="46"/>
      <c r="G22" s="46"/>
      <c r="H22" s="48"/>
      <c r="I22" s="48" t="s">
        <v>2878</v>
      </c>
      <c r="J22" s="49">
        <f>STDEV(J2:J19)</f>
        <v>4.5847063121191116</v>
      </c>
      <c r="K22" s="48"/>
      <c r="L22" s="48"/>
      <c r="M22" s="48" t="s">
        <v>2880</v>
      </c>
      <c r="N22" s="80"/>
      <c r="O22" s="54">
        <f>L20/O20</f>
        <v>715.99791125194349</v>
      </c>
      <c r="P22" s="50"/>
      <c r="Q22" s="51" t="s">
        <v>2881</v>
      </c>
      <c r="R22" s="51">
        <f>L20/Q20</f>
        <v>256945.05962521292</v>
      </c>
      <c r="S22" s="48"/>
      <c r="T22" s="48" t="s">
        <v>2882</v>
      </c>
      <c r="U22" s="52">
        <f>L20/Q20/43560</f>
        <v>5.8986469151793601</v>
      </c>
      <c r="V22" s="51"/>
      <c r="W22" s="64"/>
      <c r="X22" s="69"/>
      <c r="Y22" s="53"/>
      <c r="Z22" s="46"/>
      <c r="AA22" s="46"/>
      <c r="AB22" s="46"/>
      <c r="AC22" s="46"/>
      <c r="AD22" s="46"/>
      <c r="AE22" s="46"/>
      <c r="AF22" s="46"/>
      <c r="AG22" s="46"/>
      <c r="AH22" s="46"/>
    </row>
    <row r="23" spans="1:34" x14ac:dyDescent="0.3">
      <c r="E23" s="94" t="s">
        <v>3099</v>
      </c>
      <c r="L23" s="95"/>
    </row>
    <row r="24" spans="1:34" x14ac:dyDescent="0.3">
      <c r="E24" s="96" t="s">
        <v>3163</v>
      </c>
      <c r="F24" s="96"/>
      <c r="G24" s="96"/>
      <c r="H24" s="96"/>
      <c r="I24" s="96"/>
      <c r="J24" s="96"/>
      <c r="K24" s="96"/>
      <c r="L24" s="96"/>
    </row>
    <row r="25" spans="1:34" x14ac:dyDescent="0.3">
      <c r="E25" s="96" t="s">
        <v>3164</v>
      </c>
      <c r="F25" s="96"/>
      <c r="G25" s="96"/>
      <c r="H25" s="96"/>
      <c r="I25" s="96"/>
      <c r="J25" s="96"/>
      <c r="K25" s="96"/>
      <c r="L25" s="96"/>
    </row>
    <row r="26" spans="1:34" x14ac:dyDescent="0.3">
      <c r="E26" s="96" t="s">
        <v>3165</v>
      </c>
      <c r="F26" s="96"/>
      <c r="G26" s="96"/>
      <c r="H26" s="96"/>
      <c r="I26" s="96"/>
      <c r="J26" s="96"/>
      <c r="K26" s="96"/>
      <c r="L26" s="96"/>
    </row>
    <row r="27" spans="1:34" x14ac:dyDescent="0.3">
      <c r="E27" s="96" t="s">
        <v>3166</v>
      </c>
      <c r="F27" s="96"/>
      <c r="G27" s="96"/>
      <c r="H27" s="96"/>
      <c r="I27" s="96"/>
      <c r="J27" s="96"/>
      <c r="K27" s="96"/>
      <c r="L27" s="96"/>
    </row>
    <row r="28" spans="1:34" x14ac:dyDescent="0.3">
      <c r="E28" s="96" t="s">
        <v>3167</v>
      </c>
      <c r="F28" s="96"/>
      <c r="G28" s="96"/>
      <c r="H28" s="96"/>
      <c r="I28" s="96"/>
      <c r="L28" s="95"/>
    </row>
    <row r="29" spans="1:34" x14ac:dyDescent="0.3">
      <c r="E29" s="96" t="s">
        <v>3100</v>
      </c>
      <c r="F29" s="96"/>
      <c r="G29" s="96"/>
      <c r="H29" s="96"/>
      <c r="I29" s="96"/>
      <c r="L29" s="95"/>
    </row>
    <row r="30" spans="1:34" x14ac:dyDescent="0.3">
      <c r="E30" s="96"/>
      <c r="F30" s="96"/>
      <c r="G30" s="96"/>
      <c r="H30" s="96"/>
      <c r="I30" s="96"/>
      <c r="L30" s="95"/>
    </row>
    <row r="31" spans="1:34" x14ac:dyDescent="0.3">
      <c r="A31" s="55" t="s">
        <v>3092</v>
      </c>
      <c r="E31" s="96"/>
      <c r="F31" s="96"/>
      <c r="G31" s="96"/>
      <c r="H31" s="96"/>
      <c r="I31" s="96"/>
      <c r="L31" s="95"/>
    </row>
    <row r="32" spans="1:34" x14ac:dyDescent="0.3">
      <c r="A32" s="75" t="s">
        <v>91</v>
      </c>
      <c r="B32" s="19" t="s">
        <v>112</v>
      </c>
      <c r="C32" s="19" t="s">
        <v>113</v>
      </c>
      <c r="D32" s="20">
        <v>45702</v>
      </c>
      <c r="E32" s="21">
        <v>132500</v>
      </c>
      <c r="F32" s="19" t="s">
        <v>32</v>
      </c>
      <c r="G32" s="19" t="s">
        <v>33</v>
      </c>
      <c r="H32" s="21">
        <v>132500</v>
      </c>
      <c r="I32" s="21">
        <v>71100</v>
      </c>
      <c r="J32" s="22">
        <f t="shared" ref="J32:J39" si="7">I32/H32*100</f>
        <v>53.660377358490564</v>
      </c>
      <c r="K32" s="21">
        <v>163548</v>
      </c>
      <c r="L32" s="21">
        <f>H32-153074</f>
        <v>-20574</v>
      </c>
      <c r="M32" s="21">
        <v>10474</v>
      </c>
      <c r="N32" s="67">
        <f t="shared" ref="N32:N39" si="8">M32/E32</f>
        <v>7.9049056603773579E-2</v>
      </c>
      <c r="O32" s="23">
        <v>52.89</v>
      </c>
      <c r="P32" s="24">
        <v>126.39</v>
      </c>
      <c r="Q32" s="25">
        <v>0.17100000000000001</v>
      </c>
      <c r="R32" s="25">
        <v>0.17100000000000001</v>
      </c>
      <c r="S32" s="21">
        <f t="shared" ref="S32:S39" si="9">L32/O32</f>
        <v>-388.99602949517868</v>
      </c>
      <c r="T32" s="21">
        <f t="shared" ref="T32:T39" si="10">L32/Q32</f>
        <v>-120315.7894736842</v>
      </c>
      <c r="U32" s="26">
        <f t="shared" ref="U32:U39" si="11">L32/Q32/43560</f>
        <v>-2.7620704654197477</v>
      </c>
      <c r="V32" s="25">
        <v>40</v>
      </c>
      <c r="W32" s="25">
        <f t="shared" ref="W32:W39" si="12">0.2*E32</f>
        <v>26500</v>
      </c>
      <c r="X32" s="25">
        <f t="shared" ref="X32:X39" si="13">W32/V32</f>
        <v>662.5</v>
      </c>
      <c r="Y32" s="27" t="s">
        <v>90</v>
      </c>
      <c r="Z32" s="19" t="s">
        <v>35</v>
      </c>
      <c r="AA32" s="19" t="s">
        <v>35</v>
      </c>
      <c r="AB32" s="19" t="s">
        <v>91</v>
      </c>
      <c r="AC32" s="19">
        <v>0</v>
      </c>
      <c r="AD32" s="19">
        <v>1</v>
      </c>
      <c r="AE32" s="19" t="s">
        <v>42</v>
      </c>
      <c r="AF32" s="19" t="s">
        <v>35</v>
      </c>
      <c r="AG32" s="19" t="s">
        <v>38</v>
      </c>
      <c r="AH32" s="19" t="s">
        <v>92</v>
      </c>
    </row>
    <row r="33" spans="1:34" x14ac:dyDescent="0.3">
      <c r="A33" s="75" t="s">
        <v>91</v>
      </c>
      <c r="B33" s="19" t="s">
        <v>110</v>
      </c>
      <c r="C33" s="19" t="s">
        <v>111</v>
      </c>
      <c r="D33" s="20">
        <v>45029</v>
      </c>
      <c r="E33" s="21">
        <v>147000</v>
      </c>
      <c r="F33" s="19" t="s">
        <v>32</v>
      </c>
      <c r="G33" s="19" t="s">
        <v>33</v>
      </c>
      <c r="H33" s="21">
        <v>147000</v>
      </c>
      <c r="I33" s="21">
        <v>62800</v>
      </c>
      <c r="J33" s="22">
        <f t="shared" si="7"/>
        <v>42.721088435374149</v>
      </c>
      <c r="K33" s="21">
        <v>175490</v>
      </c>
      <c r="L33" s="21">
        <f>H33-165630</f>
        <v>-18630</v>
      </c>
      <c r="M33" s="21">
        <v>9860</v>
      </c>
      <c r="N33" s="67">
        <f t="shared" si="8"/>
        <v>6.7074829931972793E-2</v>
      </c>
      <c r="O33" s="23">
        <v>49.79</v>
      </c>
      <c r="P33" s="24">
        <v>124</v>
      </c>
      <c r="Q33" s="25">
        <v>0.14199999999999999</v>
      </c>
      <c r="R33" s="25">
        <v>0.14199999999999999</v>
      </c>
      <c r="S33" s="21">
        <f t="shared" si="9"/>
        <v>-374.1715203856196</v>
      </c>
      <c r="T33" s="21">
        <f t="shared" si="10"/>
        <v>-131197.18309859157</v>
      </c>
      <c r="U33" s="26">
        <f t="shared" si="11"/>
        <v>-3.0118728902339664</v>
      </c>
      <c r="V33" s="25">
        <v>50</v>
      </c>
      <c r="W33" s="25">
        <f t="shared" si="12"/>
        <v>29400</v>
      </c>
      <c r="X33" s="25">
        <f t="shared" si="13"/>
        <v>588</v>
      </c>
      <c r="Y33" s="27" t="s">
        <v>90</v>
      </c>
      <c r="Z33" s="19" t="s">
        <v>35</v>
      </c>
      <c r="AA33" s="19" t="s">
        <v>35</v>
      </c>
      <c r="AB33" s="19" t="s">
        <v>91</v>
      </c>
      <c r="AC33" s="19">
        <v>0</v>
      </c>
      <c r="AD33" s="19">
        <v>1</v>
      </c>
      <c r="AE33" s="19" t="s">
        <v>37</v>
      </c>
      <c r="AF33" s="19" t="s">
        <v>43</v>
      </c>
      <c r="AG33" s="19" t="s">
        <v>38</v>
      </c>
      <c r="AH33" s="19" t="s">
        <v>92</v>
      </c>
    </row>
    <row r="34" spans="1:34" x14ac:dyDescent="0.3">
      <c r="A34" s="75" t="s">
        <v>91</v>
      </c>
      <c r="B34" s="19" t="s">
        <v>137</v>
      </c>
      <c r="C34" s="19" t="s">
        <v>138</v>
      </c>
      <c r="D34" s="20">
        <v>45450</v>
      </c>
      <c r="E34" s="21">
        <v>196500</v>
      </c>
      <c r="F34" s="19" t="s">
        <v>32</v>
      </c>
      <c r="G34" s="19" t="s">
        <v>33</v>
      </c>
      <c r="H34" s="21">
        <v>196500</v>
      </c>
      <c r="I34" s="21">
        <v>60400</v>
      </c>
      <c r="J34" s="22">
        <f t="shared" si="7"/>
        <v>30.737913486005091</v>
      </c>
      <c r="K34" s="21">
        <v>135962</v>
      </c>
      <c r="L34" s="21">
        <f>H34-128042</f>
        <v>68458</v>
      </c>
      <c r="M34" s="21">
        <v>7920</v>
      </c>
      <c r="N34" s="67">
        <f t="shared" si="8"/>
        <v>4.0305343511450382E-2</v>
      </c>
      <c r="O34" s="23">
        <v>40</v>
      </c>
      <c r="P34" s="24">
        <v>125</v>
      </c>
      <c r="Q34" s="25">
        <v>0.115</v>
      </c>
      <c r="R34" s="25">
        <v>0.115</v>
      </c>
      <c r="S34" s="21">
        <f t="shared" si="9"/>
        <v>1711.45</v>
      </c>
      <c r="T34" s="21">
        <f t="shared" si="10"/>
        <v>595286.95652173914</v>
      </c>
      <c r="U34" s="26">
        <f t="shared" si="11"/>
        <v>13.665908092785564</v>
      </c>
      <c r="V34" s="25">
        <v>40</v>
      </c>
      <c r="W34" s="25">
        <f t="shared" si="12"/>
        <v>39300</v>
      </c>
      <c r="X34" s="25">
        <f t="shared" si="13"/>
        <v>982.5</v>
      </c>
      <c r="Y34" s="27" t="s">
        <v>90</v>
      </c>
      <c r="Z34" s="19" t="s">
        <v>35</v>
      </c>
      <c r="AA34" s="19" t="s">
        <v>35</v>
      </c>
      <c r="AB34" s="19" t="s">
        <v>91</v>
      </c>
      <c r="AC34" s="19">
        <v>0</v>
      </c>
      <c r="AD34" s="19">
        <v>1</v>
      </c>
      <c r="AE34" s="19" t="s">
        <v>37</v>
      </c>
      <c r="AF34" s="19" t="s">
        <v>43</v>
      </c>
      <c r="AG34" s="19" t="s">
        <v>38</v>
      </c>
      <c r="AH34" s="19" t="s">
        <v>92</v>
      </c>
    </row>
    <row r="35" spans="1:34" x14ac:dyDescent="0.3">
      <c r="A35" s="75" t="s">
        <v>91</v>
      </c>
      <c r="B35" s="19" t="s">
        <v>145</v>
      </c>
      <c r="C35" s="19" t="s">
        <v>146</v>
      </c>
      <c r="D35" s="20">
        <v>45320</v>
      </c>
      <c r="E35" s="21">
        <v>160000</v>
      </c>
      <c r="F35" s="19" t="s">
        <v>32</v>
      </c>
      <c r="G35" s="19" t="s">
        <v>33</v>
      </c>
      <c r="H35" s="21">
        <v>160000</v>
      </c>
      <c r="I35" s="21">
        <v>70000</v>
      </c>
      <c r="J35" s="22">
        <f t="shared" si="7"/>
        <v>43.75</v>
      </c>
      <c r="K35" s="21">
        <v>187559</v>
      </c>
      <c r="L35" s="21">
        <f>H35-166034</f>
        <v>-6034</v>
      </c>
      <c r="M35" s="21">
        <v>21525</v>
      </c>
      <c r="N35" s="67">
        <f t="shared" si="8"/>
        <v>0.13453124999999999</v>
      </c>
      <c r="O35" s="23">
        <v>108.71</v>
      </c>
      <c r="P35" s="24">
        <v>134</v>
      </c>
      <c r="Q35" s="25">
        <v>0.32300000000000001</v>
      </c>
      <c r="R35" s="25">
        <v>0.32300000000000001</v>
      </c>
      <c r="S35" s="21">
        <f t="shared" si="9"/>
        <v>-55.505473277527372</v>
      </c>
      <c r="T35" s="21">
        <f t="shared" si="10"/>
        <v>-18681.114551083592</v>
      </c>
      <c r="U35" s="26">
        <f t="shared" si="11"/>
        <v>-0.42885937904232307</v>
      </c>
      <c r="V35" s="25">
        <v>105</v>
      </c>
      <c r="W35" s="25">
        <f t="shared" si="12"/>
        <v>32000</v>
      </c>
      <c r="X35" s="25">
        <f t="shared" si="13"/>
        <v>304.76190476190476</v>
      </c>
      <c r="Y35" s="27" t="s">
        <v>90</v>
      </c>
      <c r="Z35" s="19" t="s">
        <v>35</v>
      </c>
      <c r="AA35" s="19" t="s">
        <v>35</v>
      </c>
      <c r="AB35" s="19" t="s">
        <v>91</v>
      </c>
      <c r="AC35" s="19">
        <v>0</v>
      </c>
      <c r="AD35" s="19">
        <v>0</v>
      </c>
      <c r="AE35" s="19" t="s">
        <v>37</v>
      </c>
      <c r="AF35" s="19" t="s">
        <v>43</v>
      </c>
      <c r="AG35" s="19" t="s">
        <v>38</v>
      </c>
      <c r="AH35" s="19" t="s">
        <v>92</v>
      </c>
    </row>
    <row r="36" spans="1:34" x14ac:dyDescent="0.3">
      <c r="A36" s="75" t="s">
        <v>91</v>
      </c>
      <c r="B36" s="19" t="s">
        <v>131</v>
      </c>
      <c r="C36" s="19" t="s">
        <v>132</v>
      </c>
      <c r="D36" s="20">
        <v>45048</v>
      </c>
      <c r="E36" s="21">
        <v>120000</v>
      </c>
      <c r="F36" s="19" t="s">
        <v>32</v>
      </c>
      <c r="G36" s="19" t="s">
        <v>33</v>
      </c>
      <c r="H36" s="21">
        <v>120000</v>
      </c>
      <c r="I36" s="21">
        <v>48300</v>
      </c>
      <c r="J36" s="22">
        <f t="shared" si="7"/>
        <v>40.25</v>
      </c>
      <c r="K36" s="21">
        <v>128970</v>
      </c>
      <c r="L36" s="21">
        <f>H36-116942</f>
        <v>3058</v>
      </c>
      <c r="M36" s="21">
        <v>12028</v>
      </c>
      <c r="N36" s="67">
        <f t="shared" si="8"/>
        <v>0.10023333333333333</v>
      </c>
      <c r="O36" s="23">
        <v>60.74</v>
      </c>
      <c r="P36" s="24">
        <v>115</v>
      </c>
      <c r="Q36" s="25">
        <v>0.153</v>
      </c>
      <c r="R36" s="25">
        <v>0.153</v>
      </c>
      <c r="S36" s="21">
        <f t="shared" si="9"/>
        <v>50.345735923608821</v>
      </c>
      <c r="T36" s="21">
        <f t="shared" si="10"/>
        <v>19986.928104575163</v>
      </c>
      <c r="U36" s="26">
        <f t="shared" si="11"/>
        <v>0.45883673334653724</v>
      </c>
      <c r="V36" s="25">
        <v>74</v>
      </c>
      <c r="W36" s="25">
        <f t="shared" si="12"/>
        <v>24000</v>
      </c>
      <c r="X36" s="25">
        <f t="shared" si="13"/>
        <v>324.32432432432432</v>
      </c>
      <c r="Y36" s="27" t="s">
        <v>90</v>
      </c>
      <c r="Z36" s="19" t="s">
        <v>35</v>
      </c>
      <c r="AA36" s="19" t="s">
        <v>35</v>
      </c>
      <c r="AB36" s="19" t="s">
        <v>91</v>
      </c>
      <c r="AC36" s="19">
        <v>0</v>
      </c>
      <c r="AD36" s="19">
        <v>1</v>
      </c>
      <c r="AE36" s="19" t="s">
        <v>37</v>
      </c>
      <c r="AF36" s="19" t="s">
        <v>43</v>
      </c>
      <c r="AG36" s="19" t="s">
        <v>38</v>
      </c>
      <c r="AH36" s="19" t="s">
        <v>92</v>
      </c>
    </row>
    <row r="37" spans="1:34" x14ac:dyDescent="0.3">
      <c r="A37" s="74" t="s">
        <v>91</v>
      </c>
      <c r="B37" s="10" t="s">
        <v>133</v>
      </c>
      <c r="C37" s="10" t="s">
        <v>134</v>
      </c>
      <c r="D37" s="11">
        <v>45289</v>
      </c>
      <c r="E37" s="12">
        <v>140000</v>
      </c>
      <c r="F37" s="10" t="s">
        <v>32</v>
      </c>
      <c r="G37" s="10" t="s">
        <v>33</v>
      </c>
      <c r="H37" s="12">
        <v>140000</v>
      </c>
      <c r="I37" s="12">
        <v>54600</v>
      </c>
      <c r="J37" s="13">
        <f t="shared" si="7"/>
        <v>39</v>
      </c>
      <c r="K37" s="12">
        <v>146421</v>
      </c>
      <c r="L37" s="12">
        <f>H37-137566</f>
        <v>2434</v>
      </c>
      <c r="M37" s="12">
        <v>8855</v>
      </c>
      <c r="N37" s="66">
        <f t="shared" si="8"/>
        <v>6.3250000000000001E-2</v>
      </c>
      <c r="O37" s="14">
        <v>44.72</v>
      </c>
      <c r="P37" s="15">
        <v>100</v>
      </c>
      <c r="Q37" s="16">
        <v>0.115</v>
      </c>
      <c r="R37" s="16">
        <v>0.115</v>
      </c>
      <c r="S37" s="12">
        <f t="shared" si="9"/>
        <v>54.427549194991059</v>
      </c>
      <c r="T37" s="12">
        <f t="shared" si="10"/>
        <v>21165.217391304348</v>
      </c>
      <c r="U37" s="17">
        <f t="shared" si="11"/>
        <v>0.48588653331736337</v>
      </c>
      <c r="V37" s="16">
        <v>50</v>
      </c>
      <c r="W37" s="16">
        <f t="shared" si="12"/>
        <v>28000</v>
      </c>
      <c r="X37" s="16">
        <f t="shared" si="13"/>
        <v>560</v>
      </c>
      <c r="Y37" s="18" t="s">
        <v>90</v>
      </c>
      <c r="Z37" s="10" t="s">
        <v>35</v>
      </c>
      <c r="AA37" s="10" t="s">
        <v>35</v>
      </c>
      <c r="AB37" s="10" t="s">
        <v>91</v>
      </c>
      <c r="AC37" s="10">
        <v>0</v>
      </c>
      <c r="AD37" s="10">
        <v>1</v>
      </c>
      <c r="AE37" s="10" t="s">
        <v>37</v>
      </c>
      <c r="AF37" s="10" t="s">
        <v>43</v>
      </c>
      <c r="AG37" s="10" t="s">
        <v>38</v>
      </c>
      <c r="AH37" s="10" t="s">
        <v>92</v>
      </c>
    </row>
    <row r="38" spans="1:34" x14ac:dyDescent="0.3">
      <c r="A38" s="74" t="s">
        <v>91</v>
      </c>
      <c r="B38" s="10" t="s">
        <v>141</v>
      </c>
      <c r="C38" s="10" t="s">
        <v>142</v>
      </c>
      <c r="D38" s="11">
        <v>45680</v>
      </c>
      <c r="E38" s="12">
        <v>180250</v>
      </c>
      <c r="F38" s="10" t="s">
        <v>32</v>
      </c>
      <c r="G38" s="10" t="s">
        <v>33</v>
      </c>
      <c r="H38" s="12">
        <v>180250</v>
      </c>
      <c r="I38" s="12">
        <v>81800</v>
      </c>
      <c r="J38" s="13">
        <f t="shared" si="7"/>
        <v>45.381414701803052</v>
      </c>
      <c r="K38" s="12">
        <v>186161</v>
      </c>
      <c r="L38" s="12">
        <f>H38-174336</f>
        <v>5914</v>
      </c>
      <c r="M38" s="12">
        <v>11825</v>
      </c>
      <c r="N38" s="66">
        <f t="shared" si="8"/>
        <v>6.5603328710124822E-2</v>
      </c>
      <c r="O38" s="14">
        <v>59.72</v>
      </c>
      <c r="P38" s="15">
        <v>127</v>
      </c>
      <c r="Q38" s="16">
        <v>0.19</v>
      </c>
      <c r="R38" s="16">
        <v>0.19</v>
      </c>
      <c r="S38" s="12">
        <f t="shared" si="9"/>
        <v>99.028801071667786</v>
      </c>
      <c r="T38" s="12">
        <f t="shared" si="10"/>
        <v>31126.315789473683</v>
      </c>
      <c r="U38" s="17">
        <f t="shared" si="11"/>
        <v>0.71456188681069066</v>
      </c>
      <c r="V38" s="16">
        <v>47.59</v>
      </c>
      <c r="W38" s="16">
        <f t="shared" si="12"/>
        <v>36050</v>
      </c>
      <c r="X38" s="16">
        <f t="shared" si="13"/>
        <v>757.51208237024582</v>
      </c>
      <c r="Y38" s="18" t="s">
        <v>90</v>
      </c>
      <c r="Z38" s="10" t="s">
        <v>35</v>
      </c>
      <c r="AA38" s="10" t="s">
        <v>35</v>
      </c>
      <c r="AB38" s="10" t="s">
        <v>91</v>
      </c>
      <c r="AC38" s="10">
        <v>0</v>
      </c>
      <c r="AD38" s="10">
        <v>1</v>
      </c>
      <c r="AE38" s="10" t="s">
        <v>37</v>
      </c>
      <c r="AF38" s="10" t="s">
        <v>35</v>
      </c>
      <c r="AG38" s="10" t="s">
        <v>38</v>
      </c>
      <c r="AH38" s="10" t="s">
        <v>92</v>
      </c>
    </row>
    <row r="39" spans="1:34" x14ac:dyDescent="0.3">
      <c r="A39" s="74" t="s">
        <v>91</v>
      </c>
      <c r="B39" s="10" t="s">
        <v>155</v>
      </c>
      <c r="C39" s="10" t="s">
        <v>156</v>
      </c>
      <c r="D39" s="11">
        <v>45043</v>
      </c>
      <c r="E39" s="12">
        <v>148000</v>
      </c>
      <c r="F39" s="10" t="s">
        <v>32</v>
      </c>
      <c r="G39" s="10" t="s">
        <v>33</v>
      </c>
      <c r="H39" s="12">
        <v>148000</v>
      </c>
      <c r="I39" s="12">
        <v>56200</v>
      </c>
      <c r="J39" s="13">
        <f t="shared" si="7"/>
        <v>37.972972972972975</v>
      </c>
      <c r="K39" s="12">
        <v>150970</v>
      </c>
      <c r="L39" s="12">
        <f>H39-142924</f>
        <v>5076</v>
      </c>
      <c r="M39" s="12">
        <v>8046</v>
      </c>
      <c r="N39" s="66">
        <f t="shared" si="8"/>
        <v>5.4364864864864866E-2</v>
      </c>
      <c r="O39" s="14">
        <v>40.630000000000003</v>
      </c>
      <c r="P39" s="15">
        <v>129</v>
      </c>
      <c r="Q39" s="16">
        <v>0.11799999999999999</v>
      </c>
      <c r="R39" s="16">
        <v>0.11799999999999999</v>
      </c>
      <c r="S39" s="12">
        <f t="shared" si="9"/>
        <v>124.93231602264336</v>
      </c>
      <c r="T39" s="12">
        <f t="shared" si="10"/>
        <v>43016.949152542373</v>
      </c>
      <c r="U39" s="17">
        <f t="shared" si="11"/>
        <v>0.98753326796470098</v>
      </c>
      <c r="V39" s="16">
        <v>40</v>
      </c>
      <c r="W39" s="16">
        <f t="shared" si="12"/>
        <v>29600</v>
      </c>
      <c r="X39" s="16">
        <f t="shared" si="13"/>
        <v>740</v>
      </c>
      <c r="Y39" s="18" t="s">
        <v>90</v>
      </c>
      <c r="Z39" s="10" t="s">
        <v>35</v>
      </c>
      <c r="AA39" s="10" t="s">
        <v>35</v>
      </c>
      <c r="AB39" s="10" t="s">
        <v>91</v>
      </c>
      <c r="AC39" s="10">
        <v>0</v>
      </c>
      <c r="AD39" s="10">
        <v>1</v>
      </c>
      <c r="AE39" s="10" t="s">
        <v>42</v>
      </c>
      <c r="AF39" s="10" t="s">
        <v>43</v>
      </c>
      <c r="AG39" s="10" t="s">
        <v>38</v>
      </c>
      <c r="AH39" s="10" t="s">
        <v>92</v>
      </c>
    </row>
  </sheetData>
  <sortState xmlns:xlrd2="http://schemas.microsoft.com/office/spreadsheetml/2017/richdata2" ref="A2:AH33">
    <sortCondition ref="S2:S33"/>
  </sortState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4">
    <tabColor rgb="FF00B050"/>
  </sheetPr>
  <dimension ref="A7:AH7"/>
  <sheetViews>
    <sheetView workbookViewId="0">
      <selection activeCell="U27" sqref="U27"/>
    </sheetView>
  </sheetViews>
  <sheetFormatPr defaultRowHeight="14.4" x14ac:dyDescent="0.3"/>
  <cols>
    <col min="1" max="1" width="9.109375" style="55" collapsed="1"/>
    <col min="2" max="13" width="9.109375" collapsed="1"/>
    <col min="14" max="14" width="9.109375" style="55"/>
    <col min="15" max="22" width="9.109375" collapsed="1"/>
    <col min="23" max="23" width="9.109375" style="65"/>
    <col min="24" max="24" width="9.109375" style="55"/>
    <col min="25" max="34" width="9.109375" collapsed="1"/>
  </cols>
  <sheetData>
    <row r="7" spans="3:3" x14ac:dyDescent="0.3">
      <c r="C7" t="s">
        <v>3204</v>
      </c>
    </row>
  </sheetData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5">
    <tabColor rgb="FF00B050"/>
  </sheetPr>
  <dimension ref="A1:AH21"/>
  <sheetViews>
    <sheetView workbookViewId="0">
      <selection activeCell="D12" sqref="D12:L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1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1984</v>
      </c>
      <c r="B2" s="19" t="s">
        <v>1992</v>
      </c>
      <c r="C2" s="19" t="s">
        <v>1993</v>
      </c>
      <c r="D2" s="20">
        <v>45387</v>
      </c>
      <c r="E2" s="21">
        <v>360000</v>
      </c>
      <c r="F2" s="19" t="s">
        <v>32</v>
      </c>
      <c r="G2" s="19" t="s">
        <v>33</v>
      </c>
      <c r="H2" s="21">
        <v>360000</v>
      </c>
      <c r="I2" s="21">
        <v>179600</v>
      </c>
      <c r="J2" s="22">
        <f t="shared" ref="J2:J8" si="0">I2/H2*100</f>
        <v>49.888888888888886</v>
      </c>
      <c r="K2" s="21">
        <v>361086</v>
      </c>
      <c r="L2" s="21">
        <f>H2-327166</f>
        <v>32834</v>
      </c>
      <c r="M2" s="21">
        <v>33920</v>
      </c>
      <c r="N2" s="67">
        <f t="shared" ref="N2:N8" si="1">M2/E2</f>
        <v>9.4222222222222221E-2</v>
      </c>
      <c r="O2" s="23">
        <v>80</v>
      </c>
      <c r="P2" s="24">
        <v>150</v>
      </c>
      <c r="Q2" s="25">
        <v>0.27500000000000002</v>
      </c>
      <c r="R2" s="25">
        <v>0.27500000000000002</v>
      </c>
      <c r="S2" s="21">
        <f t="shared" ref="S2:S8" si="2">L2/O2</f>
        <v>410.42500000000001</v>
      </c>
      <c r="T2" s="21">
        <f t="shared" ref="T2:T8" si="3">L2/Q2</f>
        <v>119396.36363636363</v>
      </c>
      <c r="U2" s="26">
        <f t="shared" ref="U2:U8" si="4">L2/Q2/43560</f>
        <v>2.7409633525336004</v>
      </c>
      <c r="V2" s="25">
        <v>80</v>
      </c>
      <c r="W2" s="25">
        <f t="shared" ref="W2:W8" si="5">0.2*E2</f>
        <v>72000</v>
      </c>
      <c r="X2" s="25">
        <f t="shared" ref="X2:X8" si="6">W2/V2</f>
        <v>900</v>
      </c>
      <c r="Y2" s="27" t="s">
        <v>1983</v>
      </c>
      <c r="Z2" s="19" t="s">
        <v>35</v>
      </c>
      <c r="AA2" s="19" t="s">
        <v>35</v>
      </c>
      <c r="AB2" s="19" t="s">
        <v>1984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1984</v>
      </c>
      <c r="B3" s="10" t="s">
        <v>1990</v>
      </c>
      <c r="C3" s="10" t="s">
        <v>1991</v>
      </c>
      <c r="D3" s="11">
        <v>45265</v>
      </c>
      <c r="E3" s="12">
        <v>315000</v>
      </c>
      <c r="F3" s="10" t="s">
        <v>32</v>
      </c>
      <c r="G3" s="10" t="s">
        <v>33</v>
      </c>
      <c r="H3" s="12">
        <v>315000</v>
      </c>
      <c r="I3" s="12">
        <v>147100</v>
      </c>
      <c r="J3" s="13">
        <f t="shared" si="0"/>
        <v>46.698412698412703</v>
      </c>
      <c r="K3" s="12">
        <v>313418</v>
      </c>
      <c r="L3" s="12">
        <f>H3-273415</f>
        <v>41585</v>
      </c>
      <c r="M3" s="12">
        <v>40003</v>
      </c>
      <c r="N3" s="66">
        <f t="shared" si="1"/>
        <v>0.1269936507936508</v>
      </c>
      <c r="O3" s="14">
        <v>94.34</v>
      </c>
      <c r="P3" s="15">
        <v>127.5</v>
      </c>
      <c r="Q3" s="16">
        <v>0.29599999999999999</v>
      </c>
      <c r="R3" s="16">
        <v>0.29599999999999999</v>
      </c>
      <c r="S3" s="12">
        <f t="shared" si="2"/>
        <v>440.79923680305279</v>
      </c>
      <c r="T3" s="12">
        <f t="shared" si="3"/>
        <v>140489.86486486488</v>
      </c>
      <c r="U3" s="17">
        <f t="shared" si="4"/>
        <v>3.2252035092944187</v>
      </c>
      <c r="V3" s="16">
        <v>105</v>
      </c>
      <c r="W3" s="16">
        <f t="shared" si="5"/>
        <v>63000</v>
      </c>
      <c r="X3" s="16">
        <f t="shared" si="6"/>
        <v>600</v>
      </c>
      <c r="Y3" s="18" t="s">
        <v>1983</v>
      </c>
      <c r="Z3" s="10" t="s">
        <v>35</v>
      </c>
      <c r="AA3" s="10" t="s">
        <v>35</v>
      </c>
      <c r="AB3" s="10" t="s">
        <v>1984</v>
      </c>
      <c r="AC3" s="10">
        <v>0</v>
      </c>
      <c r="AD3" s="10">
        <v>1</v>
      </c>
      <c r="AE3" s="10" t="s">
        <v>1989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1936</v>
      </c>
      <c r="B4" s="19" t="s">
        <v>1937</v>
      </c>
      <c r="C4" s="19" t="s">
        <v>1938</v>
      </c>
      <c r="D4" s="20">
        <v>45177</v>
      </c>
      <c r="E4" s="21">
        <v>400000</v>
      </c>
      <c r="F4" s="19" t="s">
        <v>32</v>
      </c>
      <c r="G4" s="19" t="s">
        <v>33</v>
      </c>
      <c r="H4" s="21">
        <v>400000</v>
      </c>
      <c r="I4" s="21">
        <v>188500</v>
      </c>
      <c r="J4" s="22">
        <f>I4/H4*100</f>
        <v>47.125</v>
      </c>
      <c r="K4" s="21">
        <v>387886</v>
      </c>
      <c r="L4" s="21">
        <f>H4-342162</f>
        <v>57838</v>
      </c>
      <c r="M4" s="21">
        <v>45724</v>
      </c>
      <c r="N4" s="67">
        <f>M4/E4</f>
        <v>0.11430999999999999</v>
      </c>
      <c r="O4" s="23">
        <v>107.84</v>
      </c>
      <c r="P4" s="24">
        <v>127.71</v>
      </c>
      <c r="Q4" s="25">
        <v>0.51600000000000001</v>
      </c>
      <c r="R4" s="25">
        <v>0.42099999999999999</v>
      </c>
      <c r="S4" s="21">
        <f>L4/O4</f>
        <v>536.33160237388722</v>
      </c>
      <c r="T4" s="21">
        <f>L4/Q4</f>
        <v>112089.1472868217</v>
      </c>
      <c r="U4" s="26">
        <f>L4/Q4/43560</f>
        <v>2.5732127476313522</v>
      </c>
      <c r="V4" s="25">
        <v>63.68</v>
      </c>
      <c r="W4" s="25">
        <f>0.2*E4</f>
        <v>80000</v>
      </c>
      <c r="X4" s="25">
        <f>W4/V4</f>
        <v>1256.2814070351758</v>
      </c>
      <c r="Y4" s="27" t="s">
        <v>1935</v>
      </c>
      <c r="Z4" s="19" t="s">
        <v>35</v>
      </c>
      <c r="AA4" s="19" t="s">
        <v>35</v>
      </c>
      <c r="AB4" s="19" t="s">
        <v>1936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1936</v>
      </c>
      <c r="B5" s="10" t="s">
        <v>1933</v>
      </c>
      <c r="C5" s="10" t="s">
        <v>1934</v>
      </c>
      <c r="D5" s="11">
        <v>45401</v>
      </c>
      <c r="E5" s="12">
        <v>420000</v>
      </c>
      <c r="F5" s="10" t="s">
        <v>32</v>
      </c>
      <c r="G5" s="10" t="s">
        <v>33</v>
      </c>
      <c r="H5" s="12">
        <v>420000</v>
      </c>
      <c r="I5" s="12">
        <v>187300</v>
      </c>
      <c r="J5" s="13">
        <f>I5/H5*100</f>
        <v>44.595238095238095</v>
      </c>
      <c r="K5" s="12">
        <v>386102</v>
      </c>
      <c r="L5" s="12">
        <f>H5-354055</f>
        <v>65945</v>
      </c>
      <c r="M5" s="12">
        <v>32047</v>
      </c>
      <c r="N5" s="66">
        <f>M5/E5</f>
        <v>7.6302380952380955E-2</v>
      </c>
      <c r="O5" s="14">
        <v>75.58</v>
      </c>
      <c r="P5" s="15">
        <v>140.34</v>
      </c>
      <c r="Q5" s="16">
        <v>0.25700000000000001</v>
      </c>
      <c r="R5" s="16">
        <v>0.309</v>
      </c>
      <c r="S5" s="12">
        <f>L5/O5</f>
        <v>872.51918496956864</v>
      </c>
      <c r="T5" s="12">
        <f>L5/Q5</f>
        <v>256595.33073929959</v>
      </c>
      <c r="U5" s="17">
        <f>L5/Q5/43560</f>
        <v>5.8906182447038473</v>
      </c>
      <c r="V5" s="16">
        <v>42.74</v>
      </c>
      <c r="W5" s="16">
        <f>0.2*E5</f>
        <v>84000</v>
      </c>
      <c r="X5" s="16">
        <f>W5/V5</f>
        <v>1965.3720168460459</v>
      </c>
      <c r="Y5" s="18" t="s">
        <v>1935</v>
      </c>
      <c r="Z5" s="10" t="s">
        <v>35</v>
      </c>
      <c r="AA5" s="10" t="s">
        <v>35</v>
      </c>
      <c r="AB5" s="10" t="s">
        <v>1936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1984</v>
      </c>
      <c r="B6" s="19" t="s">
        <v>1994</v>
      </c>
      <c r="C6" s="19" t="s">
        <v>1995</v>
      </c>
      <c r="D6" s="20">
        <v>45604</v>
      </c>
      <c r="E6" s="21">
        <v>384900</v>
      </c>
      <c r="F6" s="19" t="s">
        <v>32</v>
      </c>
      <c r="G6" s="19" t="s">
        <v>33</v>
      </c>
      <c r="H6" s="21">
        <v>384900</v>
      </c>
      <c r="I6" s="21">
        <v>24000</v>
      </c>
      <c r="J6" s="22">
        <f t="shared" si="0"/>
        <v>6.2353858144972722</v>
      </c>
      <c r="K6" s="21">
        <v>380432</v>
      </c>
      <c r="L6" s="21">
        <f>H6-329560</f>
        <v>55340</v>
      </c>
      <c r="M6" s="21">
        <v>50872</v>
      </c>
      <c r="N6" s="67">
        <f t="shared" si="1"/>
        <v>0.13216939464796051</v>
      </c>
      <c r="O6" s="23">
        <v>119.98</v>
      </c>
      <c r="P6" s="24">
        <v>127.76</v>
      </c>
      <c r="Q6" s="25">
        <v>0.38100000000000001</v>
      </c>
      <c r="R6" s="25">
        <v>0.38100000000000001</v>
      </c>
      <c r="S6" s="21">
        <f t="shared" si="2"/>
        <v>461.24354059009835</v>
      </c>
      <c r="T6" s="21">
        <f t="shared" si="3"/>
        <v>145249.343832021</v>
      </c>
      <c r="U6" s="26">
        <f t="shared" si="4"/>
        <v>3.3344661118462122</v>
      </c>
      <c r="V6" s="25">
        <v>130</v>
      </c>
      <c r="W6" s="25">
        <f t="shared" si="5"/>
        <v>76980</v>
      </c>
      <c r="X6" s="25">
        <f t="shared" si="6"/>
        <v>592.15384615384619</v>
      </c>
      <c r="Y6" s="27" t="s">
        <v>1983</v>
      </c>
      <c r="Z6" s="19" t="s">
        <v>35</v>
      </c>
      <c r="AA6" s="19" t="s">
        <v>35</v>
      </c>
      <c r="AB6" s="19" t="s">
        <v>1984</v>
      </c>
      <c r="AC6" s="19">
        <v>0</v>
      </c>
      <c r="AD6" s="19">
        <v>1</v>
      </c>
      <c r="AE6" s="19" t="s">
        <v>1989</v>
      </c>
      <c r="AF6" s="19" t="s">
        <v>35</v>
      </c>
      <c r="AG6" s="19" t="s">
        <v>38</v>
      </c>
      <c r="AH6" s="19" t="s">
        <v>92</v>
      </c>
    </row>
    <row r="7" spans="1:34" x14ac:dyDescent="0.3">
      <c r="A7" s="75" t="s">
        <v>1984</v>
      </c>
      <c r="B7" s="19" t="s">
        <v>1981</v>
      </c>
      <c r="C7" s="19" t="s">
        <v>1982</v>
      </c>
      <c r="D7" s="20">
        <v>45197</v>
      </c>
      <c r="E7" s="21">
        <v>305000</v>
      </c>
      <c r="F7" s="19" t="s">
        <v>32</v>
      </c>
      <c r="G7" s="19" t="s">
        <v>33</v>
      </c>
      <c r="H7" s="21">
        <v>305000</v>
      </c>
      <c r="I7" s="21">
        <v>141500</v>
      </c>
      <c r="J7" s="22">
        <f t="shared" si="0"/>
        <v>46.393442622950822</v>
      </c>
      <c r="K7" s="21">
        <v>301023</v>
      </c>
      <c r="L7" s="21">
        <f>H7-267103</f>
        <v>37897</v>
      </c>
      <c r="M7" s="21">
        <v>33920</v>
      </c>
      <c r="N7" s="67">
        <f t="shared" si="1"/>
        <v>0.11121311475409836</v>
      </c>
      <c r="O7" s="23">
        <v>80</v>
      </c>
      <c r="P7" s="24">
        <v>150</v>
      </c>
      <c r="Q7" s="25">
        <v>0.27500000000000002</v>
      </c>
      <c r="R7" s="25">
        <v>0.27500000000000002</v>
      </c>
      <c r="S7" s="21">
        <f t="shared" si="2"/>
        <v>473.71249999999998</v>
      </c>
      <c r="T7" s="21">
        <f t="shared" si="3"/>
        <v>137807.27272727271</v>
      </c>
      <c r="U7" s="26">
        <f t="shared" si="4"/>
        <v>3.1636196677518988</v>
      </c>
      <c r="V7" s="25">
        <v>80</v>
      </c>
      <c r="W7" s="25">
        <f t="shared" si="5"/>
        <v>61000</v>
      </c>
      <c r="X7" s="25">
        <f t="shared" si="6"/>
        <v>762.5</v>
      </c>
      <c r="Y7" s="27" t="s">
        <v>1983</v>
      </c>
      <c r="Z7" s="19" t="s">
        <v>35</v>
      </c>
      <c r="AA7" s="19" t="s">
        <v>35</v>
      </c>
      <c r="AB7" s="19" t="s">
        <v>1984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92</v>
      </c>
    </row>
    <row r="8" spans="1:34" ht="15" thickBot="1" x14ac:dyDescent="0.35">
      <c r="A8" s="74" t="s">
        <v>1984</v>
      </c>
      <c r="B8" s="10" t="s">
        <v>1987</v>
      </c>
      <c r="C8" s="10" t="s">
        <v>1988</v>
      </c>
      <c r="D8" s="11">
        <v>45603</v>
      </c>
      <c r="E8" s="12">
        <v>369000</v>
      </c>
      <c r="F8" s="10" t="s">
        <v>32</v>
      </c>
      <c r="G8" s="10" t="s">
        <v>33</v>
      </c>
      <c r="H8" s="12">
        <v>369000</v>
      </c>
      <c r="I8" s="12">
        <v>17900</v>
      </c>
      <c r="J8" s="13">
        <f t="shared" si="0"/>
        <v>4.8509485094850948</v>
      </c>
      <c r="K8" s="12">
        <v>356054</v>
      </c>
      <c r="L8" s="12">
        <f>H8-318122</f>
        <v>50878</v>
      </c>
      <c r="M8" s="12">
        <v>37932</v>
      </c>
      <c r="N8" s="66">
        <f t="shared" si="1"/>
        <v>0.10279674796747967</v>
      </c>
      <c r="O8" s="14">
        <v>89.46</v>
      </c>
      <c r="P8" s="15">
        <v>125</v>
      </c>
      <c r="Q8" s="16">
        <v>0.28100000000000003</v>
      </c>
      <c r="R8" s="16">
        <v>0.28100000000000003</v>
      </c>
      <c r="S8" s="12">
        <f t="shared" si="2"/>
        <v>568.72345182204344</v>
      </c>
      <c r="T8" s="12">
        <f t="shared" si="3"/>
        <v>181060.49822064055</v>
      </c>
      <c r="U8" s="17">
        <f t="shared" si="4"/>
        <v>4.156577094137754</v>
      </c>
      <c r="V8" s="16">
        <v>98</v>
      </c>
      <c r="W8" s="16">
        <f t="shared" si="5"/>
        <v>73800</v>
      </c>
      <c r="X8" s="16">
        <f t="shared" si="6"/>
        <v>753.0612244897959</v>
      </c>
      <c r="Y8" s="18" t="s">
        <v>1983</v>
      </c>
      <c r="Z8" s="10" t="s">
        <v>35</v>
      </c>
      <c r="AA8" s="10" t="s">
        <v>35</v>
      </c>
      <c r="AB8" s="10" t="s">
        <v>1984</v>
      </c>
      <c r="AC8" s="10">
        <v>0</v>
      </c>
      <c r="AD8" s="10">
        <v>1</v>
      </c>
      <c r="AE8" s="10" t="s">
        <v>1989</v>
      </c>
      <c r="AF8" s="10" t="s">
        <v>35</v>
      </c>
      <c r="AG8" s="10" t="s">
        <v>38</v>
      </c>
      <c r="AH8" s="10" t="s">
        <v>92</v>
      </c>
    </row>
    <row r="9" spans="1:34" ht="15" thickTop="1" x14ac:dyDescent="0.3">
      <c r="A9" s="76"/>
      <c r="B9" s="37"/>
      <c r="C9" s="37"/>
      <c r="D9" s="38" t="s">
        <v>2876</v>
      </c>
      <c r="E9" s="39">
        <f>+SUM(E2:E8)</f>
        <v>2553900</v>
      </c>
      <c r="F9" s="37"/>
      <c r="G9" s="37"/>
      <c r="H9" s="39">
        <f>+SUM(H2:H8)</f>
        <v>2553900</v>
      </c>
      <c r="I9" s="39">
        <f>+SUM(I2:I8)</f>
        <v>885900</v>
      </c>
      <c r="J9" s="40"/>
      <c r="K9" s="39">
        <f>+SUM(K2:K8)</f>
        <v>2486001</v>
      </c>
      <c r="L9" s="39">
        <f>+SUM(L2:L8)</f>
        <v>342317</v>
      </c>
      <c r="M9" s="39">
        <f>+SUM(M2:M8)</f>
        <v>274418</v>
      </c>
      <c r="N9" s="81">
        <f>AVERAGE(N2:N8)</f>
        <v>0.10828678733397035</v>
      </c>
      <c r="O9" s="41">
        <f>+SUM(O2:O8)</f>
        <v>647.20000000000005</v>
      </c>
      <c r="P9" s="42"/>
      <c r="Q9" s="43">
        <f>+SUM(Q2:Q8)</f>
        <v>2.2810000000000001</v>
      </c>
      <c r="R9" s="43">
        <f>+SUM(R2:R8)</f>
        <v>2.238</v>
      </c>
      <c r="S9" s="39"/>
      <c r="T9" s="39"/>
      <c r="U9" s="44"/>
      <c r="V9" s="43"/>
      <c r="W9" s="82">
        <f>AVERAGE(W2:W8)</f>
        <v>72968.571428571435</v>
      </c>
      <c r="X9" s="83">
        <f>AVERAGE(X2:X8)</f>
        <v>975.624070646409</v>
      </c>
      <c r="Y9" s="45"/>
      <c r="Z9" s="37"/>
      <c r="AA9" s="37"/>
      <c r="AB9" s="37"/>
      <c r="AC9" s="37"/>
      <c r="AD9" s="37"/>
      <c r="AE9" s="37"/>
      <c r="AF9" s="37"/>
      <c r="AG9" s="37"/>
      <c r="AH9" s="37"/>
    </row>
    <row r="10" spans="1:34" x14ac:dyDescent="0.3">
      <c r="A10" s="77"/>
      <c r="B10" s="28"/>
      <c r="C10" s="28"/>
      <c r="D10" s="29"/>
      <c r="E10" s="30"/>
      <c r="F10" s="28"/>
      <c r="G10" s="28"/>
      <c r="H10" s="30"/>
      <c r="I10" s="30" t="s">
        <v>2877</v>
      </c>
      <c r="J10" s="31">
        <f>I9/H9*100</f>
        <v>34.688124045577354</v>
      </c>
      <c r="K10" s="30"/>
      <c r="L10" s="30"/>
      <c r="M10" s="30" t="s">
        <v>2879</v>
      </c>
      <c r="N10" s="79"/>
      <c r="O10" s="32"/>
      <c r="P10" s="33"/>
      <c r="Q10" s="34" t="s">
        <v>2879</v>
      </c>
      <c r="R10" s="34"/>
      <c r="S10" s="30"/>
      <c r="T10" s="30" t="s">
        <v>2879</v>
      </c>
      <c r="U10" s="35"/>
      <c r="V10" s="34"/>
      <c r="W10" s="63"/>
      <c r="X10" s="68"/>
      <c r="Y10" s="36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3">
      <c r="A11" s="78"/>
      <c r="B11" s="46"/>
      <c r="C11" s="46"/>
      <c r="D11" s="47"/>
      <c r="E11" s="48"/>
      <c r="F11" s="46"/>
      <c r="G11" s="46"/>
      <c r="H11" s="48"/>
      <c r="I11" s="48" t="s">
        <v>2878</v>
      </c>
      <c r="J11" s="49">
        <f>STDEV(J2:J8)</f>
        <v>20.263704862129526</v>
      </c>
      <c r="K11" s="48"/>
      <c r="L11" s="48"/>
      <c r="M11" s="48" t="s">
        <v>2880</v>
      </c>
      <c r="N11" s="80"/>
      <c r="O11" s="54">
        <f>L9/O9</f>
        <v>528.91996291718169</v>
      </c>
      <c r="P11" s="50"/>
      <c r="Q11" s="51" t="s">
        <v>2881</v>
      </c>
      <c r="R11" s="51">
        <f>L9/Q9</f>
        <v>150073.21350284963</v>
      </c>
      <c r="S11" s="48"/>
      <c r="T11" s="48" t="s">
        <v>2882</v>
      </c>
      <c r="U11" s="52">
        <f>L9/Q9/43560</f>
        <v>3.4452069215530217</v>
      </c>
      <c r="V11" s="51"/>
      <c r="W11" s="64"/>
      <c r="X11" s="69"/>
      <c r="Y11" s="53"/>
      <c r="Z11" s="46"/>
      <c r="AA11" s="46"/>
      <c r="AB11" s="46"/>
      <c r="AC11" s="46"/>
      <c r="AD11" s="46"/>
      <c r="AE11" s="46"/>
      <c r="AF11" s="46"/>
      <c r="AG11" s="46"/>
      <c r="AH11" s="46"/>
    </row>
    <row r="12" spans="1:34" x14ac:dyDescent="0.3">
      <c r="E12" s="94" t="s">
        <v>3099</v>
      </c>
      <c r="L12" s="95"/>
    </row>
    <row r="13" spans="1:34" x14ac:dyDescent="0.3">
      <c r="E13" s="383" t="s">
        <v>3163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3164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3165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3166</v>
      </c>
      <c r="F16" s="383"/>
      <c r="G16" s="383"/>
      <c r="H16" s="383"/>
      <c r="I16" s="383"/>
      <c r="J16" s="96"/>
      <c r="K16" s="96"/>
      <c r="L16" s="96"/>
    </row>
    <row r="17" spans="1:34" x14ac:dyDescent="0.3">
      <c r="E17" s="383" t="s">
        <v>3167</v>
      </c>
      <c r="F17" s="383"/>
      <c r="G17" s="383"/>
      <c r="H17" s="383"/>
      <c r="I17" s="383"/>
      <c r="L17" s="95"/>
    </row>
    <row r="18" spans="1:34" x14ac:dyDescent="0.3">
      <c r="E18" s="383" t="s">
        <v>3100</v>
      </c>
      <c r="F18" s="383"/>
      <c r="G18" s="383"/>
      <c r="H18" s="383"/>
      <c r="I18" s="383"/>
      <c r="L18" s="95"/>
    </row>
    <row r="19" spans="1:34" x14ac:dyDescent="0.3">
      <c r="E19" s="96"/>
      <c r="F19" s="96"/>
      <c r="G19" s="96"/>
      <c r="H19" s="96"/>
      <c r="I19" s="96"/>
      <c r="L19" s="95"/>
    </row>
    <row r="20" spans="1:34" x14ac:dyDescent="0.3">
      <c r="A20" s="55" t="s">
        <v>3092</v>
      </c>
      <c r="E20" s="96"/>
      <c r="F20" s="96"/>
      <c r="G20" s="96"/>
      <c r="H20" s="96"/>
      <c r="I20" s="96"/>
      <c r="L20" s="95"/>
    </row>
    <row r="21" spans="1:34" x14ac:dyDescent="0.3">
      <c r="A21" s="75" t="s">
        <v>1984</v>
      </c>
      <c r="B21" s="19" t="s">
        <v>1985</v>
      </c>
      <c r="C21" s="19" t="s">
        <v>1986</v>
      </c>
      <c r="D21" s="20">
        <v>45054</v>
      </c>
      <c r="E21" s="21">
        <v>295000</v>
      </c>
      <c r="F21" s="19" t="s">
        <v>32</v>
      </c>
      <c r="G21" s="19" t="s">
        <v>33</v>
      </c>
      <c r="H21" s="21">
        <v>295000</v>
      </c>
      <c r="I21" s="21">
        <v>146800</v>
      </c>
      <c r="J21" s="22">
        <f t="shared" ref="J21" si="7">I21/H21*100</f>
        <v>49.762711864406775</v>
      </c>
      <c r="K21" s="21">
        <v>313126</v>
      </c>
      <c r="L21" s="21">
        <f>H21-279206</f>
        <v>15794</v>
      </c>
      <c r="M21" s="21">
        <v>33920</v>
      </c>
      <c r="N21" s="67">
        <f t="shared" ref="N21" si="8">M21/E21</f>
        <v>0.11498305084745762</v>
      </c>
      <c r="O21" s="23">
        <v>80</v>
      </c>
      <c r="P21" s="24">
        <v>150</v>
      </c>
      <c r="Q21" s="25">
        <v>0.27500000000000002</v>
      </c>
      <c r="R21" s="25">
        <v>0.27500000000000002</v>
      </c>
      <c r="S21" s="21">
        <f t="shared" ref="S21" si="9">L21/O21</f>
        <v>197.42500000000001</v>
      </c>
      <c r="T21" s="21">
        <f t="shared" ref="T21" si="10">L21/Q21</f>
        <v>57432.727272727265</v>
      </c>
      <c r="U21" s="26">
        <f t="shared" ref="U21" si="11">L21/Q21/43560</f>
        <v>1.3184739961599463</v>
      </c>
      <c r="V21" s="25">
        <v>80</v>
      </c>
      <c r="W21" s="25">
        <f t="shared" ref="W21" si="12">0.2*E21</f>
        <v>59000</v>
      </c>
      <c r="X21" s="25">
        <f t="shared" ref="X21" si="13">W21/V21</f>
        <v>737.5</v>
      </c>
      <c r="Y21" s="27" t="s">
        <v>1983</v>
      </c>
      <c r="Z21" s="19" t="s">
        <v>35</v>
      </c>
      <c r="AA21" s="19" t="s">
        <v>35</v>
      </c>
      <c r="AB21" s="19" t="s">
        <v>1984</v>
      </c>
      <c r="AC21" s="19">
        <v>0</v>
      </c>
      <c r="AD21" s="19">
        <v>1</v>
      </c>
      <c r="AE21" s="19" t="s">
        <v>37</v>
      </c>
      <c r="AF21" s="19" t="s">
        <v>43</v>
      </c>
      <c r="AG21" s="19" t="s">
        <v>38</v>
      </c>
      <c r="AH21" s="19" t="s">
        <v>92</v>
      </c>
    </row>
  </sheetData>
  <sortState xmlns:xlrd2="http://schemas.microsoft.com/office/spreadsheetml/2017/richdata2" ref="A2:AH7">
    <sortCondition ref="S2:S7"/>
  </sortState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6">
    <tabColor rgb="FF00B050"/>
  </sheetPr>
  <dimension ref="A1:AH15"/>
  <sheetViews>
    <sheetView workbookViewId="0">
      <selection activeCell="E7" sqref="E7:L13"/>
    </sheetView>
  </sheetViews>
  <sheetFormatPr defaultRowHeight="14.4" x14ac:dyDescent="0.3"/>
  <cols>
    <col min="1" max="1" width="13.33203125" style="55" bestFit="1" customWidth="1" collapsed="1"/>
    <col min="2" max="2" width="17.5546875" bestFit="1" customWidth="1" collapsed="1"/>
    <col min="3" max="3" width="20.4414062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554687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3.332031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1936</v>
      </c>
      <c r="B2" s="19" t="s">
        <v>1937</v>
      </c>
      <c r="C2" s="19" t="s">
        <v>1938</v>
      </c>
      <c r="D2" s="20">
        <v>45177</v>
      </c>
      <c r="E2" s="21">
        <v>400000</v>
      </c>
      <c r="F2" s="19" t="s">
        <v>32</v>
      </c>
      <c r="G2" s="19" t="s">
        <v>33</v>
      </c>
      <c r="H2" s="21">
        <v>400000</v>
      </c>
      <c r="I2" s="21">
        <v>188500</v>
      </c>
      <c r="J2" s="22">
        <f>I2/H2*100</f>
        <v>47.125</v>
      </c>
      <c r="K2" s="21">
        <v>387886</v>
      </c>
      <c r="L2" s="21">
        <f>H2-342162</f>
        <v>57838</v>
      </c>
      <c r="M2" s="21">
        <v>45724</v>
      </c>
      <c r="N2" s="67">
        <f>M2/E2</f>
        <v>0.11430999999999999</v>
      </c>
      <c r="O2" s="23">
        <v>107.84</v>
      </c>
      <c r="P2" s="24">
        <v>127.71</v>
      </c>
      <c r="Q2" s="25">
        <v>0.51600000000000001</v>
      </c>
      <c r="R2" s="25">
        <v>0.42099999999999999</v>
      </c>
      <c r="S2" s="21">
        <f>L2/O2</f>
        <v>536.33160237388722</v>
      </c>
      <c r="T2" s="21">
        <f>L2/Q2</f>
        <v>112089.1472868217</v>
      </c>
      <c r="U2" s="26">
        <f>L2/Q2/43560</f>
        <v>2.5732127476313522</v>
      </c>
      <c r="V2" s="25">
        <v>63.68</v>
      </c>
      <c r="W2" s="25">
        <f>0.2*E2</f>
        <v>80000</v>
      </c>
      <c r="X2" s="25">
        <f>W2/V2</f>
        <v>1256.2814070351758</v>
      </c>
      <c r="Y2" s="27" t="s">
        <v>1935</v>
      </c>
      <c r="Z2" s="19" t="s">
        <v>35</v>
      </c>
      <c r="AA2" s="19" t="s">
        <v>35</v>
      </c>
      <c r="AB2" s="19" t="s">
        <v>1936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4" t="s">
        <v>1936</v>
      </c>
      <c r="B3" s="10" t="s">
        <v>1933</v>
      </c>
      <c r="C3" s="10" t="s">
        <v>1934</v>
      </c>
      <c r="D3" s="11">
        <v>45401</v>
      </c>
      <c r="E3" s="12">
        <v>420000</v>
      </c>
      <c r="F3" s="10" t="s">
        <v>32</v>
      </c>
      <c r="G3" s="10" t="s">
        <v>33</v>
      </c>
      <c r="H3" s="12">
        <v>420000</v>
      </c>
      <c r="I3" s="12">
        <v>187300</v>
      </c>
      <c r="J3" s="13">
        <f>I3/H3*100</f>
        <v>44.595238095238095</v>
      </c>
      <c r="K3" s="12">
        <v>386102</v>
      </c>
      <c r="L3" s="12">
        <f>H3-354055</f>
        <v>65945</v>
      </c>
      <c r="M3" s="12">
        <v>32047</v>
      </c>
      <c r="N3" s="66">
        <f>M3/E3</f>
        <v>7.6302380952380955E-2</v>
      </c>
      <c r="O3" s="14">
        <v>75.58</v>
      </c>
      <c r="P3" s="15">
        <v>140.34</v>
      </c>
      <c r="Q3" s="16">
        <v>0.25700000000000001</v>
      </c>
      <c r="R3" s="16">
        <v>0.309</v>
      </c>
      <c r="S3" s="12">
        <f>L3/O3</f>
        <v>872.51918496956864</v>
      </c>
      <c r="T3" s="12">
        <f>L3/Q3</f>
        <v>256595.33073929959</v>
      </c>
      <c r="U3" s="17">
        <f>L3/Q3/43560</f>
        <v>5.8906182447038473</v>
      </c>
      <c r="V3" s="16">
        <v>42.74</v>
      </c>
      <c r="W3" s="16">
        <f>0.2*E3</f>
        <v>84000</v>
      </c>
      <c r="X3" s="16">
        <f>W3/V3</f>
        <v>1965.3720168460459</v>
      </c>
      <c r="Y3" s="18" t="s">
        <v>1935</v>
      </c>
      <c r="Z3" s="10" t="s">
        <v>35</v>
      </c>
      <c r="AA3" s="10" t="s">
        <v>35</v>
      </c>
      <c r="AB3" s="10" t="s">
        <v>1936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820000</v>
      </c>
      <c r="F4" s="37"/>
      <c r="G4" s="37"/>
      <c r="H4" s="39">
        <f>+SUM(H2:H3)</f>
        <v>820000</v>
      </c>
      <c r="I4" s="39">
        <f>+SUM(I2:I3)</f>
        <v>375800</v>
      </c>
      <c r="J4" s="40"/>
      <c r="K4" s="39">
        <f>+SUM(K2:K3)</f>
        <v>773988</v>
      </c>
      <c r="L4" s="39">
        <f>+SUM(L2:L3)</f>
        <v>123783</v>
      </c>
      <c r="M4" s="39">
        <f>+SUM(M2:M3)</f>
        <v>77771</v>
      </c>
      <c r="N4" s="81">
        <f>AVERAGE(N2:N3)</f>
        <v>9.5306190476190475E-2</v>
      </c>
      <c r="O4" s="41">
        <f>+SUM(O2:O3)</f>
        <v>183.42000000000002</v>
      </c>
      <c r="P4" s="42"/>
      <c r="Q4" s="43">
        <f>+SUM(Q2:Q3)</f>
        <v>0.77300000000000002</v>
      </c>
      <c r="R4" s="43">
        <f>+SUM(R2:R3)</f>
        <v>0.73</v>
      </c>
      <c r="S4" s="39"/>
      <c r="T4" s="39"/>
      <c r="U4" s="44"/>
      <c r="V4" s="43"/>
      <c r="W4" s="82">
        <f>AVERAGE(W2:W3)</f>
        <v>82000</v>
      </c>
      <c r="X4" s="83">
        <f>AVERAGE(X2:X3)</f>
        <v>1610.8267119406109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45.829268292682926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1.7888117976445401</v>
      </c>
      <c r="K6" s="48"/>
      <c r="L6" s="48"/>
      <c r="M6" s="48" t="s">
        <v>2880</v>
      </c>
      <c r="N6" s="80"/>
      <c r="O6" s="54">
        <f>L4/O4</f>
        <v>674.860974811907</v>
      </c>
      <c r="P6" s="50"/>
      <c r="Q6" s="51" t="s">
        <v>2881</v>
      </c>
      <c r="R6" s="51">
        <f>L4/Q4</f>
        <v>160133.24708926262</v>
      </c>
      <c r="S6" s="48"/>
      <c r="T6" s="48" t="s">
        <v>2882</v>
      </c>
      <c r="U6" s="52">
        <f>L4/Q4/43560</f>
        <v>3.6761535144458817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pageMargins left="0.7" right="0.7" top="0.75" bottom="0.75" header="0.3" footer="0.3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7">
    <tabColor rgb="FF00B050"/>
  </sheetPr>
  <dimension ref="A1:AH16"/>
  <sheetViews>
    <sheetView workbookViewId="0">
      <selection activeCell="E8" sqref="E8:L14"/>
    </sheetView>
  </sheetViews>
  <sheetFormatPr defaultRowHeight="14.4" x14ac:dyDescent="0.3"/>
  <cols>
    <col min="1" max="1" width="10.554687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554687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2192</v>
      </c>
      <c r="B2" s="10" t="s">
        <v>2190</v>
      </c>
      <c r="C2" s="10" t="s">
        <v>2191</v>
      </c>
      <c r="D2" s="11">
        <v>45456</v>
      </c>
      <c r="E2" s="12">
        <v>125000</v>
      </c>
      <c r="F2" s="10" t="s">
        <v>32</v>
      </c>
      <c r="G2" s="10" t="s">
        <v>33</v>
      </c>
      <c r="H2" s="12">
        <v>125000</v>
      </c>
      <c r="I2" s="12">
        <v>122700</v>
      </c>
      <c r="J2" s="13">
        <f>I2/H2*100</f>
        <v>98.16</v>
      </c>
      <c r="K2" s="12">
        <v>271955</v>
      </c>
      <c r="L2" s="12">
        <f>H2-255125</f>
        <v>-130125</v>
      </c>
      <c r="M2" s="12">
        <v>16830</v>
      </c>
      <c r="N2" s="66">
        <f>M2/E2</f>
        <v>0.13464000000000001</v>
      </c>
      <c r="O2" s="14">
        <v>66</v>
      </c>
      <c r="P2" s="15">
        <v>302.10000000000002</v>
      </c>
      <c r="Q2" s="16">
        <v>0.45800000000000002</v>
      </c>
      <c r="R2" s="16">
        <v>0.45800000000000002</v>
      </c>
      <c r="S2" s="12">
        <f>L2/O2</f>
        <v>-1971.590909090909</v>
      </c>
      <c r="T2" s="12">
        <f>L2/Q2</f>
        <v>-284115.72052401747</v>
      </c>
      <c r="U2" s="17">
        <f>L2/Q2/43560</f>
        <v>-6.5223994610655982</v>
      </c>
      <c r="V2" s="16">
        <v>66</v>
      </c>
      <c r="W2" s="16">
        <f>0.2*E2</f>
        <v>25000</v>
      </c>
      <c r="X2" s="16">
        <f>W2/V2</f>
        <v>378.78787878787881</v>
      </c>
      <c r="Y2" s="18" t="s">
        <v>1562</v>
      </c>
      <c r="Z2" s="10" t="s">
        <v>35</v>
      </c>
      <c r="AA2" s="10" t="s">
        <v>35</v>
      </c>
      <c r="AB2" s="10" t="s">
        <v>2192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2192</v>
      </c>
      <c r="B3" s="19" t="s">
        <v>2195</v>
      </c>
      <c r="C3" s="19" t="s">
        <v>2196</v>
      </c>
      <c r="D3" s="20">
        <v>45643</v>
      </c>
      <c r="E3" s="21">
        <v>295000</v>
      </c>
      <c r="F3" s="19" t="s">
        <v>32</v>
      </c>
      <c r="G3" s="19" t="s">
        <v>33</v>
      </c>
      <c r="H3" s="21">
        <v>295000</v>
      </c>
      <c r="I3" s="21">
        <v>128600</v>
      </c>
      <c r="J3" s="22">
        <f>I3/H3*100</f>
        <v>43.593220338983052</v>
      </c>
      <c r="K3" s="21">
        <v>385246</v>
      </c>
      <c r="L3" s="21">
        <f>H3-368416</f>
        <v>-73416</v>
      </c>
      <c r="M3" s="21">
        <v>16830</v>
      </c>
      <c r="N3" s="67">
        <f>M3/E3</f>
        <v>5.7050847457627119E-2</v>
      </c>
      <c r="O3" s="23">
        <v>66</v>
      </c>
      <c r="P3" s="24">
        <v>300</v>
      </c>
      <c r="Q3" s="25">
        <v>0.45500000000000002</v>
      </c>
      <c r="R3" s="25">
        <v>0.45500000000000002</v>
      </c>
      <c r="S3" s="21">
        <f>L3/O3</f>
        <v>-1112.3636363636363</v>
      </c>
      <c r="T3" s="21">
        <f>L3/Q3</f>
        <v>-161353.84615384616</v>
      </c>
      <c r="U3" s="26">
        <f>L3/Q3/43560</f>
        <v>-3.7041746132655224</v>
      </c>
      <c r="V3" s="25">
        <v>66</v>
      </c>
      <c r="W3" s="25">
        <f>0.2*E3</f>
        <v>59000</v>
      </c>
      <c r="X3" s="25">
        <f>W3/V3</f>
        <v>893.93939393939399</v>
      </c>
      <c r="Y3" s="27" t="s">
        <v>1562</v>
      </c>
      <c r="Z3" s="19" t="s">
        <v>35</v>
      </c>
      <c r="AA3" s="19" t="s">
        <v>35</v>
      </c>
      <c r="AB3" s="19" t="s">
        <v>2192</v>
      </c>
      <c r="AC3" s="19">
        <v>0</v>
      </c>
      <c r="AD3" s="19">
        <v>1</v>
      </c>
      <c r="AE3" s="19" t="s">
        <v>42</v>
      </c>
      <c r="AF3" s="19" t="s">
        <v>35</v>
      </c>
      <c r="AG3" s="19" t="s">
        <v>38</v>
      </c>
      <c r="AH3" s="19" t="s">
        <v>92</v>
      </c>
    </row>
    <row r="4" spans="1:34" ht="15" thickBot="1" x14ac:dyDescent="0.35">
      <c r="A4" s="74" t="s">
        <v>2192</v>
      </c>
      <c r="B4" s="10" t="s">
        <v>2193</v>
      </c>
      <c r="C4" s="10" t="s">
        <v>2194</v>
      </c>
      <c r="D4" s="11">
        <v>45595</v>
      </c>
      <c r="E4" s="12">
        <v>236610</v>
      </c>
      <c r="F4" s="10" t="s">
        <v>32</v>
      </c>
      <c r="G4" s="10" t="s">
        <v>33</v>
      </c>
      <c r="H4" s="12">
        <v>236610</v>
      </c>
      <c r="I4" s="12">
        <v>111300</v>
      </c>
      <c r="J4" s="13">
        <f>I4/H4*100</f>
        <v>47.039431976670471</v>
      </c>
      <c r="K4" s="12">
        <v>245421</v>
      </c>
      <c r="L4" s="12">
        <f>H4-221451</f>
        <v>15159</v>
      </c>
      <c r="M4" s="12">
        <v>23970</v>
      </c>
      <c r="N4" s="66">
        <f>M4/E4</f>
        <v>0.10130594649423101</v>
      </c>
      <c r="O4" s="14">
        <v>94</v>
      </c>
      <c r="P4" s="15">
        <v>190</v>
      </c>
      <c r="Q4" s="16">
        <v>0.52900000000000003</v>
      </c>
      <c r="R4" s="16">
        <v>0.41</v>
      </c>
      <c r="S4" s="12">
        <f>L4/O4</f>
        <v>161.2659574468085</v>
      </c>
      <c r="T4" s="12">
        <f>L4/Q4</f>
        <v>28655.954631379962</v>
      </c>
      <c r="U4" s="17">
        <f>L4/Q4/43560</f>
        <v>0.65785019814921863</v>
      </c>
      <c r="V4" s="16">
        <v>94</v>
      </c>
      <c r="W4" s="16">
        <f>0.2*E4</f>
        <v>47322</v>
      </c>
      <c r="X4" s="16">
        <f>W4/V4</f>
        <v>503.42553191489361</v>
      </c>
      <c r="Y4" s="18" t="s">
        <v>1562</v>
      </c>
      <c r="Z4" s="10" t="s">
        <v>35</v>
      </c>
      <c r="AA4" s="10" t="s">
        <v>35</v>
      </c>
      <c r="AB4" s="10" t="s">
        <v>2192</v>
      </c>
      <c r="AC4" s="10">
        <v>0</v>
      </c>
      <c r="AD4" s="10">
        <v>1</v>
      </c>
      <c r="AE4" s="10" t="s">
        <v>205</v>
      </c>
      <c r="AF4" s="10" t="s">
        <v>35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656610</v>
      </c>
      <c r="F5" s="37"/>
      <c r="G5" s="37"/>
      <c r="H5" s="39">
        <f>+SUM(H2:H4)</f>
        <v>656610</v>
      </c>
      <c r="I5" s="39">
        <f>+SUM(I2:I4)</f>
        <v>362600</v>
      </c>
      <c r="J5" s="40"/>
      <c r="K5" s="39">
        <f>+SUM(K2:K4)</f>
        <v>902622</v>
      </c>
      <c r="L5" s="39">
        <f>+SUM(L2:L4)</f>
        <v>-188382</v>
      </c>
      <c r="M5" s="39">
        <f>+SUM(M2:M4)</f>
        <v>57630</v>
      </c>
      <c r="N5" s="81">
        <f>AVERAGE(N2:N4)</f>
        <v>9.7665597983952704E-2</v>
      </c>
      <c r="O5" s="41">
        <f>+SUM(O2:O4)</f>
        <v>226</v>
      </c>
      <c r="P5" s="42"/>
      <c r="Q5" s="43">
        <f>+SUM(Q2:Q4)</f>
        <v>1.4420000000000002</v>
      </c>
      <c r="R5" s="43">
        <f>+SUM(R2:R4)</f>
        <v>1.323</v>
      </c>
      <c r="S5" s="39"/>
      <c r="T5" s="39"/>
      <c r="U5" s="44"/>
      <c r="V5" s="43"/>
      <c r="W5" s="82">
        <f>AVERAGE(W2:W4)</f>
        <v>43774</v>
      </c>
      <c r="X5" s="83">
        <f>AVERAGE(X2:X4)</f>
        <v>592.05093488072214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55.223039551636433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30.557929391713156</v>
      </c>
      <c r="K7" s="48"/>
      <c r="L7" s="48"/>
      <c r="M7" s="48" t="s">
        <v>2880</v>
      </c>
      <c r="N7" s="80"/>
      <c r="O7" s="54">
        <f>L5/O5</f>
        <v>-833.54867256637169</v>
      </c>
      <c r="P7" s="50"/>
      <c r="Q7" s="51" t="s">
        <v>2881</v>
      </c>
      <c r="R7" s="51">
        <f>L5/Q5</f>
        <v>-130639.3897364771</v>
      </c>
      <c r="S7" s="48"/>
      <c r="T7" s="48" t="s">
        <v>2882</v>
      </c>
      <c r="U7" s="52">
        <f>L5/Q5/43560</f>
        <v>-2.9990677166317057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8">
    <tabColor rgb="FF00B050"/>
  </sheetPr>
  <dimension ref="A1:AH17"/>
  <sheetViews>
    <sheetView workbookViewId="0">
      <selection activeCell="E8" sqref="E8:L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.332031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590</v>
      </c>
      <c r="B2" s="19" t="s">
        <v>592</v>
      </c>
      <c r="C2" s="19" t="s">
        <v>593</v>
      </c>
      <c r="D2" s="20">
        <v>45596</v>
      </c>
      <c r="E2" s="21">
        <v>175000</v>
      </c>
      <c r="F2" s="19" t="s">
        <v>32</v>
      </c>
      <c r="G2" s="19" t="s">
        <v>33</v>
      </c>
      <c r="H2" s="21">
        <v>175000</v>
      </c>
      <c r="I2" s="21">
        <v>84200</v>
      </c>
      <c r="J2" s="22">
        <f>I2/H2*100</f>
        <v>48.114285714285714</v>
      </c>
      <c r="K2" s="21">
        <v>195669</v>
      </c>
      <c r="L2" s="21">
        <f>H2-184469</f>
        <v>-9469</v>
      </c>
      <c r="M2" s="21">
        <v>11200</v>
      </c>
      <c r="N2" s="67">
        <f>M2/E2</f>
        <v>6.4000000000000001E-2</v>
      </c>
      <c r="O2" s="23">
        <v>70</v>
      </c>
      <c r="P2" s="24">
        <v>110</v>
      </c>
      <c r="Q2" s="25">
        <v>0.17699999999999999</v>
      </c>
      <c r="R2" s="25">
        <v>0.17699999999999999</v>
      </c>
      <c r="S2" s="21">
        <f>L2/O2</f>
        <v>-135.27142857142857</v>
      </c>
      <c r="T2" s="21">
        <f>L2/Q2</f>
        <v>-53497.175141242944</v>
      </c>
      <c r="U2" s="26">
        <f>L2/Q2/43560</f>
        <v>-1.2281261510845487</v>
      </c>
      <c r="V2" s="25">
        <v>70</v>
      </c>
      <c r="W2" s="25">
        <f>0.2*E2</f>
        <v>35000</v>
      </c>
      <c r="X2" s="25">
        <f>W2/V2</f>
        <v>500</v>
      </c>
      <c r="Y2" s="27" t="s">
        <v>503</v>
      </c>
      <c r="Z2" s="19" t="s">
        <v>35</v>
      </c>
      <c r="AA2" s="19" t="s">
        <v>35</v>
      </c>
      <c r="AB2" s="19" t="s">
        <v>590</v>
      </c>
      <c r="AC2" s="19">
        <v>0</v>
      </c>
      <c r="AD2" s="19">
        <v>1</v>
      </c>
      <c r="AE2" s="19" t="s">
        <v>42</v>
      </c>
      <c r="AF2" s="19" t="s">
        <v>35</v>
      </c>
      <c r="AG2" s="19" t="s">
        <v>38</v>
      </c>
      <c r="AH2" s="19" t="s">
        <v>591</v>
      </c>
    </row>
    <row r="3" spans="1:34" x14ac:dyDescent="0.3">
      <c r="A3" s="74" t="s">
        <v>590</v>
      </c>
      <c r="B3" s="10" t="s">
        <v>594</v>
      </c>
      <c r="C3" s="10" t="s">
        <v>595</v>
      </c>
      <c r="D3" s="11">
        <v>45511</v>
      </c>
      <c r="E3" s="12">
        <v>135000</v>
      </c>
      <c r="F3" s="10" t="s">
        <v>32</v>
      </c>
      <c r="G3" s="10" t="s">
        <v>33</v>
      </c>
      <c r="H3" s="12">
        <v>135000</v>
      </c>
      <c r="I3" s="12">
        <v>65500</v>
      </c>
      <c r="J3" s="13">
        <f>I3/H3*100</f>
        <v>48.518518518518519</v>
      </c>
      <c r="K3" s="12">
        <v>150327</v>
      </c>
      <c r="L3" s="12">
        <f>H3-139806</f>
        <v>-4806</v>
      </c>
      <c r="M3" s="12">
        <v>10521</v>
      </c>
      <c r="N3" s="66">
        <f>M3/E3</f>
        <v>7.7933333333333327E-2</v>
      </c>
      <c r="O3" s="14">
        <v>65.75</v>
      </c>
      <c r="P3" s="15">
        <v>110</v>
      </c>
      <c r="Q3" s="16">
        <v>0.16600000000000001</v>
      </c>
      <c r="R3" s="16">
        <v>0.16600000000000001</v>
      </c>
      <c r="S3" s="12">
        <f>L3/O3</f>
        <v>-73.095057034220531</v>
      </c>
      <c r="T3" s="12">
        <f>L3/Q3</f>
        <v>-28951.807228915663</v>
      </c>
      <c r="U3" s="17">
        <f>L3/Q3/43560</f>
        <v>-0.66464203923130538</v>
      </c>
      <c r="V3" s="16">
        <v>65.78</v>
      </c>
      <c r="W3" s="16">
        <f>0.2*E3</f>
        <v>27000</v>
      </c>
      <c r="X3" s="16">
        <f>W3/V3</f>
        <v>410.45910611127999</v>
      </c>
      <c r="Y3" s="18" t="s">
        <v>503</v>
      </c>
      <c r="Z3" s="10" t="s">
        <v>35</v>
      </c>
      <c r="AA3" s="10" t="s">
        <v>35</v>
      </c>
      <c r="AB3" s="10" t="s">
        <v>590</v>
      </c>
      <c r="AC3" s="10">
        <v>0</v>
      </c>
      <c r="AD3" s="10">
        <v>1</v>
      </c>
      <c r="AE3" s="10" t="s">
        <v>37</v>
      </c>
      <c r="AF3" s="10" t="s">
        <v>314</v>
      </c>
      <c r="AG3" s="10" t="s">
        <v>38</v>
      </c>
      <c r="AH3" s="10" t="s">
        <v>591</v>
      </c>
    </row>
    <row r="4" spans="1:34" ht="15" thickBot="1" x14ac:dyDescent="0.35">
      <c r="A4" s="75" t="s">
        <v>590</v>
      </c>
      <c r="B4" s="19" t="s">
        <v>588</v>
      </c>
      <c r="C4" s="19" t="s">
        <v>589</v>
      </c>
      <c r="D4" s="20">
        <v>45463</v>
      </c>
      <c r="E4" s="21">
        <v>240000</v>
      </c>
      <c r="F4" s="19" t="s">
        <v>32</v>
      </c>
      <c r="G4" s="19" t="s">
        <v>33</v>
      </c>
      <c r="H4" s="21">
        <v>240000</v>
      </c>
      <c r="I4" s="21">
        <v>97000</v>
      </c>
      <c r="J4" s="22">
        <f>I4/H4*100</f>
        <v>40.416666666666664</v>
      </c>
      <c r="K4" s="21">
        <v>226964</v>
      </c>
      <c r="L4" s="21">
        <f>H4-183751</f>
        <v>56249</v>
      </c>
      <c r="M4" s="21">
        <v>43213</v>
      </c>
      <c r="N4" s="67">
        <f>M4/E4</f>
        <v>0.18005416666666665</v>
      </c>
      <c r="O4" s="23">
        <v>270.08</v>
      </c>
      <c r="P4" s="24">
        <v>100</v>
      </c>
      <c r="Q4" s="25">
        <v>0.62</v>
      </c>
      <c r="R4" s="25">
        <v>0.62</v>
      </c>
      <c r="S4" s="21">
        <f>L4/O4</f>
        <v>208.26792061611377</v>
      </c>
      <c r="T4" s="21">
        <f>L4/Q4</f>
        <v>90724.193548387091</v>
      </c>
      <c r="U4" s="26">
        <f>L4/Q4/43560</f>
        <v>2.0827408987233031</v>
      </c>
      <c r="V4" s="25">
        <v>270.08</v>
      </c>
      <c r="W4" s="25">
        <f>0.2*E4</f>
        <v>48000</v>
      </c>
      <c r="X4" s="25">
        <f>W4/V4</f>
        <v>177.72511848341233</v>
      </c>
      <c r="Y4" s="27" t="s">
        <v>503</v>
      </c>
      <c r="Z4" s="19" t="s">
        <v>35</v>
      </c>
      <c r="AA4" s="19" t="s">
        <v>35</v>
      </c>
      <c r="AB4" s="19" t="s">
        <v>590</v>
      </c>
      <c r="AC4" s="19">
        <v>0</v>
      </c>
      <c r="AD4" s="19">
        <v>1</v>
      </c>
      <c r="AE4" s="19" t="s">
        <v>412</v>
      </c>
      <c r="AF4" s="19" t="s">
        <v>43</v>
      </c>
      <c r="AG4" s="19" t="s">
        <v>38</v>
      </c>
      <c r="AH4" s="19" t="s">
        <v>591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550000</v>
      </c>
      <c r="F5" s="37"/>
      <c r="G5" s="37"/>
      <c r="H5" s="39">
        <f>+SUM(H2:H4)</f>
        <v>550000</v>
      </c>
      <c r="I5" s="39">
        <f>+SUM(I2:I4)</f>
        <v>246700</v>
      </c>
      <c r="J5" s="40"/>
      <c r="K5" s="39">
        <f>+SUM(K2:K4)</f>
        <v>572960</v>
      </c>
      <c r="L5" s="39">
        <f>+SUM(L2:L4)</f>
        <v>41974</v>
      </c>
      <c r="M5" s="39">
        <f>+SUM(M2:M4)</f>
        <v>64934</v>
      </c>
      <c r="N5" s="81">
        <f>AVERAGE(N2:N4)</f>
        <v>0.10732916666666666</v>
      </c>
      <c r="O5" s="41">
        <f>+SUM(O2:O4)</f>
        <v>405.83</v>
      </c>
      <c r="P5" s="42"/>
      <c r="Q5" s="43">
        <f>+SUM(Q2:Q4)</f>
        <v>0.96299999999999997</v>
      </c>
      <c r="R5" s="43">
        <f>+SUM(R2:R4)</f>
        <v>0.96299999999999997</v>
      </c>
      <c r="S5" s="39"/>
      <c r="T5" s="39"/>
      <c r="U5" s="44"/>
      <c r="V5" s="43"/>
      <c r="W5" s="82">
        <f>AVERAGE(W2:W4)</f>
        <v>36666.666666666664</v>
      </c>
      <c r="X5" s="83">
        <f>AVERAGE(X2:X4)</f>
        <v>362.72807486489745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44.854545454545452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4.5653905745956509</v>
      </c>
      <c r="K7" s="48"/>
      <c r="L7" s="48"/>
      <c r="M7" s="48" t="s">
        <v>2880</v>
      </c>
      <c r="N7" s="80"/>
      <c r="O7" s="54">
        <f>L5/O5</f>
        <v>103.42754355271913</v>
      </c>
      <c r="P7" s="50"/>
      <c r="Q7" s="51" t="s">
        <v>2881</v>
      </c>
      <c r="R7" s="51">
        <f>L5/Q5</f>
        <v>43586.708203530638</v>
      </c>
      <c r="S7" s="48"/>
      <c r="T7" s="48" t="s">
        <v>2882</v>
      </c>
      <c r="U7" s="52">
        <f>L5/Q5/43560</f>
        <v>1.0006131359855519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4" t="s">
        <v>590</v>
      </c>
      <c r="B17" s="10" t="s">
        <v>596</v>
      </c>
      <c r="C17" s="10" t="s">
        <v>597</v>
      </c>
      <c r="D17" s="11">
        <v>45649</v>
      </c>
      <c r="E17" s="12">
        <v>145000</v>
      </c>
      <c r="F17" s="10" t="s">
        <v>32</v>
      </c>
      <c r="G17" s="10" t="s">
        <v>33</v>
      </c>
      <c r="H17" s="12">
        <v>145000</v>
      </c>
      <c r="I17" s="12">
        <v>44200</v>
      </c>
      <c r="J17" s="13">
        <f>I17/H17*100</f>
        <v>30.482758620689655</v>
      </c>
      <c r="K17" s="12">
        <v>105925</v>
      </c>
      <c r="L17" s="12">
        <f>H17-99205</f>
        <v>45795</v>
      </c>
      <c r="M17" s="12">
        <v>6720</v>
      </c>
      <c r="N17" s="66">
        <f>M17/E17</f>
        <v>4.6344827586206894E-2</v>
      </c>
      <c r="O17" s="14">
        <v>42</v>
      </c>
      <c r="P17" s="15">
        <v>109.79</v>
      </c>
      <c r="Q17" s="16">
        <v>0.108</v>
      </c>
      <c r="R17" s="16">
        <v>0.108</v>
      </c>
      <c r="S17" s="12">
        <f>L17/O17</f>
        <v>1090.3571428571429</v>
      </c>
      <c r="T17" s="12">
        <f>L17/Q17</f>
        <v>424027.77777777781</v>
      </c>
      <c r="U17" s="17">
        <f>L17/Q17/43560</f>
        <v>9.7343383328231816</v>
      </c>
      <c r="V17" s="16">
        <v>40</v>
      </c>
      <c r="W17" s="16">
        <f>0.2*E17</f>
        <v>29000</v>
      </c>
      <c r="X17" s="16">
        <f>W17/V17</f>
        <v>725</v>
      </c>
      <c r="Y17" s="18" t="s">
        <v>503</v>
      </c>
      <c r="Z17" s="10" t="s">
        <v>35</v>
      </c>
      <c r="AA17" s="10" t="s">
        <v>35</v>
      </c>
      <c r="AB17" s="10" t="s">
        <v>590</v>
      </c>
      <c r="AC17" s="10">
        <v>0</v>
      </c>
      <c r="AD17" s="10">
        <v>1</v>
      </c>
      <c r="AE17" s="10" t="s">
        <v>42</v>
      </c>
      <c r="AF17" s="10" t="s">
        <v>35</v>
      </c>
      <c r="AG17" s="10" t="s">
        <v>38</v>
      </c>
      <c r="AH17" s="10" t="s">
        <v>591</v>
      </c>
    </row>
  </sheetData>
  <sortState xmlns:xlrd2="http://schemas.microsoft.com/office/spreadsheetml/2017/richdata2" ref="A2:AH5">
    <sortCondition ref="S2:S5"/>
  </sortState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9">
    <tabColor rgb="FF00B050"/>
  </sheetPr>
  <dimension ref="A1:AH17"/>
  <sheetViews>
    <sheetView workbookViewId="0">
      <selection activeCell="E9" sqref="E9:L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9.44140625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2419</v>
      </c>
      <c r="B2" s="19" t="s">
        <v>2420</v>
      </c>
      <c r="C2" s="19" t="s">
        <v>2421</v>
      </c>
      <c r="D2" s="20">
        <v>45086</v>
      </c>
      <c r="E2" s="21">
        <v>515000</v>
      </c>
      <c r="F2" s="19" t="s">
        <v>32</v>
      </c>
      <c r="G2" s="19" t="s">
        <v>33</v>
      </c>
      <c r="H2" s="21">
        <v>515000</v>
      </c>
      <c r="I2" s="21">
        <v>178700</v>
      </c>
      <c r="J2" s="22">
        <f>I2/H2*100</f>
        <v>34.699029126213595</v>
      </c>
      <c r="K2" s="21">
        <v>480803</v>
      </c>
      <c r="L2" s="21">
        <f>H2-436503</f>
        <v>78497</v>
      </c>
      <c r="M2" s="21">
        <v>44300</v>
      </c>
      <c r="N2" s="67">
        <f>M2/E2</f>
        <v>8.6019417475728152E-2</v>
      </c>
      <c r="O2" s="23">
        <v>100</v>
      </c>
      <c r="P2" s="24">
        <v>199.55</v>
      </c>
      <c r="Q2" s="25">
        <v>0.45800000000000002</v>
      </c>
      <c r="R2" s="25">
        <v>0.45800000000000002</v>
      </c>
      <c r="S2" s="21">
        <f>L2/O2</f>
        <v>784.97</v>
      </c>
      <c r="T2" s="21">
        <f>L2/Q2</f>
        <v>171390.82969432313</v>
      </c>
      <c r="U2" s="26">
        <f>L2/Q2/43560</f>
        <v>3.9345920499155906</v>
      </c>
      <c r="V2" s="25">
        <v>100</v>
      </c>
      <c r="W2" s="25">
        <f>0.2*E2</f>
        <v>103000</v>
      </c>
      <c r="X2" s="25">
        <f>W2/V2</f>
        <v>1030</v>
      </c>
      <c r="Y2" s="27" t="s">
        <v>2418</v>
      </c>
      <c r="Z2" s="19" t="s">
        <v>35</v>
      </c>
      <c r="AA2" s="19" t="s">
        <v>35</v>
      </c>
      <c r="AB2" s="19" t="s">
        <v>2419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2419</v>
      </c>
      <c r="B3" s="19" t="s">
        <v>2416</v>
      </c>
      <c r="C3" s="19" t="s">
        <v>2417</v>
      </c>
      <c r="D3" s="20">
        <v>45568</v>
      </c>
      <c r="E3" s="21">
        <v>75000</v>
      </c>
      <c r="F3" s="19" t="s">
        <v>32</v>
      </c>
      <c r="G3" s="19" t="s">
        <v>33</v>
      </c>
      <c r="H3" s="21">
        <v>75000</v>
      </c>
      <c r="I3" s="21">
        <v>18300</v>
      </c>
      <c r="J3" s="22">
        <f>I3/H3*100</f>
        <v>24.4</v>
      </c>
      <c r="K3" s="21">
        <v>42085</v>
      </c>
      <c r="L3" s="21">
        <f>H3-0</f>
        <v>75000</v>
      </c>
      <c r="M3" s="21">
        <v>42085</v>
      </c>
      <c r="N3" s="67"/>
      <c r="O3" s="23">
        <v>95</v>
      </c>
      <c r="P3" s="24">
        <v>179.82</v>
      </c>
      <c r="Q3" s="25">
        <v>0.39200000000000002</v>
      </c>
      <c r="R3" s="25">
        <v>0.39200000000000002</v>
      </c>
      <c r="S3" s="21">
        <f>L3/O3</f>
        <v>789.47368421052636</v>
      </c>
      <c r="T3" s="21">
        <f>L3/Q3</f>
        <v>191326.53061224488</v>
      </c>
      <c r="U3" s="26">
        <f>L3/Q3/43560</f>
        <v>4.392252768876145</v>
      </c>
      <c r="V3" s="25">
        <v>95</v>
      </c>
      <c r="W3" s="25">
        <f>0.2*E3</f>
        <v>15000</v>
      </c>
      <c r="X3" s="25">
        <f>W3/V3</f>
        <v>157.89473684210526</v>
      </c>
      <c r="Y3" s="27" t="s">
        <v>2418</v>
      </c>
      <c r="Z3" s="19" t="s">
        <v>35</v>
      </c>
      <c r="AA3" s="19" t="s">
        <v>35</v>
      </c>
      <c r="AB3" s="19" t="s">
        <v>2419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61</v>
      </c>
      <c r="AH3" s="19" t="s">
        <v>92</v>
      </c>
    </row>
    <row r="4" spans="1:34" x14ac:dyDescent="0.3">
      <c r="A4" s="74" t="s">
        <v>2419</v>
      </c>
      <c r="B4" s="10" t="s">
        <v>2422</v>
      </c>
      <c r="C4" s="10" t="s">
        <v>2423</v>
      </c>
      <c r="D4" s="11">
        <v>45169</v>
      </c>
      <c r="E4" s="12">
        <v>520000</v>
      </c>
      <c r="F4" s="10" t="s">
        <v>32</v>
      </c>
      <c r="G4" s="10" t="s">
        <v>33</v>
      </c>
      <c r="H4" s="12">
        <v>520000</v>
      </c>
      <c r="I4" s="12">
        <v>177400</v>
      </c>
      <c r="J4" s="13">
        <f>I4/H4*100</f>
        <v>34.115384615384613</v>
      </c>
      <c r="K4" s="12">
        <v>477215</v>
      </c>
      <c r="L4" s="12">
        <f>H4-434687</f>
        <v>85313</v>
      </c>
      <c r="M4" s="12">
        <v>42528</v>
      </c>
      <c r="N4" s="66">
        <f>M4/E4</f>
        <v>8.1784615384615386E-2</v>
      </c>
      <c r="O4" s="14">
        <v>96</v>
      </c>
      <c r="P4" s="15">
        <v>164.5</v>
      </c>
      <c r="Q4" s="16">
        <v>0.36299999999999999</v>
      </c>
      <c r="R4" s="16">
        <v>0.36299999999999999</v>
      </c>
      <c r="S4" s="12">
        <f>L4/O4</f>
        <v>888.67708333333337</v>
      </c>
      <c r="T4" s="12">
        <f>L4/Q4</f>
        <v>235022.03856749312</v>
      </c>
      <c r="U4" s="17">
        <f>L4/Q4/43560</f>
        <v>5.3953636034778034</v>
      </c>
      <c r="V4" s="16">
        <v>96</v>
      </c>
      <c r="W4" s="16">
        <f>0.2*E4</f>
        <v>104000</v>
      </c>
      <c r="X4" s="16">
        <f>W4/V4</f>
        <v>1083.3333333333333</v>
      </c>
      <c r="Y4" s="18" t="s">
        <v>2418</v>
      </c>
      <c r="Z4" s="10" t="s">
        <v>35</v>
      </c>
      <c r="AA4" s="10" t="s">
        <v>35</v>
      </c>
      <c r="AB4" s="10" t="s">
        <v>2419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ht="15" thickBot="1" x14ac:dyDescent="0.35">
      <c r="A5" s="74" t="s">
        <v>2419</v>
      </c>
      <c r="B5" s="10" t="s">
        <v>2424</v>
      </c>
      <c r="C5" s="10" t="s">
        <v>2425</v>
      </c>
      <c r="D5" s="11">
        <v>45413</v>
      </c>
      <c r="E5" s="12">
        <v>505000</v>
      </c>
      <c r="F5" s="10" t="s">
        <v>32</v>
      </c>
      <c r="G5" s="10" t="s">
        <v>33</v>
      </c>
      <c r="H5" s="12">
        <v>505000</v>
      </c>
      <c r="I5" s="12">
        <v>195600</v>
      </c>
      <c r="J5" s="13">
        <f>I5/H5*100</f>
        <v>38.732673267326732</v>
      </c>
      <c r="K5" s="12">
        <v>457532</v>
      </c>
      <c r="L5" s="12">
        <f>H5-415004</f>
        <v>89996</v>
      </c>
      <c r="M5" s="12">
        <v>42528</v>
      </c>
      <c r="N5" s="66">
        <f>M5/E5</f>
        <v>8.4213861386138608E-2</v>
      </c>
      <c r="O5" s="14">
        <v>96</v>
      </c>
      <c r="P5" s="15">
        <v>171</v>
      </c>
      <c r="Q5" s="16">
        <v>0.377</v>
      </c>
      <c r="R5" s="16">
        <v>0.377</v>
      </c>
      <c r="S5" s="12">
        <f>L5/O5</f>
        <v>937.45833333333337</v>
      </c>
      <c r="T5" s="12">
        <f>L5/Q5</f>
        <v>238716.18037135279</v>
      </c>
      <c r="U5" s="17">
        <f>L5/Q5/43560</f>
        <v>5.4801694300126904</v>
      </c>
      <c r="V5" s="16">
        <v>96</v>
      </c>
      <c r="W5" s="16">
        <f>0.2*E5</f>
        <v>101000</v>
      </c>
      <c r="X5" s="16">
        <f>W5/V5</f>
        <v>1052.0833333333333</v>
      </c>
      <c r="Y5" s="18" t="s">
        <v>2418</v>
      </c>
      <c r="Z5" s="10" t="s">
        <v>35</v>
      </c>
      <c r="AA5" s="10" t="s">
        <v>35</v>
      </c>
      <c r="AB5" s="10" t="s">
        <v>2419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1615000</v>
      </c>
      <c r="F6" s="37"/>
      <c r="G6" s="37"/>
      <c r="H6" s="39">
        <f>+SUM(H2:H5)</f>
        <v>1615000</v>
      </c>
      <c r="I6" s="39">
        <f>+SUM(I2:I5)</f>
        <v>570000</v>
      </c>
      <c r="J6" s="40"/>
      <c r="K6" s="39">
        <f>+SUM(K2:K5)</f>
        <v>1457635</v>
      </c>
      <c r="L6" s="39">
        <f>+SUM(L2:L5)</f>
        <v>328806</v>
      </c>
      <c r="M6" s="39">
        <f>+SUM(M2:M5)</f>
        <v>171441</v>
      </c>
      <c r="N6" s="81">
        <f>AVERAGE(N2:N5)</f>
        <v>8.4005964748827378E-2</v>
      </c>
      <c r="O6" s="41">
        <f>+SUM(O2:O5)</f>
        <v>387</v>
      </c>
      <c r="P6" s="42"/>
      <c r="Q6" s="43">
        <f>+SUM(Q2:Q5)</f>
        <v>1.59</v>
      </c>
      <c r="R6" s="43">
        <f>+SUM(R2:R5)</f>
        <v>1.59</v>
      </c>
      <c r="S6" s="39"/>
      <c r="T6" s="39"/>
      <c r="U6" s="44"/>
      <c r="V6" s="43"/>
      <c r="W6" s="82">
        <f>AVERAGE(W2:W5)</f>
        <v>80750</v>
      </c>
      <c r="X6" s="83">
        <f>AVERAGE(X2:X5)</f>
        <v>830.82785087719299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35.294117647058826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6.0814917483493813</v>
      </c>
      <c r="K8" s="48"/>
      <c r="L8" s="48"/>
      <c r="M8" s="48" t="s">
        <v>2880</v>
      </c>
      <c r="N8" s="80"/>
      <c r="O8" s="54">
        <f>L6/O6</f>
        <v>849.62790697674416</v>
      </c>
      <c r="P8" s="50"/>
      <c r="Q8" s="51" t="s">
        <v>2881</v>
      </c>
      <c r="R8" s="51">
        <f>L6/Q6</f>
        <v>206796.22641509434</v>
      </c>
      <c r="S8" s="48"/>
      <c r="T8" s="48" t="s">
        <v>2882</v>
      </c>
      <c r="U8" s="52">
        <f>L6/Q6/43560</f>
        <v>4.7473881178855448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12" x14ac:dyDescent="0.3">
      <c r="A17" s="55" t="s">
        <v>3092</v>
      </c>
      <c r="E17" s="96"/>
      <c r="F17" s="96"/>
      <c r="G17" s="96"/>
      <c r="H17" s="96"/>
      <c r="I17" s="96"/>
      <c r="L17" s="95"/>
    </row>
  </sheetData>
  <sortState xmlns:xlrd2="http://schemas.microsoft.com/office/spreadsheetml/2017/richdata2" ref="A2:AH5">
    <sortCondition ref="S2:S5"/>
  </sortState>
  <pageMargins left="0.7" right="0.7" top="0.75" bottom="0.75" header="0.3" footer="0.3"/>
  <pageSetup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0">
    <tabColor rgb="FF00B050"/>
  </sheetPr>
  <dimension ref="A1:AH22"/>
  <sheetViews>
    <sheetView workbookViewId="0">
      <selection activeCell="E14" sqref="E14:L20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1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7.664062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2341</v>
      </c>
      <c r="B2" s="19" t="s">
        <v>2338</v>
      </c>
      <c r="C2" s="19" t="s">
        <v>2339</v>
      </c>
      <c r="D2" s="20">
        <v>45065</v>
      </c>
      <c r="E2" s="21">
        <v>207000</v>
      </c>
      <c r="F2" s="19" t="s">
        <v>32</v>
      </c>
      <c r="G2" s="19" t="s">
        <v>33</v>
      </c>
      <c r="H2" s="21">
        <v>207000</v>
      </c>
      <c r="I2" s="21">
        <v>95900</v>
      </c>
      <c r="J2" s="22">
        <f t="shared" ref="J2:J10" si="0">I2/H2*100</f>
        <v>46.328502415458942</v>
      </c>
      <c r="K2" s="21">
        <v>227014</v>
      </c>
      <c r="L2" s="21">
        <f>H2-207014</f>
        <v>-14</v>
      </c>
      <c r="M2" s="21">
        <v>20000</v>
      </c>
      <c r="N2" s="67">
        <f t="shared" ref="N2:N10" si="1">M2/E2</f>
        <v>9.6618357487922704E-2</v>
      </c>
      <c r="O2" s="23">
        <v>0</v>
      </c>
      <c r="P2" s="24">
        <v>0</v>
      </c>
      <c r="Q2" s="25">
        <v>0</v>
      </c>
      <c r="R2" s="25">
        <v>0</v>
      </c>
      <c r="S2" s="21" t="e">
        <f t="shared" ref="S2:S10" si="2">L2/O2</f>
        <v>#DIV/0!</v>
      </c>
      <c r="T2" s="21" t="e">
        <f t="shared" ref="T2:T10" si="3">L2/Q2</f>
        <v>#DIV/0!</v>
      </c>
      <c r="U2" s="26" t="e">
        <f t="shared" ref="U2:U10" si="4">L2/Q2/43560</f>
        <v>#DIV/0!</v>
      </c>
      <c r="V2" s="25">
        <v>0</v>
      </c>
      <c r="W2" s="25">
        <f t="shared" ref="W2:W10" si="5">0.2*E2</f>
        <v>41400</v>
      </c>
      <c r="X2" s="25"/>
      <c r="Y2" s="27" t="s">
        <v>2340</v>
      </c>
      <c r="Z2" s="19" t="s">
        <v>35</v>
      </c>
      <c r="AA2" s="19" t="s">
        <v>35</v>
      </c>
      <c r="AB2" s="19" t="s">
        <v>2341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2319</v>
      </c>
    </row>
    <row r="3" spans="1:34" x14ac:dyDescent="0.3">
      <c r="A3" s="74" t="s">
        <v>2341</v>
      </c>
      <c r="B3" s="10" t="s">
        <v>2344</v>
      </c>
      <c r="C3" s="10" t="s">
        <v>2345</v>
      </c>
      <c r="D3" s="11">
        <v>45226</v>
      </c>
      <c r="E3" s="12">
        <v>228000</v>
      </c>
      <c r="F3" s="10" t="s">
        <v>32</v>
      </c>
      <c r="G3" s="10" t="s">
        <v>33</v>
      </c>
      <c r="H3" s="12">
        <v>228000</v>
      </c>
      <c r="I3" s="12">
        <v>94600</v>
      </c>
      <c r="J3" s="13">
        <f t="shared" si="0"/>
        <v>41.491228070175438</v>
      </c>
      <c r="K3" s="12">
        <v>224193</v>
      </c>
      <c r="L3" s="12">
        <f>H3-204193</f>
        <v>23807</v>
      </c>
      <c r="M3" s="12">
        <v>20000</v>
      </c>
      <c r="N3" s="66">
        <f t="shared" si="1"/>
        <v>8.771929824561403E-2</v>
      </c>
      <c r="O3" s="14">
        <v>0</v>
      </c>
      <c r="P3" s="15">
        <v>0</v>
      </c>
      <c r="Q3" s="16">
        <v>0</v>
      </c>
      <c r="R3" s="16">
        <v>0</v>
      </c>
      <c r="S3" s="12" t="e">
        <f t="shared" si="2"/>
        <v>#DIV/0!</v>
      </c>
      <c r="T3" s="12" t="e">
        <f t="shared" si="3"/>
        <v>#DIV/0!</v>
      </c>
      <c r="U3" s="17" t="e">
        <f t="shared" si="4"/>
        <v>#DIV/0!</v>
      </c>
      <c r="V3" s="16">
        <v>0</v>
      </c>
      <c r="W3" s="16">
        <f t="shared" si="5"/>
        <v>45600</v>
      </c>
      <c r="X3" s="16"/>
      <c r="Y3" s="18" t="s">
        <v>2340</v>
      </c>
      <c r="Z3" s="10" t="s">
        <v>35</v>
      </c>
      <c r="AA3" s="10" t="s">
        <v>35</v>
      </c>
      <c r="AB3" s="10" t="s">
        <v>2341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2319</v>
      </c>
    </row>
    <row r="4" spans="1:34" x14ac:dyDescent="0.3">
      <c r="A4" s="75" t="s">
        <v>2341</v>
      </c>
      <c r="B4" s="19" t="s">
        <v>2348</v>
      </c>
      <c r="C4" s="19" t="s">
        <v>2349</v>
      </c>
      <c r="D4" s="20">
        <v>45097</v>
      </c>
      <c r="E4" s="21">
        <v>232000</v>
      </c>
      <c r="F4" s="19" t="s">
        <v>32</v>
      </c>
      <c r="G4" s="19" t="s">
        <v>33</v>
      </c>
      <c r="H4" s="21">
        <v>232000</v>
      </c>
      <c r="I4" s="21">
        <v>0</v>
      </c>
      <c r="J4" s="22">
        <f t="shared" si="0"/>
        <v>0</v>
      </c>
      <c r="K4" s="21">
        <v>223623</v>
      </c>
      <c r="L4" s="21">
        <f>H4-203623</f>
        <v>28377</v>
      </c>
      <c r="M4" s="21">
        <v>20000</v>
      </c>
      <c r="N4" s="67">
        <f t="shared" si="1"/>
        <v>8.6206896551724144E-2</v>
      </c>
      <c r="O4" s="23">
        <v>0</v>
      </c>
      <c r="P4" s="24">
        <v>0</v>
      </c>
      <c r="Q4" s="25">
        <v>0</v>
      </c>
      <c r="R4" s="25">
        <v>0</v>
      </c>
      <c r="S4" s="21" t="e">
        <f t="shared" si="2"/>
        <v>#DIV/0!</v>
      </c>
      <c r="T4" s="21" t="e">
        <f t="shared" si="3"/>
        <v>#DIV/0!</v>
      </c>
      <c r="U4" s="26" t="e">
        <f t="shared" si="4"/>
        <v>#DIV/0!</v>
      </c>
      <c r="V4" s="25">
        <v>0</v>
      </c>
      <c r="W4" s="25">
        <f t="shared" si="5"/>
        <v>46400</v>
      </c>
      <c r="X4" s="25"/>
      <c r="Y4" s="27" t="s">
        <v>2340</v>
      </c>
      <c r="Z4" s="19" t="s">
        <v>35</v>
      </c>
      <c r="AA4" s="19" t="s">
        <v>35</v>
      </c>
      <c r="AB4" s="19" t="s">
        <v>2341</v>
      </c>
      <c r="AC4" s="19">
        <v>0</v>
      </c>
      <c r="AD4" s="19">
        <v>1</v>
      </c>
      <c r="AE4" s="19" t="s">
        <v>37</v>
      </c>
      <c r="AF4" s="19" t="s">
        <v>1280</v>
      </c>
      <c r="AG4" s="19" t="s">
        <v>38</v>
      </c>
      <c r="AH4" s="19" t="s">
        <v>2319</v>
      </c>
    </row>
    <row r="5" spans="1:34" x14ac:dyDescent="0.3">
      <c r="A5" s="74" t="s">
        <v>2341</v>
      </c>
      <c r="B5" s="10" t="s">
        <v>2350</v>
      </c>
      <c r="C5" s="10" t="s">
        <v>2351</v>
      </c>
      <c r="D5" s="11">
        <v>45112</v>
      </c>
      <c r="E5" s="12">
        <v>235000</v>
      </c>
      <c r="F5" s="10" t="s">
        <v>32</v>
      </c>
      <c r="G5" s="10" t="s">
        <v>33</v>
      </c>
      <c r="H5" s="12">
        <v>235000</v>
      </c>
      <c r="I5" s="12">
        <v>99800</v>
      </c>
      <c r="J5" s="13">
        <f t="shared" si="0"/>
        <v>42.468085106382979</v>
      </c>
      <c r="K5" s="12">
        <v>236751</v>
      </c>
      <c r="L5" s="12">
        <f>H5-216751</f>
        <v>18249</v>
      </c>
      <c r="M5" s="12">
        <v>20000</v>
      </c>
      <c r="N5" s="66">
        <f t="shared" si="1"/>
        <v>8.5106382978723402E-2</v>
      </c>
      <c r="O5" s="14">
        <v>0</v>
      </c>
      <c r="P5" s="15">
        <v>0</v>
      </c>
      <c r="Q5" s="16">
        <v>0</v>
      </c>
      <c r="R5" s="16">
        <v>0</v>
      </c>
      <c r="S5" s="12" t="e">
        <f t="shared" si="2"/>
        <v>#DIV/0!</v>
      </c>
      <c r="T5" s="12" t="e">
        <f t="shared" si="3"/>
        <v>#DIV/0!</v>
      </c>
      <c r="U5" s="17" t="e">
        <f t="shared" si="4"/>
        <v>#DIV/0!</v>
      </c>
      <c r="V5" s="16">
        <v>0</v>
      </c>
      <c r="W5" s="16">
        <f t="shared" si="5"/>
        <v>47000</v>
      </c>
      <c r="X5" s="16"/>
      <c r="Y5" s="18" t="s">
        <v>2340</v>
      </c>
      <c r="Z5" s="10" t="s">
        <v>35</v>
      </c>
      <c r="AA5" s="10" t="s">
        <v>35</v>
      </c>
      <c r="AB5" s="10" t="s">
        <v>2341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2319</v>
      </c>
    </row>
    <row r="6" spans="1:34" x14ac:dyDescent="0.3">
      <c r="A6" s="74" t="s">
        <v>2341</v>
      </c>
      <c r="B6" s="10" t="s">
        <v>2352</v>
      </c>
      <c r="C6" s="10" t="s">
        <v>2353</v>
      </c>
      <c r="D6" s="11">
        <v>45534</v>
      </c>
      <c r="E6" s="12">
        <v>235000</v>
      </c>
      <c r="F6" s="10" t="s">
        <v>32</v>
      </c>
      <c r="G6" s="10" t="s">
        <v>33</v>
      </c>
      <c r="H6" s="12">
        <v>235000</v>
      </c>
      <c r="I6" s="12">
        <v>102500</v>
      </c>
      <c r="J6" s="13">
        <f t="shared" si="0"/>
        <v>43.61702127659575</v>
      </c>
      <c r="K6" s="12">
        <v>226828</v>
      </c>
      <c r="L6" s="12">
        <f>H6-206828</f>
        <v>28172</v>
      </c>
      <c r="M6" s="12">
        <v>20000</v>
      </c>
      <c r="N6" s="66">
        <f t="shared" si="1"/>
        <v>8.5106382978723402E-2</v>
      </c>
      <c r="O6" s="14">
        <v>0</v>
      </c>
      <c r="P6" s="15">
        <v>0</v>
      </c>
      <c r="Q6" s="16">
        <v>0</v>
      </c>
      <c r="R6" s="16">
        <v>0</v>
      </c>
      <c r="S6" s="12" t="e">
        <f t="shared" si="2"/>
        <v>#DIV/0!</v>
      </c>
      <c r="T6" s="12" t="e">
        <f t="shared" si="3"/>
        <v>#DIV/0!</v>
      </c>
      <c r="U6" s="17" t="e">
        <f t="shared" si="4"/>
        <v>#DIV/0!</v>
      </c>
      <c r="V6" s="16">
        <v>0</v>
      </c>
      <c r="W6" s="16">
        <f t="shared" si="5"/>
        <v>47000</v>
      </c>
      <c r="X6" s="16"/>
      <c r="Y6" s="18" t="s">
        <v>2340</v>
      </c>
      <c r="Z6" s="10" t="s">
        <v>35</v>
      </c>
      <c r="AA6" s="10" t="s">
        <v>35</v>
      </c>
      <c r="AB6" s="10" t="s">
        <v>2341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2319</v>
      </c>
    </row>
    <row r="7" spans="1:34" x14ac:dyDescent="0.3">
      <c r="A7" s="75" t="s">
        <v>2341</v>
      </c>
      <c r="B7" s="19" t="s">
        <v>2354</v>
      </c>
      <c r="C7" s="19" t="s">
        <v>2355</v>
      </c>
      <c r="D7" s="20">
        <v>45712</v>
      </c>
      <c r="E7" s="21">
        <v>239900</v>
      </c>
      <c r="F7" s="19" t="s">
        <v>32</v>
      </c>
      <c r="G7" s="19" t="s">
        <v>33</v>
      </c>
      <c r="H7" s="21">
        <v>239900</v>
      </c>
      <c r="I7" s="21">
        <v>101900</v>
      </c>
      <c r="J7" s="22">
        <f t="shared" si="0"/>
        <v>42.476031679866608</v>
      </c>
      <c r="K7" s="21">
        <v>225378</v>
      </c>
      <c r="L7" s="21">
        <f>H7-205378</f>
        <v>34522</v>
      </c>
      <c r="M7" s="21">
        <v>20000</v>
      </c>
      <c r="N7" s="67">
        <f t="shared" si="1"/>
        <v>8.3368070029178828E-2</v>
      </c>
      <c r="O7" s="23">
        <v>0</v>
      </c>
      <c r="P7" s="24">
        <v>0</v>
      </c>
      <c r="Q7" s="25">
        <v>0</v>
      </c>
      <c r="R7" s="25">
        <v>0</v>
      </c>
      <c r="S7" s="21" t="e">
        <f t="shared" si="2"/>
        <v>#DIV/0!</v>
      </c>
      <c r="T7" s="21" t="e">
        <f t="shared" si="3"/>
        <v>#DIV/0!</v>
      </c>
      <c r="U7" s="26" t="e">
        <f t="shared" si="4"/>
        <v>#DIV/0!</v>
      </c>
      <c r="V7" s="25">
        <v>0</v>
      </c>
      <c r="W7" s="25">
        <f t="shared" si="5"/>
        <v>47980</v>
      </c>
      <c r="X7" s="25"/>
      <c r="Y7" s="27" t="s">
        <v>2340</v>
      </c>
      <c r="Z7" s="19" t="s">
        <v>35</v>
      </c>
      <c r="AA7" s="19" t="s">
        <v>35</v>
      </c>
      <c r="AB7" s="19" t="s">
        <v>2341</v>
      </c>
      <c r="AC7" s="19">
        <v>0</v>
      </c>
      <c r="AD7" s="19">
        <v>1</v>
      </c>
      <c r="AE7" s="19" t="s">
        <v>37</v>
      </c>
      <c r="AF7" s="19" t="s">
        <v>35</v>
      </c>
      <c r="AG7" s="19" t="s">
        <v>38</v>
      </c>
      <c r="AH7" s="19" t="s">
        <v>2319</v>
      </c>
    </row>
    <row r="8" spans="1:34" x14ac:dyDescent="0.3">
      <c r="A8" s="75" t="s">
        <v>2341</v>
      </c>
      <c r="B8" s="19" t="s">
        <v>2342</v>
      </c>
      <c r="C8" s="19" t="s">
        <v>2343</v>
      </c>
      <c r="D8" s="20">
        <v>45373</v>
      </c>
      <c r="E8" s="21">
        <v>245000</v>
      </c>
      <c r="F8" s="19" t="s">
        <v>32</v>
      </c>
      <c r="G8" s="19" t="s">
        <v>33</v>
      </c>
      <c r="H8" s="21">
        <v>245000</v>
      </c>
      <c r="I8" s="21">
        <v>98700</v>
      </c>
      <c r="J8" s="22">
        <f t="shared" si="0"/>
        <v>40.285714285714285</v>
      </c>
      <c r="K8" s="21">
        <v>233989</v>
      </c>
      <c r="L8" s="21">
        <f>H8-213989</f>
        <v>31011</v>
      </c>
      <c r="M8" s="21">
        <v>20000</v>
      </c>
      <c r="N8" s="67">
        <f t="shared" si="1"/>
        <v>8.1632653061224483E-2</v>
      </c>
      <c r="O8" s="23">
        <v>0</v>
      </c>
      <c r="P8" s="24">
        <v>0</v>
      </c>
      <c r="Q8" s="25">
        <v>0</v>
      </c>
      <c r="R8" s="25">
        <v>0</v>
      </c>
      <c r="S8" s="21" t="e">
        <f t="shared" si="2"/>
        <v>#DIV/0!</v>
      </c>
      <c r="T8" s="21" t="e">
        <f t="shared" si="3"/>
        <v>#DIV/0!</v>
      </c>
      <c r="U8" s="26" t="e">
        <f t="shared" si="4"/>
        <v>#DIV/0!</v>
      </c>
      <c r="V8" s="25">
        <v>0</v>
      </c>
      <c r="W8" s="25">
        <f t="shared" si="5"/>
        <v>49000</v>
      </c>
      <c r="X8" s="25"/>
      <c r="Y8" s="27" t="s">
        <v>2340</v>
      </c>
      <c r="Z8" s="19" t="s">
        <v>35</v>
      </c>
      <c r="AA8" s="19" t="s">
        <v>35</v>
      </c>
      <c r="AB8" s="19" t="s">
        <v>2341</v>
      </c>
      <c r="AC8" s="19">
        <v>0</v>
      </c>
      <c r="AD8" s="19">
        <v>1</v>
      </c>
      <c r="AE8" s="19" t="s">
        <v>37</v>
      </c>
      <c r="AF8" s="19" t="s">
        <v>43</v>
      </c>
      <c r="AG8" s="19" t="s">
        <v>38</v>
      </c>
      <c r="AH8" s="19" t="s">
        <v>2319</v>
      </c>
    </row>
    <row r="9" spans="1:34" x14ac:dyDescent="0.3">
      <c r="A9" s="75" t="s">
        <v>2341</v>
      </c>
      <c r="B9" s="19" t="s">
        <v>2356</v>
      </c>
      <c r="C9" s="19" t="s">
        <v>2357</v>
      </c>
      <c r="D9" s="20">
        <v>45519</v>
      </c>
      <c r="E9" s="21">
        <v>259900</v>
      </c>
      <c r="F9" s="19" t="s">
        <v>32</v>
      </c>
      <c r="G9" s="19" t="s">
        <v>33</v>
      </c>
      <c r="H9" s="21">
        <v>259900</v>
      </c>
      <c r="I9" s="21">
        <v>95000</v>
      </c>
      <c r="J9" s="22">
        <f t="shared" si="0"/>
        <v>36.552520200076955</v>
      </c>
      <c r="K9" s="21">
        <v>209873</v>
      </c>
      <c r="L9" s="21">
        <f>H9-189873</f>
        <v>70027</v>
      </c>
      <c r="M9" s="21">
        <v>20000</v>
      </c>
      <c r="N9" s="67">
        <f t="shared" si="1"/>
        <v>7.6952674105425167E-2</v>
      </c>
      <c r="O9" s="23">
        <v>0</v>
      </c>
      <c r="P9" s="24">
        <v>0</v>
      </c>
      <c r="Q9" s="25">
        <v>0</v>
      </c>
      <c r="R9" s="25">
        <v>0</v>
      </c>
      <c r="S9" s="21" t="e">
        <f t="shared" si="2"/>
        <v>#DIV/0!</v>
      </c>
      <c r="T9" s="21" t="e">
        <f t="shared" si="3"/>
        <v>#DIV/0!</v>
      </c>
      <c r="U9" s="26" t="e">
        <f t="shared" si="4"/>
        <v>#DIV/0!</v>
      </c>
      <c r="V9" s="25">
        <v>0</v>
      </c>
      <c r="W9" s="25">
        <f t="shared" si="5"/>
        <v>51980</v>
      </c>
      <c r="X9" s="25"/>
      <c r="Y9" s="27" t="s">
        <v>2340</v>
      </c>
      <c r="Z9" s="19" t="s">
        <v>35</v>
      </c>
      <c r="AA9" s="19" t="s">
        <v>35</v>
      </c>
      <c r="AB9" s="19" t="s">
        <v>2341</v>
      </c>
      <c r="AC9" s="19">
        <v>0</v>
      </c>
      <c r="AD9" s="19">
        <v>1</v>
      </c>
      <c r="AE9" s="19" t="s">
        <v>37</v>
      </c>
      <c r="AF9" s="19" t="s">
        <v>43</v>
      </c>
      <c r="AG9" s="19" t="s">
        <v>38</v>
      </c>
      <c r="AH9" s="19" t="s">
        <v>2319</v>
      </c>
    </row>
    <row r="10" spans="1:34" ht="15" thickBot="1" x14ac:dyDescent="0.35">
      <c r="A10" s="74" t="s">
        <v>2341</v>
      </c>
      <c r="B10" s="10" t="s">
        <v>2346</v>
      </c>
      <c r="C10" s="10" t="s">
        <v>2347</v>
      </c>
      <c r="D10" s="11">
        <v>45610</v>
      </c>
      <c r="E10" s="12">
        <v>260000</v>
      </c>
      <c r="F10" s="10" t="s">
        <v>32</v>
      </c>
      <c r="G10" s="10" t="s">
        <v>33</v>
      </c>
      <c r="H10" s="12">
        <v>260000</v>
      </c>
      <c r="I10" s="12">
        <v>105900</v>
      </c>
      <c r="J10" s="13">
        <f t="shared" si="0"/>
        <v>40.730769230769234</v>
      </c>
      <c r="K10" s="12">
        <v>234471</v>
      </c>
      <c r="L10" s="12">
        <f>H10-214471</f>
        <v>45529</v>
      </c>
      <c r="M10" s="12">
        <v>20000</v>
      </c>
      <c r="N10" s="66">
        <f t="shared" si="1"/>
        <v>7.6923076923076927E-2</v>
      </c>
      <c r="O10" s="14">
        <v>0</v>
      </c>
      <c r="P10" s="15">
        <v>0</v>
      </c>
      <c r="Q10" s="16">
        <v>0</v>
      </c>
      <c r="R10" s="16">
        <v>0</v>
      </c>
      <c r="S10" s="12" t="e">
        <f t="shared" si="2"/>
        <v>#DIV/0!</v>
      </c>
      <c r="T10" s="12" t="e">
        <f t="shared" si="3"/>
        <v>#DIV/0!</v>
      </c>
      <c r="U10" s="17" t="e">
        <f t="shared" si="4"/>
        <v>#DIV/0!</v>
      </c>
      <c r="V10" s="16">
        <v>0</v>
      </c>
      <c r="W10" s="16">
        <f t="shared" si="5"/>
        <v>52000</v>
      </c>
      <c r="X10" s="16"/>
      <c r="Y10" s="18" t="s">
        <v>2340</v>
      </c>
      <c r="Z10" s="10" t="s">
        <v>35</v>
      </c>
      <c r="AA10" s="10" t="s">
        <v>35</v>
      </c>
      <c r="AB10" s="10" t="s">
        <v>2341</v>
      </c>
      <c r="AC10" s="10">
        <v>0</v>
      </c>
      <c r="AD10" s="10">
        <v>1</v>
      </c>
      <c r="AE10" s="10" t="s">
        <v>37</v>
      </c>
      <c r="AF10" s="10" t="s">
        <v>35</v>
      </c>
      <c r="AG10" s="10" t="s">
        <v>38</v>
      </c>
      <c r="AH10" s="10" t="s">
        <v>2319</v>
      </c>
    </row>
    <row r="11" spans="1:34" ht="15" thickTop="1" x14ac:dyDescent="0.3">
      <c r="A11" s="76"/>
      <c r="B11" s="37"/>
      <c r="C11" s="37"/>
      <c r="D11" s="38" t="s">
        <v>2876</v>
      </c>
      <c r="E11" s="39">
        <f>+SUM(E2:E10)</f>
        <v>2141800</v>
      </c>
      <c r="F11" s="37"/>
      <c r="G11" s="37"/>
      <c r="H11" s="39">
        <f>+SUM(H2:H10)</f>
        <v>2141800</v>
      </c>
      <c r="I11" s="39">
        <f>+SUM(I2:I10)</f>
        <v>794300</v>
      </c>
      <c r="J11" s="40"/>
      <c r="K11" s="39">
        <f>+SUM(K2:K10)</f>
        <v>2042120</v>
      </c>
      <c r="L11" s="39">
        <f>+SUM(L2:L10)</f>
        <v>279680</v>
      </c>
      <c r="M11" s="39">
        <f>+SUM(M2:M10)</f>
        <v>180000</v>
      </c>
      <c r="N11" s="81">
        <f>AVERAGE(N2:N10)</f>
        <v>8.4403754706845885E-2</v>
      </c>
      <c r="O11" s="41">
        <f>+SUM(O2:O10)</f>
        <v>0</v>
      </c>
      <c r="P11" s="42"/>
      <c r="Q11" s="43">
        <f>+SUM(Q2:Q10)</f>
        <v>0</v>
      </c>
      <c r="R11" s="43">
        <f>+SUM(R2:R10)</f>
        <v>0</v>
      </c>
      <c r="S11" s="39"/>
      <c r="T11" s="39"/>
      <c r="U11" s="44"/>
      <c r="V11" s="43"/>
      <c r="W11" s="82">
        <f>AVERAGE(W2:W10)</f>
        <v>47595.555555555555</v>
      </c>
      <c r="X11" s="83" t="e">
        <f>AVERAGE(X2:X10)</f>
        <v>#DIV/0!</v>
      </c>
      <c r="Y11" s="45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 x14ac:dyDescent="0.3">
      <c r="A12" s="77"/>
      <c r="B12" s="28"/>
      <c r="C12" s="28"/>
      <c r="D12" s="29"/>
      <c r="E12" s="30"/>
      <c r="F12" s="28"/>
      <c r="G12" s="28"/>
      <c r="H12" s="30"/>
      <c r="I12" s="30" t="s">
        <v>2877</v>
      </c>
      <c r="J12" s="31">
        <f>I11/H11*100</f>
        <v>37.0856289102624</v>
      </c>
      <c r="K12" s="30"/>
      <c r="L12" s="30"/>
      <c r="M12" s="30" t="s">
        <v>2879</v>
      </c>
      <c r="N12" s="79"/>
      <c r="O12" s="32"/>
      <c r="P12" s="33"/>
      <c r="Q12" s="34" t="s">
        <v>2879</v>
      </c>
      <c r="R12" s="34"/>
      <c r="S12" s="30"/>
      <c r="T12" s="30" t="s">
        <v>2879</v>
      </c>
      <c r="U12" s="35"/>
      <c r="V12" s="34"/>
      <c r="W12" s="63"/>
      <c r="X12" s="68"/>
      <c r="Y12" s="36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x14ac:dyDescent="0.3">
      <c r="A13" s="78"/>
      <c r="B13" s="46"/>
      <c r="C13" s="46"/>
      <c r="D13" s="47"/>
      <c r="E13" s="48"/>
      <c r="F13" s="46"/>
      <c r="G13" s="46"/>
      <c r="H13" s="48"/>
      <c r="I13" s="48" t="s">
        <v>2878</v>
      </c>
      <c r="J13" s="49">
        <f>STDEV(J2:J10)</f>
        <v>14.162796686815794</v>
      </c>
      <c r="K13" s="48"/>
      <c r="L13" s="48"/>
      <c r="M13" s="48" t="s">
        <v>2880</v>
      </c>
      <c r="N13" s="80"/>
      <c r="O13" s="54" t="e">
        <f>L11/O11</f>
        <v>#DIV/0!</v>
      </c>
      <c r="P13" s="50"/>
      <c r="Q13" s="51" t="s">
        <v>2881</v>
      </c>
      <c r="R13" s="51" t="e">
        <f>L11/Q11</f>
        <v>#DIV/0!</v>
      </c>
      <c r="S13" s="48"/>
      <c r="T13" s="48" t="s">
        <v>2882</v>
      </c>
      <c r="U13" s="52" t="e">
        <f>L11/Q11/43560</f>
        <v>#DIV/0!</v>
      </c>
      <c r="V13" s="51"/>
      <c r="W13" s="64"/>
      <c r="X13" s="69"/>
      <c r="Y13" s="53"/>
      <c r="Z13" s="46"/>
      <c r="AA13" s="46"/>
      <c r="AB13" s="46"/>
      <c r="AC13" s="46"/>
      <c r="AD13" s="46"/>
      <c r="AE13" s="46"/>
      <c r="AF13" s="46"/>
      <c r="AG13" s="46"/>
      <c r="AH13" s="46"/>
    </row>
    <row r="14" spans="1:34" x14ac:dyDescent="0.3">
      <c r="E14" s="94" t="s">
        <v>3099</v>
      </c>
      <c r="L14" s="95"/>
    </row>
    <row r="15" spans="1:34" x14ac:dyDescent="0.3">
      <c r="E15" s="383" t="s">
        <v>3163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3164</v>
      </c>
      <c r="F16" s="383"/>
      <c r="G16" s="383"/>
      <c r="H16" s="383"/>
      <c r="I16" s="383"/>
      <c r="J16" s="383"/>
      <c r="K16" s="383"/>
      <c r="L16" s="383"/>
    </row>
    <row r="17" spans="1:12" x14ac:dyDescent="0.3">
      <c r="E17" s="383" t="s">
        <v>3165</v>
      </c>
      <c r="F17" s="383"/>
      <c r="G17" s="383"/>
      <c r="H17" s="383"/>
      <c r="I17" s="383"/>
      <c r="J17" s="383"/>
      <c r="K17" s="383"/>
      <c r="L17" s="383"/>
    </row>
    <row r="18" spans="1:12" x14ac:dyDescent="0.3">
      <c r="E18" s="383" t="s">
        <v>3166</v>
      </c>
      <c r="F18" s="383"/>
      <c r="G18" s="383"/>
      <c r="H18" s="383"/>
      <c r="I18" s="383"/>
      <c r="J18" s="96"/>
      <c r="K18" s="96"/>
      <c r="L18" s="96"/>
    </row>
    <row r="19" spans="1:12" x14ac:dyDescent="0.3">
      <c r="E19" s="383" t="s">
        <v>3167</v>
      </c>
      <c r="F19" s="383"/>
      <c r="G19" s="383"/>
      <c r="H19" s="383"/>
      <c r="I19" s="383"/>
      <c r="L19" s="95"/>
    </row>
    <row r="20" spans="1:12" x14ac:dyDescent="0.3">
      <c r="E20" s="383" t="s">
        <v>3100</v>
      </c>
      <c r="F20" s="383"/>
      <c r="G20" s="383"/>
      <c r="H20" s="383"/>
      <c r="I20" s="383"/>
      <c r="L20" s="95"/>
    </row>
    <row r="21" spans="1:12" x14ac:dyDescent="0.3">
      <c r="E21" s="96"/>
      <c r="F21" s="96"/>
      <c r="G21" s="96"/>
      <c r="H21" s="96"/>
      <c r="I21" s="96"/>
      <c r="L21" s="95"/>
    </row>
    <row r="22" spans="1:12" x14ac:dyDescent="0.3">
      <c r="A22" s="55" t="s">
        <v>3092</v>
      </c>
      <c r="E22" s="96"/>
      <c r="F22" s="96"/>
      <c r="G22" s="96"/>
      <c r="H22" s="96"/>
      <c r="I22" s="96"/>
      <c r="L22" s="95"/>
    </row>
  </sheetData>
  <sortState xmlns:xlrd2="http://schemas.microsoft.com/office/spreadsheetml/2017/richdata2" ref="A2:AH10">
    <sortCondition ref="W2:W10"/>
  </sortState>
  <pageMargins left="0.7" right="0.7" top="0.75" bottom="0.75" header="0.3" footer="0.3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1">
    <tabColor rgb="FF00B050"/>
  </sheetPr>
  <dimension ref="A1:AH14"/>
  <sheetViews>
    <sheetView tabSelected="1" workbookViewId="0">
      <selection activeCell="A14" sqref="A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607</v>
      </c>
      <c r="B2" s="10" t="s">
        <v>604</v>
      </c>
      <c r="C2" s="10" t="s">
        <v>605</v>
      </c>
      <c r="D2" s="11">
        <v>45589</v>
      </c>
      <c r="E2" s="12">
        <v>179000</v>
      </c>
      <c r="F2" s="10" t="s">
        <v>32</v>
      </c>
      <c r="G2" s="10" t="s">
        <v>33</v>
      </c>
      <c r="H2" s="12">
        <v>179000</v>
      </c>
      <c r="I2" s="12">
        <v>55600</v>
      </c>
      <c r="J2" s="13">
        <f>I2/H2*100</f>
        <v>31.061452513966479</v>
      </c>
      <c r="K2" s="12">
        <v>127174</v>
      </c>
      <c r="L2" s="12">
        <f>H2-112572</f>
        <v>66428</v>
      </c>
      <c r="M2" s="12">
        <v>14602</v>
      </c>
      <c r="N2" s="66">
        <f>M2/E2</f>
        <v>8.1575418994413409E-2</v>
      </c>
      <c r="O2" s="14">
        <v>74.5</v>
      </c>
      <c r="P2" s="15">
        <v>261</v>
      </c>
      <c r="Q2" s="16">
        <v>0.44600000000000001</v>
      </c>
      <c r="R2" s="16">
        <v>0.44600000000000001</v>
      </c>
      <c r="S2" s="12">
        <f>L2/O2</f>
        <v>891.65100671140942</v>
      </c>
      <c r="T2" s="12">
        <f>L2/Q2</f>
        <v>148941.70403587443</v>
      </c>
      <c r="U2" s="17">
        <f>L2/Q2/43560</f>
        <v>3.4192310384727831</v>
      </c>
      <c r="V2" s="16">
        <v>74.5</v>
      </c>
      <c r="W2" s="16">
        <f>0.2*E2</f>
        <v>35800</v>
      </c>
      <c r="X2" s="16">
        <f>W2/V2</f>
        <v>480.53691275167785</v>
      </c>
      <c r="Y2" s="18" t="s">
        <v>606</v>
      </c>
      <c r="Z2" s="10" t="s">
        <v>35</v>
      </c>
      <c r="AA2" s="10" t="s">
        <v>35</v>
      </c>
      <c r="AB2" s="10" t="s">
        <v>607</v>
      </c>
      <c r="AC2" s="10">
        <v>0</v>
      </c>
      <c r="AD2" s="10">
        <v>1</v>
      </c>
      <c r="AE2" s="10" t="s">
        <v>42</v>
      </c>
      <c r="AF2" s="10" t="s">
        <v>35</v>
      </c>
      <c r="AG2" s="10" t="s">
        <v>38</v>
      </c>
      <c r="AH2" s="10" t="s">
        <v>92</v>
      </c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179000</v>
      </c>
      <c r="F3" s="37"/>
      <c r="G3" s="37"/>
      <c r="H3" s="39">
        <f>+SUM(H2:H2)</f>
        <v>179000</v>
      </c>
      <c r="I3" s="39">
        <f>+SUM(I2:I2)</f>
        <v>55600</v>
      </c>
      <c r="J3" s="40"/>
      <c r="K3" s="39">
        <f>+SUM(K2:K2)</f>
        <v>127174</v>
      </c>
      <c r="L3" s="39">
        <f>+SUM(L2:L2)</f>
        <v>66428</v>
      </c>
      <c r="M3" s="39">
        <f>+SUM(M2:M2)</f>
        <v>14602</v>
      </c>
      <c r="N3" s="81">
        <f>AVERAGE(N2:N2)</f>
        <v>8.1575418994413409E-2</v>
      </c>
      <c r="O3" s="41">
        <f>+SUM(O2:O2)</f>
        <v>74.5</v>
      </c>
      <c r="P3" s="42"/>
      <c r="Q3" s="43">
        <f>+SUM(Q2:Q2)</f>
        <v>0.44600000000000001</v>
      </c>
      <c r="R3" s="43">
        <f>+SUM(R2:R2)</f>
        <v>0.44600000000000001</v>
      </c>
      <c r="S3" s="39"/>
      <c r="T3" s="39"/>
      <c r="U3" s="44"/>
      <c r="V3" s="43"/>
      <c r="W3" s="82">
        <f>AVERAGE(W2:W2)</f>
        <v>35800</v>
      </c>
      <c r="X3" s="83">
        <f>AVERAGE(X2:X2)</f>
        <v>480.53691275167785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31.061452513966479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>
        <f>L3/O3</f>
        <v>891.65100671140942</v>
      </c>
      <c r="P5" s="50"/>
      <c r="Q5" s="51" t="s">
        <v>2881</v>
      </c>
      <c r="R5" s="51">
        <f>L3/Q3</f>
        <v>148941.70403587443</v>
      </c>
      <c r="S5" s="48"/>
      <c r="T5" s="48" t="s">
        <v>2882</v>
      </c>
      <c r="U5" s="52">
        <f>L3/Q3/43560</f>
        <v>3.4192310384727831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50"/>
  </sheetPr>
  <dimension ref="A1:AH53"/>
  <sheetViews>
    <sheetView topLeftCell="A10" workbookViewId="0">
      <selection activeCell="J39" sqref="J3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4414062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10" style="55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6.109375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2.109375" style="65" customWidth="1"/>
    <col min="24" max="24" width="12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3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215</v>
      </c>
      <c r="B2" s="19" t="s">
        <v>373</v>
      </c>
      <c r="C2" s="19" t="s">
        <v>374</v>
      </c>
      <c r="D2" s="20">
        <v>45334</v>
      </c>
      <c r="E2" s="21">
        <v>155000</v>
      </c>
      <c r="F2" s="19" t="s">
        <v>32</v>
      </c>
      <c r="G2" s="19" t="s">
        <v>33</v>
      </c>
      <c r="H2" s="21">
        <v>155000</v>
      </c>
      <c r="I2" s="21">
        <v>60400</v>
      </c>
      <c r="J2" s="22">
        <f t="shared" ref="J2:J32" si="0">I2/H2*100</f>
        <v>38.967741935483872</v>
      </c>
      <c r="K2" s="21">
        <v>159311</v>
      </c>
      <c r="L2" s="21">
        <f>H2-151131</f>
        <v>3869</v>
      </c>
      <c r="M2" s="21">
        <v>8180</v>
      </c>
      <c r="N2" s="67">
        <f t="shared" ref="N2:N32" si="1">M2/E2</f>
        <v>5.2774193548387097E-2</v>
      </c>
      <c r="O2" s="23">
        <v>38.04</v>
      </c>
      <c r="P2" s="24">
        <v>100</v>
      </c>
      <c r="Q2" s="25">
        <v>9.5000000000000001E-2</v>
      </c>
      <c r="R2" s="25">
        <v>9.5000000000000001E-2</v>
      </c>
      <c r="S2" s="21">
        <f t="shared" ref="S2:S32" si="2">L2/O2</f>
        <v>101.70872765509989</v>
      </c>
      <c r="T2" s="21">
        <f t="shared" ref="T2:T32" si="3">L2/Q2</f>
        <v>40726.315789473687</v>
      </c>
      <c r="U2" s="26">
        <f t="shared" ref="U2:U32" si="4">L2/Q2/43560</f>
        <v>0.93494756174182014</v>
      </c>
      <c r="V2" s="25">
        <v>42</v>
      </c>
      <c r="W2" s="25">
        <f t="shared" ref="W2:W32" si="5">0.2*E2</f>
        <v>31000</v>
      </c>
      <c r="X2" s="25">
        <f t="shared" ref="X2:X32" si="6">W2/V2</f>
        <v>738.09523809523807</v>
      </c>
      <c r="Y2" s="27" t="s">
        <v>370</v>
      </c>
      <c r="Z2" s="19" t="s">
        <v>35</v>
      </c>
      <c r="AA2" s="19" t="s">
        <v>35</v>
      </c>
      <c r="AB2" s="19" t="s">
        <v>215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217</v>
      </c>
    </row>
    <row r="3" spans="1:34" x14ac:dyDescent="0.3">
      <c r="A3" s="75" t="s">
        <v>215</v>
      </c>
      <c r="B3" s="19" t="s">
        <v>226</v>
      </c>
      <c r="C3" s="19" t="s">
        <v>227</v>
      </c>
      <c r="D3" s="20">
        <v>45196</v>
      </c>
      <c r="E3" s="21">
        <v>179000</v>
      </c>
      <c r="F3" s="19" t="s">
        <v>32</v>
      </c>
      <c r="G3" s="19" t="s">
        <v>33</v>
      </c>
      <c r="H3" s="21">
        <v>179000</v>
      </c>
      <c r="I3" s="21">
        <v>71200</v>
      </c>
      <c r="J3" s="22">
        <f t="shared" si="0"/>
        <v>39.776536312849167</v>
      </c>
      <c r="K3" s="21">
        <v>188521</v>
      </c>
      <c r="L3" s="21">
        <f>H3-170031</f>
        <v>8969</v>
      </c>
      <c r="M3" s="21">
        <v>18490</v>
      </c>
      <c r="N3" s="67">
        <f t="shared" si="1"/>
        <v>0.10329608938547485</v>
      </c>
      <c r="O3" s="23">
        <v>86</v>
      </c>
      <c r="P3" s="24">
        <v>120</v>
      </c>
      <c r="Q3" s="25">
        <v>0.23699999999999999</v>
      </c>
      <c r="R3" s="25">
        <v>0.23699999999999999</v>
      </c>
      <c r="S3" s="21">
        <f t="shared" si="2"/>
        <v>104.29069767441861</v>
      </c>
      <c r="T3" s="21">
        <f t="shared" si="3"/>
        <v>37843.881856540087</v>
      </c>
      <c r="U3" s="26">
        <f t="shared" si="4"/>
        <v>0.86877598385078258</v>
      </c>
      <c r="V3" s="25">
        <v>86</v>
      </c>
      <c r="W3" s="25">
        <f t="shared" si="5"/>
        <v>35800</v>
      </c>
      <c r="X3" s="25">
        <f t="shared" si="6"/>
        <v>416.27906976744185</v>
      </c>
      <c r="Y3" s="27" t="s">
        <v>191</v>
      </c>
      <c r="Z3" s="19" t="s">
        <v>35</v>
      </c>
      <c r="AA3" s="19" t="s">
        <v>35</v>
      </c>
      <c r="AB3" s="19" t="s">
        <v>215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217</v>
      </c>
    </row>
    <row r="4" spans="1:34" x14ac:dyDescent="0.3">
      <c r="A4" s="74" t="s">
        <v>215</v>
      </c>
      <c r="B4" s="10" t="s">
        <v>255</v>
      </c>
      <c r="C4" s="10" t="s">
        <v>256</v>
      </c>
      <c r="D4" s="11">
        <v>45107</v>
      </c>
      <c r="E4" s="12">
        <v>155000</v>
      </c>
      <c r="F4" s="10" t="s">
        <v>32</v>
      </c>
      <c r="G4" s="10" t="s">
        <v>33</v>
      </c>
      <c r="H4" s="12">
        <v>155000</v>
      </c>
      <c r="I4" s="12">
        <v>63500</v>
      </c>
      <c r="J4" s="13">
        <f t="shared" si="0"/>
        <v>40.967741935483872</v>
      </c>
      <c r="K4" s="12">
        <v>161091</v>
      </c>
      <c r="L4" s="12">
        <f>H4-145553</f>
        <v>9447</v>
      </c>
      <c r="M4" s="12">
        <v>15538</v>
      </c>
      <c r="N4" s="66">
        <f t="shared" si="1"/>
        <v>0.10024516129032258</v>
      </c>
      <c r="O4" s="14">
        <v>72.27</v>
      </c>
      <c r="P4" s="15">
        <v>168.44</v>
      </c>
      <c r="Q4" s="16">
        <v>0.23599999999999999</v>
      </c>
      <c r="R4" s="16">
        <v>0.23599999999999999</v>
      </c>
      <c r="S4" s="12">
        <f t="shared" si="2"/>
        <v>130.71814030718141</v>
      </c>
      <c r="T4" s="12">
        <f t="shared" si="3"/>
        <v>40029.661016949154</v>
      </c>
      <c r="U4" s="17">
        <f t="shared" si="4"/>
        <v>0.91895456880048565</v>
      </c>
      <c r="V4" s="16">
        <v>61</v>
      </c>
      <c r="W4" s="16">
        <f t="shared" si="5"/>
        <v>31000</v>
      </c>
      <c r="X4" s="16">
        <f t="shared" si="6"/>
        <v>508.19672131147541</v>
      </c>
      <c r="Y4" s="18" t="s">
        <v>191</v>
      </c>
      <c r="Z4" s="10" t="s">
        <v>35</v>
      </c>
      <c r="AA4" s="10" t="s">
        <v>35</v>
      </c>
      <c r="AB4" s="10" t="s">
        <v>215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217</v>
      </c>
    </row>
    <row r="5" spans="1:34" x14ac:dyDescent="0.3">
      <c r="A5" s="74" t="s">
        <v>215</v>
      </c>
      <c r="B5" s="10" t="s">
        <v>236</v>
      </c>
      <c r="C5" s="10" t="s">
        <v>237</v>
      </c>
      <c r="D5" s="11">
        <v>45155</v>
      </c>
      <c r="E5" s="12">
        <v>140000</v>
      </c>
      <c r="F5" s="10" t="s">
        <v>32</v>
      </c>
      <c r="G5" s="10" t="s">
        <v>33</v>
      </c>
      <c r="H5" s="12">
        <v>140000</v>
      </c>
      <c r="I5" s="12">
        <v>53900</v>
      </c>
      <c r="J5" s="13">
        <f t="shared" si="0"/>
        <v>38.5</v>
      </c>
      <c r="K5" s="12">
        <v>141773</v>
      </c>
      <c r="L5" s="12">
        <f>H5-132996</f>
        <v>7004</v>
      </c>
      <c r="M5" s="12">
        <v>8777</v>
      </c>
      <c r="N5" s="66">
        <f t="shared" si="1"/>
        <v>6.2692857142857147E-2</v>
      </c>
      <c r="O5" s="14">
        <v>40.82</v>
      </c>
      <c r="P5" s="15">
        <v>125</v>
      </c>
      <c r="Q5" s="16">
        <v>0.115</v>
      </c>
      <c r="R5" s="16">
        <v>0.115</v>
      </c>
      <c r="S5" s="12">
        <f t="shared" si="2"/>
        <v>171.5825575698187</v>
      </c>
      <c r="T5" s="12">
        <f t="shared" si="3"/>
        <v>60904.347826086952</v>
      </c>
      <c r="U5" s="17">
        <f t="shared" si="4"/>
        <v>1.3981714376971293</v>
      </c>
      <c r="V5" s="16">
        <v>40</v>
      </c>
      <c r="W5" s="16">
        <f t="shared" si="5"/>
        <v>28000</v>
      </c>
      <c r="X5" s="16">
        <f t="shared" si="6"/>
        <v>700</v>
      </c>
      <c r="Y5" s="18" t="s">
        <v>191</v>
      </c>
      <c r="Z5" s="10" t="s">
        <v>35</v>
      </c>
      <c r="AA5" s="10" t="s">
        <v>35</v>
      </c>
      <c r="AB5" s="10" t="s">
        <v>215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217</v>
      </c>
    </row>
    <row r="6" spans="1:34" x14ac:dyDescent="0.3">
      <c r="A6" s="75" t="s">
        <v>215</v>
      </c>
      <c r="B6" s="19" t="s">
        <v>251</v>
      </c>
      <c r="C6" s="19" t="s">
        <v>252</v>
      </c>
      <c r="D6" s="20">
        <v>45260</v>
      </c>
      <c r="E6" s="21">
        <v>115000</v>
      </c>
      <c r="F6" s="19" t="s">
        <v>32</v>
      </c>
      <c r="G6" s="19" t="s">
        <v>33</v>
      </c>
      <c r="H6" s="21">
        <v>115000</v>
      </c>
      <c r="I6" s="21">
        <v>44100</v>
      </c>
      <c r="J6" s="22">
        <f t="shared" si="0"/>
        <v>38.347826086956523</v>
      </c>
      <c r="K6" s="21">
        <v>115942</v>
      </c>
      <c r="L6" s="21">
        <f>H6-107505</f>
        <v>7495</v>
      </c>
      <c r="M6" s="21">
        <v>8437</v>
      </c>
      <c r="N6" s="67">
        <f t="shared" si="1"/>
        <v>7.3365217391304346E-2</v>
      </c>
      <c r="O6" s="23">
        <v>39.24</v>
      </c>
      <c r="P6" s="24">
        <v>115.5</v>
      </c>
      <c r="Q6" s="25">
        <v>0.106</v>
      </c>
      <c r="R6" s="25">
        <v>0.106</v>
      </c>
      <c r="S6" s="21">
        <f t="shared" si="2"/>
        <v>191.00407747196738</v>
      </c>
      <c r="T6" s="21">
        <f t="shared" si="3"/>
        <v>70707.547169811325</v>
      </c>
      <c r="U6" s="26">
        <f t="shared" si="4"/>
        <v>1.6232219276816191</v>
      </c>
      <c r="V6" s="25">
        <v>40</v>
      </c>
      <c r="W6" s="25">
        <f t="shared" si="5"/>
        <v>23000</v>
      </c>
      <c r="X6" s="25">
        <f t="shared" si="6"/>
        <v>575</v>
      </c>
      <c r="Y6" s="27" t="s">
        <v>191</v>
      </c>
      <c r="Z6" s="19" t="s">
        <v>35</v>
      </c>
      <c r="AA6" s="19" t="s">
        <v>35</v>
      </c>
      <c r="AB6" s="19" t="s">
        <v>215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217</v>
      </c>
    </row>
    <row r="7" spans="1:34" x14ac:dyDescent="0.3">
      <c r="A7" s="74" t="s">
        <v>215</v>
      </c>
      <c r="B7" s="10" t="s">
        <v>393</v>
      </c>
      <c r="C7" s="10" t="s">
        <v>394</v>
      </c>
      <c r="D7" s="11">
        <v>45467</v>
      </c>
      <c r="E7" s="12">
        <v>106000</v>
      </c>
      <c r="F7" s="10" t="s">
        <v>32</v>
      </c>
      <c r="G7" s="10" t="s">
        <v>33</v>
      </c>
      <c r="H7" s="12">
        <v>106000</v>
      </c>
      <c r="I7" s="12">
        <v>44700</v>
      </c>
      <c r="J7" s="13">
        <f t="shared" si="0"/>
        <v>42.169811320754718</v>
      </c>
      <c r="K7" s="12">
        <v>106510</v>
      </c>
      <c r="L7" s="12">
        <f>H7-97768</f>
        <v>8232</v>
      </c>
      <c r="M7" s="12">
        <v>8742</v>
      </c>
      <c r="N7" s="66">
        <f t="shared" si="1"/>
        <v>8.2471698113207551E-2</v>
      </c>
      <c r="O7" s="14">
        <v>40.659999999999997</v>
      </c>
      <c r="P7" s="15">
        <v>124</v>
      </c>
      <c r="Q7" s="16">
        <v>0.114</v>
      </c>
      <c r="R7" s="16">
        <v>0.114</v>
      </c>
      <c r="S7" s="12">
        <f t="shared" si="2"/>
        <v>202.45941957697985</v>
      </c>
      <c r="T7" s="12">
        <f t="shared" si="3"/>
        <v>72210.526315789466</v>
      </c>
      <c r="U7" s="17">
        <f t="shared" si="4"/>
        <v>1.6577255811705571</v>
      </c>
      <c r="V7" s="16">
        <v>40</v>
      </c>
      <c r="W7" s="16">
        <f t="shared" si="5"/>
        <v>21200</v>
      </c>
      <c r="X7" s="16">
        <f t="shared" si="6"/>
        <v>530</v>
      </c>
      <c r="Y7" s="18" t="s">
        <v>370</v>
      </c>
      <c r="Z7" s="10" t="s">
        <v>35</v>
      </c>
      <c r="AA7" s="10" t="s">
        <v>35</v>
      </c>
      <c r="AB7" s="10" t="s">
        <v>215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217</v>
      </c>
    </row>
    <row r="8" spans="1:34" x14ac:dyDescent="0.3">
      <c r="A8" s="74" t="s">
        <v>215</v>
      </c>
      <c r="B8" s="10" t="s">
        <v>220</v>
      </c>
      <c r="C8" s="10" t="s">
        <v>221</v>
      </c>
      <c r="D8" s="11">
        <v>45240</v>
      </c>
      <c r="E8" s="12">
        <v>123500</v>
      </c>
      <c r="F8" s="10" t="s">
        <v>81</v>
      </c>
      <c r="G8" s="10" t="s">
        <v>33</v>
      </c>
      <c r="H8" s="12">
        <v>123500</v>
      </c>
      <c r="I8" s="12">
        <v>46400</v>
      </c>
      <c r="J8" s="13">
        <f t="shared" si="0"/>
        <v>37.570850202429149</v>
      </c>
      <c r="K8" s="12">
        <v>122921</v>
      </c>
      <c r="L8" s="12">
        <f>H8-114321</f>
        <v>9179</v>
      </c>
      <c r="M8" s="12">
        <v>8600</v>
      </c>
      <c r="N8" s="66">
        <f t="shared" si="1"/>
        <v>6.9635627530364369E-2</v>
      </c>
      <c r="O8" s="14">
        <v>40</v>
      </c>
      <c r="P8" s="15">
        <v>120</v>
      </c>
      <c r="Q8" s="16">
        <v>0.11</v>
      </c>
      <c r="R8" s="16">
        <v>0.11</v>
      </c>
      <c r="S8" s="12">
        <f t="shared" si="2"/>
        <v>229.47499999999999</v>
      </c>
      <c r="T8" s="12">
        <f t="shared" si="3"/>
        <v>83445.454545454544</v>
      </c>
      <c r="U8" s="17">
        <f t="shared" si="4"/>
        <v>1.9156440437432172</v>
      </c>
      <c r="V8" s="16">
        <v>40</v>
      </c>
      <c r="W8" s="16">
        <f t="shared" si="5"/>
        <v>24700</v>
      </c>
      <c r="X8" s="16">
        <f t="shared" si="6"/>
        <v>617.5</v>
      </c>
      <c r="Y8" s="18" t="s">
        <v>191</v>
      </c>
      <c r="Z8" s="10" t="s">
        <v>35</v>
      </c>
      <c r="AA8" s="10" t="s">
        <v>35</v>
      </c>
      <c r="AB8" s="10" t="s">
        <v>215</v>
      </c>
      <c r="AC8" s="10">
        <v>0</v>
      </c>
      <c r="AD8" s="10">
        <v>1</v>
      </c>
      <c r="AE8" s="10" t="s">
        <v>37</v>
      </c>
      <c r="AF8" s="10" t="s">
        <v>43</v>
      </c>
      <c r="AG8" s="10" t="s">
        <v>38</v>
      </c>
      <c r="AH8" s="10" t="s">
        <v>217</v>
      </c>
    </row>
    <row r="9" spans="1:34" x14ac:dyDescent="0.3">
      <c r="A9" s="75" t="s">
        <v>215</v>
      </c>
      <c r="B9" s="19" t="s">
        <v>257</v>
      </c>
      <c r="C9" s="19" t="s">
        <v>258</v>
      </c>
      <c r="D9" s="20">
        <v>45301</v>
      </c>
      <c r="E9" s="21">
        <v>153000</v>
      </c>
      <c r="F9" s="19" t="s">
        <v>32</v>
      </c>
      <c r="G9" s="19" t="s">
        <v>33</v>
      </c>
      <c r="H9" s="21">
        <v>153000</v>
      </c>
      <c r="I9" s="21">
        <v>59400</v>
      </c>
      <c r="J9" s="22">
        <f t="shared" si="0"/>
        <v>38.82352941176471</v>
      </c>
      <c r="K9" s="21">
        <v>149339</v>
      </c>
      <c r="L9" s="21">
        <f>H9-133748</f>
        <v>19252</v>
      </c>
      <c r="M9" s="21">
        <v>15591</v>
      </c>
      <c r="N9" s="67">
        <f t="shared" si="1"/>
        <v>0.10190196078431372</v>
      </c>
      <c r="O9" s="23">
        <v>72.510000000000005</v>
      </c>
      <c r="P9" s="24">
        <v>169.59</v>
      </c>
      <c r="Q9" s="25">
        <v>0.23699999999999999</v>
      </c>
      <c r="R9" s="25">
        <v>0.23699999999999999</v>
      </c>
      <c r="S9" s="21">
        <f t="shared" si="2"/>
        <v>265.50820576472211</v>
      </c>
      <c r="T9" s="21">
        <f t="shared" si="3"/>
        <v>81232.067510548528</v>
      </c>
      <c r="U9" s="26">
        <f t="shared" si="4"/>
        <v>1.8648316692045117</v>
      </c>
      <c r="V9" s="25">
        <v>61</v>
      </c>
      <c r="W9" s="25">
        <f t="shared" si="5"/>
        <v>30600</v>
      </c>
      <c r="X9" s="25">
        <f t="shared" si="6"/>
        <v>501.63934426229508</v>
      </c>
      <c r="Y9" s="27" t="s">
        <v>191</v>
      </c>
      <c r="Z9" s="19" t="s">
        <v>35</v>
      </c>
      <c r="AA9" s="19" t="s">
        <v>35</v>
      </c>
      <c r="AB9" s="19" t="s">
        <v>215</v>
      </c>
      <c r="AC9" s="19">
        <v>0</v>
      </c>
      <c r="AD9" s="19">
        <v>1</v>
      </c>
      <c r="AE9" s="19" t="s">
        <v>37</v>
      </c>
      <c r="AF9" s="19" t="s">
        <v>43</v>
      </c>
      <c r="AG9" s="19" t="s">
        <v>38</v>
      </c>
      <c r="AH9" s="19" t="s">
        <v>217</v>
      </c>
    </row>
    <row r="10" spans="1:34" x14ac:dyDescent="0.3">
      <c r="A10" s="75" t="s">
        <v>215</v>
      </c>
      <c r="B10" s="19" t="s">
        <v>383</v>
      </c>
      <c r="C10" s="19" t="s">
        <v>384</v>
      </c>
      <c r="D10" s="20">
        <v>45149</v>
      </c>
      <c r="E10" s="21">
        <v>140000</v>
      </c>
      <c r="F10" s="19" t="s">
        <v>32</v>
      </c>
      <c r="G10" s="19" t="s">
        <v>33</v>
      </c>
      <c r="H10" s="21">
        <v>140000</v>
      </c>
      <c r="I10" s="21">
        <v>51700</v>
      </c>
      <c r="J10" s="22">
        <f t="shared" si="0"/>
        <v>36.928571428571431</v>
      </c>
      <c r="K10" s="21">
        <v>132825</v>
      </c>
      <c r="L10" s="21">
        <f>H10-105868</f>
        <v>34132</v>
      </c>
      <c r="M10" s="21">
        <v>26957</v>
      </c>
      <c r="N10" s="67">
        <f t="shared" si="1"/>
        <v>0.19255</v>
      </c>
      <c r="O10" s="23">
        <v>125.37</v>
      </c>
      <c r="P10" s="24">
        <v>131</v>
      </c>
      <c r="Q10" s="25">
        <v>0.36099999999999999</v>
      </c>
      <c r="R10" s="25">
        <v>0.36099999999999999</v>
      </c>
      <c r="S10" s="21">
        <f t="shared" si="2"/>
        <v>272.25013958682297</v>
      </c>
      <c r="T10" s="21">
        <f t="shared" si="3"/>
        <v>94548.476454293632</v>
      </c>
      <c r="U10" s="26">
        <f t="shared" si="4"/>
        <v>2.17053435386349</v>
      </c>
      <c r="V10" s="25">
        <v>120</v>
      </c>
      <c r="W10" s="25">
        <f t="shared" si="5"/>
        <v>28000</v>
      </c>
      <c r="X10" s="25">
        <f t="shared" si="6"/>
        <v>233.33333333333334</v>
      </c>
      <c r="Y10" s="27" t="s">
        <v>370</v>
      </c>
      <c r="Z10" s="19" t="s">
        <v>35</v>
      </c>
      <c r="AA10" s="19" t="s">
        <v>35</v>
      </c>
      <c r="AB10" s="19" t="s">
        <v>215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217</v>
      </c>
    </row>
    <row r="11" spans="1:34" x14ac:dyDescent="0.3">
      <c r="A11" s="74" t="s">
        <v>215</v>
      </c>
      <c r="B11" s="10" t="s">
        <v>385</v>
      </c>
      <c r="C11" s="10" t="s">
        <v>386</v>
      </c>
      <c r="D11" s="11">
        <v>45442</v>
      </c>
      <c r="E11" s="12">
        <v>102500</v>
      </c>
      <c r="F11" s="10" t="s">
        <v>32</v>
      </c>
      <c r="G11" s="10" t="s">
        <v>33</v>
      </c>
      <c r="H11" s="12">
        <v>102500</v>
      </c>
      <c r="I11" s="12">
        <v>42000</v>
      </c>
      <c r="J11" s="13">
        <f t="shared" si="0"/>
        <v>40.975609756097562</v>
      </c>
      <c r="K11" s="12">
        <v>98751</v>
      </c>
      <c r="L11" s="12">
        <f>H11-90080</f>
        <v>12420</v>
      </c>
      <c r="M11" s="12">
        <v>8671</v>
      </c>
      <c r="N11" s="66">
        <f t="shared" si="1"/>
        <v>8.4595121951219515E-2</v>
      </c>
      <c r="O11" s="14">
        <v>40.33</v>
      </c>
      <c r="P11" s="15">
        <v>122</v>
      </c>
      <c r="Q11" s="16">
        <v>0.112</v>
      </c>
      <c r="R11" s="16">
        <v>0.112</v>
      </c>
      <c r="S11" s="12">
        <f t="shared" si="2"/>
        <v>307.95933548227129</v>
      </c>
      <c r="T11" s="12">
        <f t="shared" si="3"/>
        <v>110892.85714285714</v>
      </c>
      <c r="U11" s="17">
        <f t="shared" si="4"/>
        <v>2.5457497048406141</v>
      </c>
      <c r="V11" s="16">
        <v>40</v>
      </c>
      <c r="W11" s="16">
        <f t="shared" si="5"/>
        <v>20500</v>
      </c>
      <c r="X11" s="16">
        <f t="shared" si="6"/>
        <v>512.5</v>
      </c>
      <c r="Y11" s="18" t="s">
        <v>370</v>
      </c>
      <c r="Z11" s="10" t="s">
        <v>35</v>
      </c>
      <c r="AA11" s="10" t="s">
        <v>35</v>
      </c>
      <c r="AB11" s="10" t="s">
        <v>215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217</v>
      </c>
    </row>
    <row r="12" spans="1:34" x14ac:dyDescent="0.3">
      <c r="A12" s="74" t="s">
        <v>215</v>
      </c>
      <c r="B12" s="10" t="s">
        <v>383</v>
      </c>
      <c r="C12" s="10" t="s">
        <v>384</v>
      </c>
      <c r="D12" s="11">
        <v>45596</v>
      </c>
      <c r="E12" s="12">
        <v>150000</v>
      </c>
      <c r="F12" s="10" t="s">
        <v>32</v>
      </c>
      <c r="G12" s="10" t="s">
        <v>33</v>
      </c>
      <c r="H12" s="12">
        <v>150000</v>
      </c>
      <c r="I12" s="12">
        <v>60000</v>
      </c>
      <c r="J12" s="13">
        <f t="shared" si="0"/>
        <v>40</v>
      </c>
      <c r="K12" s="12">
        <v>132825</v>
      </c>
      <c r="L12" s="12">
        <f>H12-105868</f>
        <v>44132</v>
      </c>
      <c r="M12" s="12">
        <v>26957</v>
      </c>
      <c r="N12" s="66">
        <f t="shared" si="1"/>
        <v>0.17971333333333334</v>
      </c>
      <c r="O12" s="14">
        <v>125.37</v>
      </c>
      <c r="P12" s="15">
        <v>131</v>
      </c>
      <c r="Q12" s="16">
        <v>0.36099999999999999</v>
      </c>
      <c r="R12" s="16">
        <v>0.36099999999999999</v>
      </c>
      <c r="S12" s="12">
        <f t="shared" si="2"/>
        <v>352.01403844619927</v>
      </c>
      <c r="T12" s="12">
        <f t="shared" si="3"/>
        <v>122249.30747922439</v>
      </c>
      <c r="U12" s="17">
        <f t="shared" si="4"/>
        <v>2.8064579311116709</v>
      </c>
      <c r="V12" s="16">
        <v>120</v>
      </c>
      <c r="W12" s="16">
        <f t="shared" si="5"/>
        <v>30000</v>
      </c>
      <c r="X12" s="16">
        <f t="shared" si="6"/>
        <v>250</v>
      </c>
      <c r="Y12" s="18" t="s">
        <v>370</v>
      </c>
      <c r="Z12" s="10" t="s">
        <v>35</v>
      </c>
      <c r="AA12" s="10" t="s">
        <v>35</v>
      </c>
      <c r="AB12" s="10" t="s">
        <v>215</v>
      </c>
      <c r="AC12" s="10">
        <v>0</v>
      </c>
      <c r="AD12" s="10">
        <v>1</v>
      </c>
      <c r="AE12" s="10" t="s">
        <v>37</v>
      </c>
      <c r="AF12" s="10" t="s">
        <v>35</v>
      </c>
      <c r="AG12" s="10" t="s">
        <v>38</v>
      </c>
      <c r="AH12" s="10" t="s">
        <v>217</v>
      </c>
    </row>
    <row r="13" spans="1:34" x14ac:dyDescent="0.3">
      <c r="A13" s="74" t="s">
        <v>215</v>
      </c>
      <c r="B13" s="10" t="s">
        <v>391</v>
      </c>
      <c r="C13" s="10" t="s">
        <v>392</v>
      </c>
      <c r="D13" s="11">
        <v>45082</v>
      </c>
      <c r="E13" s="12">
        <v>120000</v>
      </c>
      <c r="F13" s="10" t="s">
        <v>81</v>
      </c>
      <c r="G13" s="10" t="s">
        <v>33</v>
      </c>
      <c r="H13" s="12">
        <v>120000</v>
      </c>
      <c r="I13" s="12">
        <v>40600</v>
      </c>
      <c r="J13" s="13">
        <f t="shared" si="0"/>
        <v>33.833333333333329</v>
      </c>
      <c r="K13" s="12">
        <v>113409</v>
      </c>
      <c r="L13" s="12">
        <f>H13-104738</f>
        <v>15262</v>
      </c>
      <c r="M13" s="12">
        <v>8671</v>
      </c>
      <c r="N13" s="66">
        <f t="shared" si="1"/>
        <v>7.2258333333333327E-2</v>
      </c>
      <c r="O13" s="14">
        <v>40.33</v>
      </c>
      <c r="P13" s="15">
        <v>122</v>
      </c>
      <c r="Q13" s="16">
        <v>0.112</v>
      </c>
      <c r="R13" s="16">
        <v>0.112</v>
      </c>
      <c r="S13" s="12">
        <f t="shared" si="2"/>
        <v>378.42796925365735</v>
      </c>
      <c r="T13" s="12">
        <f t="shared" si="3"/>
        <v>136267.85714285713</v>
      </c>
      <c r="U13" s="17">
        <f t="shared" si="4"/>
        <v>3.1282795487340938</v>
      </c>
      <c r="V13" s="16">
        <v>40</v>
      </c>
      <c r="W13" s="16">
        <f t="shared" si="5"/>
        <v>24000</v>
      </c>
      <c r="X13" s="16">
        <f t="shared" si="6"/>
        <v>600</v>
      </c>
      <c r="Y13" s="18" t="s">
        <v>370</v>
      </c>
      <c r="Z13" s="10" t="s">
        <v>35</v>
      </c>
      <c r="AA13" s="10" t="s">
        <v>35</v>
      </c>
      <c r="AB13" s="10" t="s">
        <v>215</v>
      </c>
      <c r="AC13" s="10">
        <v>0</v>
      </c>
      <c r="AD13" s="10">
        <v>1</v>
      </c>
      <c r="AE13" s="10" t="s">
        <v>37</v>
      </c>
      <c r="AF13" s="10" t="s">
        <v>43</v>
      </c>
      <c r="AG13" s="10" t="s">
        <v>38</v>
      </c>
      <c r="AH13" s="10" t="s">
        <v>217</v>
      </c>
    </row>
    <row r="14" spans="1:34" x14ac:dyDescent="0.3">
      <c r="A14" s="74" t="s">
        <v>215</v>
      </c>
      <c r="B14" s="10" t="s">
        <v>245</v>
      </c>
      <c r="C14" s="10" t="s">
        <v>246</v>
      </c>
      <c r="D14" s="11">
        <v>45084</v>
      </c>
      <c r="E14" s="12">
        <v>147000</v>
      </c>
      <c r="F14" s="10" t="s">
        <v>32</v>
      </c>
      <c r="G14" s="10" t="s">
        <v>33</v>
      </c>
      <c r="H14" s="12">
        <v>147000</v>
      </c>
      <c r="I14" s="12">
        <v>56600</v>
      </c>
      <c r="J14" s="13">
        <f t="shared" si="0"/>
        <v>38.503401360544217</v>
      </c>
      <c r="K14" s="12">
        <v>140226</v>
      </c>
      <c r="L14" s="12">
        <f>H14-131994</f>
        <v>15006</v>
      </c>
      <c r="M14" s="12">
        <v>8232</v>
      </c>
      <c r="N14" s="66">
        <f t="shared" si="1"/>
        <v>5.6000000000000001E-2</v>
      </c>
      <c r="O14" s="14">
        <v>38.28</v>
      </c>
      <c r="P14" s="15">
        <v>107.86</v>
      </c>
      <c r="Q14" s="16">
        <v>0.1</v>
      </c>
      <c r="R14" s="16">
        <v>0.1</v>
      </c>
      <c r="S14" s="12">
        <f t="shared" si="2"/>
        <v>392.00626959247649</v>
      </c>
      <c r="T14" s="12">
        <f t="shared" si="3"/>
        <v>150060</v>
      </c>
      <c r="U14" s="17">
        <f t="shared" si="4"/>
        <v>3.4449035812672175</v>
      </c>
      <c r="V14" s="16">
        <v>40.57</v>
      </c>
      <c r="W14" s="16">
        <f t="shared" si="5"/>
        <v>29400</v>
      </c>
      <c r="X14" s="16">
        <f t="shared" si="6"/>
        <v>724.6734039930983</v>
      </c>
      <c r="Y14" s="18" t="s">
        <v>191</v>
      </c>
      <c r="Z14" s="10" t="s">
        <v>35</v>
      </c>
      <c r="AA14" s="10" t="s">
        <v>35</v>
      </c>
      <c r="AB14" s="10" t="s">
        <v>215</v>
      </c>
      <c r="AC14" s="10">
        <v>0</v>
      </c>
      <c r="AD14" s="10">
        <v>1</v>
      </c>
      <c r="AE14" s="10" t="s">
        <v>37</v>
      </c>
      <c r="AF14" s="10" t="s">
        <v>43</v>
      </c>
      <c r="AG14" s="10" t="s">
        <v>38</v>
      </c>
      <c r="AH14" s="10" t="s">
        <v>217</v>
      </c>
    </row>
    <row r="15" spans="1:34" x14ac:dyDescent="0.3">
      <c r="A15" s="74" t="s">
        <v>215</v>
      </c>
      <c r="B15" s="10" t="s">
        <v>368</v>
      </c>
      <c r="C15" s="10" t="s">
        <v>369</v>
      </c>
      <c r="D15" s="11">
        <v>45282</v>
      </c>
      <c r="E15" s="12">
        <v>142500</v>
      </c>
      <c r="F15" s="10" t="s">
        <v>32</v>
      </c>
      <c r="G15" s="10" t="s">
        <v>33</v>
      </c>
      <c r="H15" s="12">
        <v>142500</v>
      </c>
      <c r="I15" s="12">
        <v>47500</v>
      </c>
      <c r="J15" s="13">
        <f t="shared" si="0"/>
        <v>33.333333333333329</v>
      </c>
      <c r="K15" s="12">
        <v>131292</v>
      </c>
      <c r="L15" s="12">
        <f>H15-119516</f>
        <v>22984</v>
      </c>
      <c r="M15" s="12">
        <v>11776</v>
      </c>
      <c r="N15" s="66">
        <f t="shared" si="1"/>
        <v>8.2638596491228067E-2</v>
      </c>
      <c r="O15" s="14">
        <v>54.77</v>
      </c>
      <c r="P15" s="15">
        <v>100</v>
      </c>
      <c r="Q15" s="16">
        <v>0.13800000000000001</v>
      </c>
      <c r="R15" s="16">
        <v>0.13800000000000001</v>
      </c>
      <c r="S15" s="12">
        <f t="shared" si="2"/>
        <v>419.64579149169253</v>
      </c>
      <c r="T15" s="12">
        <f t="shared" si="3"/>
        <v>166550.72463768115</v>
      </c>
      <c r="U15" s="17">
        <f t="shared" si="4"/>
        <v>3.8234785270358391</v>
      </c>
      <c r="V15" s="16">
        <v>60</v>
      </c>
      <c r="W15" s="16">
        <f t="shared" si="5"/>
        <v>28500</v>
      </c>
      <c r="X15" s="16">
        <f t="shared" si="6"/>
        <v>475</v>
      </c>
      <c r="Y15" s="18" t="s">
        <v>370</v>
      </c>
      <c r="Z15" s="10" t="s">
        <v>35</v>
      </c>
      <c r="AA15" s="10" t="s">
        <v>35</v>
      </c>
      <c r="AB15" s="10" t="s">
        <v>215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217</v>
      </c>
    </row>
    <row r="16" spans="1:34" x14ac:dyDescent="0.3">
      <c r="A16" s="75" t="s">
        <v>215</v>
      </c>
      <c r="B16" s="19" t="s">
        <v>397</v>
      </c>
      <c r="C16" s="19" t="s">
        <v>398</v>
      </c>
      <c r="D16" s="20">
        <v>45562</v>
      </c>
      <c r="E16" s="21">
        <v>105000</v>
      </c>
      <c r="F16" s="19" t="s">
        <v>32</v>
      </c>
      <c r="G16" s="19" t="s">
        <v>33</v>
      </c>
      <c r="H16" s="21">
        <v>105000</v>
      </c>
      <c r="I16" s="21">
        <v>40800</v>
      </c>
      <c r="J16" s="22">
        <f t="shared" si="0"/>
        <v>38.857142857142854</v>
      </c>
      <c r="K16" s="21">
        <v>96153</v>
      </c>
      <c r="L16" s="21">
        <f>H16-87202</f>
        <v>17798</v>
      </c>
      <c r="M16" s="21">
        <v>8951</v>
      </c>
      <c r="N16" s="67">
        <f t="shared" si="1"/>
        <v>8.5247619047619044E-2</v>
      </c>
      <c r="O16" s="23">
        <v>41.63</v>
      </c>
      <c r="P16" s="24">
        <v>130</v>
      </c>
      <c r="Q16" s="25">
        <v>0.11899999999999999</v>
      </c>
      <c r="R16" s="25">
        <v>0.11899999999999999</v>
      </c>
      <c r="S16" s="21">
        <f t="shared" si="2"/>
        <v>427.52822483785729</v>
      </c>
      <c r="T16" s="21">
        <f t="shared" si="3"/>
        <v>149563.02521008404</v>
      </c>
      <c r="U16" s="26">
        <f t="shared" si="4"/>
        <v>3.4334946099651984</v>
      </c>
      <c r="V16" s="25">
        <v>40</v>
      </c>
      <c r="W16" s="25">
        <f t="shared" si="5"/>
        <v>21000</v>
      </c>
      <c r="X16" s="25">
        <f t="shared" si="6"/>
        <v>525</v>
      </c>
      <c r="Y16" s="27" t="s">
        <v>370</v>
      </c>
      <c r="Z16" s="19" t="s">
        <v>35</v>
      </c>
      <c r="AA16" s="19" t="s">
        <v>35</v>
      </c>
      <c r="AB16" s="19" t="s">
        <v>215</v>
      </c>
      <c r="AC16" s="19">
        <v>0</v>
      </c>
      <c r="AD16" s="19">
        <v>1</v>
      </c>
      <c r="AE16" s="19" t="s">
        <v>42</v>
      </c>
      <c r="AF16" s="19" t="s">
        <v>43</v>
      </c>
      <c r="AG16" s="19" t="s">
        <v>38</v>
      </c>
      <c r="AH16" s="19" t="s">
        <v>217</v>
      </c>
    </row>
    <row r="17" spans="1:34" x14ac:dyDescent="0.3">
      <c r="A17" s="74" t="s">
        <v>215</v>
      </c>
      <c r="B17" s="10" t="s">
        <v>253</v>
      </c>
      <c r="C17" s="10" t="s">
        <v>254</v>
      </c>
      <c r="D17" s="11">
        <v>45149</v>
      </c>
      <c r="E17" s="12">
        <v>148000</v>
      </c>
      <c r="F17" s="10" t="s">
        <v>32</v>
      </c>
      <c r="G17" s="10" t="s">
        <v>33</v>
      </c>
      <c r="H17" s="12">
        <v>148000</v>
      </c>
      <c r="I17" s="12">
        <v>52400</v>
      </c>
      <c r="J17" s="13">
        <f t="shared" si="0"/>
        <v>35.405405405405403</v>
      </c>
      <c r="K17" s="12">
        <v>137927</v>
      </c>
      <c r="L17" s="12">
        <f>H17-129626</f>
        <v>18374</v>
      </c>
      <c r="M17" s="12">
        <v>8301</v>
      </c>
      <c r="N17" s="66">
        <f t="shared" si="1"/>
        <v>5.6087837837837835E-2</v>
      </c>
      <c r="O17" s="14">
        <v>38.6</v>
      </c>
      <c r="P17" s="15">
        <v>111.8</v>
      </c>
      <c r="Q17" s="16">
        <v>0.10299999999999999</v>
      </c>
      <c r="R17" s="16">
        <v>0.10299999999999999</v>
      </c>
      <c r="S17" s="12">
        <f t="shared" si="2"/>
        <v>476.01036269430051</v>
      </c>
      <c r="T17" s="12">
        <f t="shared" si="3"/>
        <v>178388.3495145631</v>
      </c>
      <c r="U17" s="17">
        <f t="shared" si="4"/>
        <v>4.0952330007934599</v>
      </c>
      <c r="V17" s="16">
        <v>40</v>
      </c>
      <c r="W17" s="16">
        <f t="shared" si="5"/>
        <v>29600</v>
      </c>
      <c r="X17" s="16">
        <f t="shared" si="6"/>
        <v>740</v>
      </c>
      <c r="Y17" s="18" t="s">
        <v>191</v>
      </c>
      <c r="Z17" s="10" t="s">
        <v>35</v>
      </c>
      <c r="AA17" s="10" t="s">
        <v>35</v>
      </c>
      <c r="AB17" s="10" t="s">
        <v>215</v>
      </c>
      <c r="AC17" s="10">
        <v>0</v>
      </c>
      <c r="AD17" s="10">
        <v>1</v>
      </c>
      <c r="AE17" s="10" t="s">
        <v>37</v>
      </c>
      <c r="AF17" s="10" t="s">
        <v>43</v>
      </c>
      <c r="AG17" s="10" t="s">
        <v>38</v>
      </c>
      <c r="AH17" s="10" t="s">
        <v>217</v>
      </c>
    </row>
    <row r="18" spans="1:34" x14ac:dyDescent="0.3">
      <c r="A18" s="74" t="s">
        <v>215</v>
      </c>
      <c r="B18" s="10" t="s">
        <v>238</v>
      </c>
      <c r="C18" s="10" t="s">
        <v>239</v>
      </c>
      <c r="D18" s="11">
        <v>45356</v>
      </c>
      <c r="E18" s="12">
        <v>130000</v>
      </c>
      <c r="F18" s="10" t="s">
        <v>32</v>
      </c>
      <c r="G18" s="10" t="s">
        <v>33</v>
      </c>
      <c r="H18" s="12">
        <v>130000</v>
      </c>
      <c r="I18" s="12">
        <v>44700</v>
      </c>
      <c r="J18" s="13">
        <f t="shared" si="0"/>
        <v>34.384615384615387</v>
      </c>
      <c r="K18" s="12">
        <v>118628</v>
      </c>
      <c r="L18" s="12">
        <f>H18-109851</f>
        <v>20149</v>
      </c>
      <c r="M18" s="12">
        <v>8777</v>
      </c>
      <c r="N18" s="66">
        <f t="shared" si="1"/>
        <v>6.7515384615384616E-2</v>
      </c>
      <c r="O18" s="14">
        <v>40.82</v>
      </c>
      <c r="P18" s="15">
        <v>125</v>
      </c>
      <c r="Q18" s="16">
        <v>0.115</v>
      </c>
      <c r="R18" s="16">
        <v>0.115</v>
      </c>
      <c r="S18" s="12">
        <f t="shared" si="2"/>
        <v>493.6060754532092</v>
      </c>
      <c r="T18" s="12">
        <f t="shared" si="3"/>
        <v>175208.69565217392</v>
      </c>
      <c r="U18" s="17">
        <f t="shared" si="4"/>
        <v>4.0222381921986665</v>
      </c>
      <c r="V18" s="16">
        <v>40</v>
      </c>
      <c r="W18" s="16">
        <f t="shared" si="5"/>
        <v>26000</v>
      </c>
      <c r="X18" s="16">
        <f t="shared" si="6"/>
        <v>650</v>
      </c>
      <c r="Y18" s="18" t="s">
        <v>191</v>
      </c>
      <c r="Z18" s="10" t="s">
        <v>35</v>
      </c>
      <c r="AA18" s="10" t="s">
        <v>35</v>
      </c>
      <c r="AB18" s="10" t="s">
        <v>215</v>
      </c>
      <c r="AC18" s="10">
        <v>0</v>
      </c>
      <c r="AD18" s="10">
        <v>1</v>
      </c>
      <c r="AE18" s="10" t="s">
        <v>37</v>
      </c>
      <c r="AF18" s="10" t="s">
        <v>43</v>
      </c>
      <c r="AG18" s="10" t="s">
        <v>38</v>
      </c>
      <c r="AH18" s="10" t="s">
        <v>217</v>
      </c>
    </row>
    <row r="19" spans="1:34" x14ac:dyDescent="0.3">
      <c r="A19" s="75" t="s">
        <v>215</v>
      </c>
      <c r="B19" s="19" t="s">
        <v>395</v>
      </c>
      <c r="C19" s="19" t="s">
        <v>396</v>
      </c>
      <c r="D19" s="20">
        <v>45215</v>
      </c>
      <c r="E19" s="21">
        <v>114900</v>
      </c>
      <c r="F19" s="19" t="s">
        <v>81</v>
      </c>
      <c r="G19" s="19" t="s">
        <v>33</v>
      </c>
      <c r="H19" s="21">
        <v>114900</v>
      </c>
      <c r="I19" s="21">
        <v>36400</v>
      </c>
      <c r="J19" s="22">
        <f t="shared" si="0"/>
        <v>31.679721496953871</v>
      </c>
      <c r="K19" s="21">
        <v>101568</v>
      </c>
      <c r="L19" s="21">
        <f>H19-92932</f>
        <v>21968</v>
      </c>
      <c r="M19" s="21">
        <v>8636</v>
      </c>
      <c r="N19" s="67">
        <f t="shared" si="1"/>
        <v>7.5161009573542215E-2</v>
      </c>
      <c r="O19" s="23">
        <v>40.159999999999997</v>
      </c>
      <c r="P19" s="24">
        <v>121</v>
      </c>
      <c r="Q19" s="25">
        <v>0.111</v>
      </c>
      <c r="R19" s="25">
        <v>0.111</v>
      </c>
      <c r="S19" s="21">
        <f t="shared" si="2"/>
        <v>547.01195219123508</v>
      </c>
      <c r="T19" s="21">
        <f t="shared" si="3"/>
        <v>197909.90990990991</v>
      </c>
      <c r="U19" s="26">
        <f t="shared" si="4"/>
        <v>4.5433863615681798</v>
      </c>
      <c r="V19" s="25">
        <v>40</v>
      </c>
      <c r="W19" s="25">
        <f t="shared" si="5"/>
        <v>22980</v>
      </c>
      <c r="X19" s="25">
        <f t="shared" si="6"/>
        <v>574.5</v>
      </c>
      <c r="Y19" s="27" t="s">
        <v>370</v>
      </c>
      <c r="Z19" s="19" t="s">
        <v>35</v>
      </c>
      <c r="AA19" s="19" t="s">
        <v>35</v>
      </c>
      <c r="AB19" s="19" t="s">
        <v>215</v>
      </c>
      <c r="AC19" s="19">
        <v>0</v>
      </c>
      <c r="AD19" s="19">
        <v>1</v>
      </c>
      <c r="AE19" s="19" t="s">
        <v>37</v>
      </c>
      <c r="AF19" s="19" t="s">
        <v>43</v>
      </c>
      <c r="AG19" s="19" t="s">
        <v>38</v>
      </c>
      <c r="AH19" s="19" t="s">
        <v>217</v>
      </c>
    </row>
    <row r="20" spans="1:34" x14ac:dyDescent="0.3">
      <c r="A20" s="74" t="s">
        <v>215</v>
      </c>
      <c r="B20" s="10" t="s">
        <v>228</v>
      </c>
      <c r="C20" s="10" t="s">
        <v>229</v>
      </c>
      <c r="D20" s="11">
        <v>45268</v>
      </c>
      <c r="E20" s="12">
        <v>162000</v>
      </c>
      <c r="F20" s="10" t="s">
        <v>32</v>
      </c>
      <c r="G20" s="10" t="s">
        <v>33</v>
      </c>
      <c r="H20" s="12">
        <v>162000</v>
      </c>
      <c r="I20" s="12">
        <v>58800</v>
      </c>
      <c r="J20" s="13">
        <f t="shared" si="0"/>
        <v>36.296296296296298</v>
      </c>
      <c r="K20" s="12">
        <v>148615</v>
      </c>
      <c r="L20" s="12">
        <f>H20-140196</f>
        <v>21804</v>
      </c>
      <c r="M20" s="12">
        <v>8419</v>
      </c>
      <c r="N20" s="66">
        <f t="shared" si="1"/>
        <v>5.1969135802469132E-2</v>
      </c>
      <c r="O20" s="14">
        <v>39.15</v>
      </c>
      <c r="P20" s="15">
        <v>115</v>
      </c>
      <c r="Q20" s="16">
        <v>0.106</v>
      </c>
      <c r="R20" s="16">
        <v>0.106</v>
      </c>
      <c r="S20" s="12">
        <f t="shared" si="2"/>
        <v>556.93486590038322</v>
      </c>
      <c r="T20" s="12">
        <f t="shared" si="3"/>
        <v>205698.11320754717</v>
      </c>
      <c r="U20" s="17">
        <f t="shared" si="4"/>
        <v>4.7221789074276206</v>
      </c>
      <c r="V20" s="16">
        <v>40</v>
      </c>
      <c r="W20" s="16">
        <f t="shared" si="5"/>
        <v>32400</v>
      </c>
      <c r="X20" s="16">
        <f t="shared" si="6"/>
        <v>810</v>
      </c>
      <c r="Y20" s="18" t="s">
        <v>191</v>
      </c>
      <c r="Z20" s="10" t="s">
        <v>35</v>
      </c>
      <c r="AA20" s="10" t="s">
        <v>35</v>
      </c>
      <c r="AB20" s="10" t="s">
        <v>215</v>
      </c>
      <c r="AC20" s="10">
        <v>0</v>
      </c>
      <c r="AD20" s="10">
        <v>1</v>
      </c>
      <c r="AE20" s="10" t="s">
        <v>42</v>
      </c>
      <c r="AF20" s="10" t="s">
        <v>43</v>
      </c>
      <c r="AG20" s="10" t="s">
        <v>38</v>
      </c>
      <c r="AH20" s="10" t="s">
        <v>217</v>
      </c>
    </row>
    <row r="21" spans="1:34" x14ac:dyDescent="0.3">
      <c r="A21" s="75" t="s">
        <v>215</v>
      </c>
      <c r="B21" s="19" t="s">
        <v>405</v>
      </c>
      <c r="C21" s="19" t="s">
        <v>406</v>
      </c>
      <c r="D21" s="20">
        <v>45673</v>
      </c>
      <c r="E21" s="21">
        <v>178700</v>
      </c>
      <c r="F21" s="19" t="s">
        <v>32</v>
      </c>
      <c r="G21" s="19" t="s">
        <v>33</v>
      </c>
      <c r="H21" s="21">
        <v>178700</v>
      </c>
      <c r="I21" s="21">
        <v>58200</v>
      </c>
      <c r="J21" s="22">
        <f t="shared" si="0"/>
        <v>32.568550643536653</v>
      </c>
      <c r="K21" s="21">
        <v>138003</v>
      </c>
      <c r="L21" s="21">
        <f>H21-120803</f>
        <v>57897</v>
      </c>
      <c r="M21" s="21">
        <v>17200</v>
      </c>
      <c r="N21" s="67">
        <f t="shared" si="1"/>
        <v>9.6250699496362613E-2</v>
      </c>
      <c r="O21" s="23">
        <v>80</v>
      </c>
      <c r="P21" s="24">
        <v>120</v>
      </c>
      <c r="Q21" s="25">
        <v>0.22</v>
      </c>
      <c r="R21" s="25">
        <v>0.22</v>
      </c>
      <c r="S21" s="21">
        <f t="shared" si="2"/>
        <v>723.71249999999998</v>
      </c>
      <c r="T21" s="21">
        <f t="shared" si="3"/>
        <v>263168.18181818182</v>
      </c>
      <c r="U21" s="26">
        <f t="shared" si="4"/>
        <v>6.0415101427498126</v>
      </c>
      <c r="V21" s="25">
        <v>80</v>
      </c>
      <c r="W21" s="25">
        <f t="shared" si="5"/>
        <v>35740</v>
      </c>
      <c r="X21" s="25">
        <f t="shared" si="6"/>
        <v>446.75</v>
      </c>
      <c r="Y21" s="27" t="s">
        <v>370</v>
      </c>
      <c r="Z21" s="19" t="s">
        <v>35</v>
      </c>
      <c r="AA21" s="19" t="s">
        <v>35</v>
      </c>
      <c r="AB21" s="19" t="s">
        <v>215</v>
      </c>
      <c r="AC21" s="19">
        <v>0</v>
      </c>
      <c r="AD21" s="19">
        <v>1</v>
      </c>
      <c r="AE21" s="19" t="s">
        <v>37</v>
      </c>
      <c r="AF21" s="19" t="s">
        <v>35</v>
      </c>
      <c r="AG21" s="19" t="s">
        <v>38</v>
      </c>
      <c r="AH21" s="19" t="s">
        <v>217</v>
      </c>
    </row>
    <row r="22" spans="1:34" x14ac:dyDescent="0.3">
      <c r="A22" s="74" t="s">
        <v>215</v>
      </c>
      <c r="B22" s="10" t="s">
        <v>377</v>
      </c>
      <c r="C22" s="10" t="s">
        <v>378</v>
      </c>
      <c r="D22" s="11">
        <v>45740</v>
      </c>
      <c r="E22" s="12">
        <v>158000</v>
      </c>
      <c r="F22" s="10" t="s">
        <v>32</v>
      </c>
      <c r="G22" s="10" t="s">
        <v>33</v>
      </c>
      <c r="H22" s="12">
        <v>158000</v>
      </c>
      <c r="I22" s="12">
        <v>60000</v>
      </c>
      <c r="J22" s="13">
        <f t="shared" si="0"/>
        <v>37.974683544303801</v>
      </c>
      <c r="K22" s="12">
        <v>136588</v>
      </c>
      <c r="L22" s="12">
        <f>H22-127917</f>
        <v>30083</v>
      </c>
      <c r="M22" s="12">
        <v>8671</v>
      </c>
      <c r="N22" s="66">
        <f t="shared" si="1"/>
        <v>5.4879746835443041E-2</v>
      </c>
      <c r="O22" s="14">
        <v>40.33</v>
      </c>
      <c r="P22" s="15">
        <v>122</v>
      </c>
      <c r="Q22" s="16">
        <v>0.112</v>
      </c>
      <c r="R22" s="16">
        <v>0.112</v>
      </c>
      <c r="S22" s="12">
        <f t="shared" si="2"/>
        <v>745.92115050830648</v>
      </c>
      <c r="T22" s="12">
        <f t="shared" si="3"/>
        <v>268598.21428571426</v>
      </c>
      <c r="U22" s="17">
        <f t="shared" si="4"/>
        <v>6.1661665354847166</v>
      </c>
      <c r="V22" s="16">
        <v>40</v>
      </c>
      <c r="W22" s="16">
        <f t="shared" si="5"/>
        <v>31600</v>
      </c>
      <c r="X22" s="16">
        <f t="shared" si="6"/>
        <v>790</v>
      </c>
      <c r="Y22" s="18" t="s">
        <v>370</v>
      </c>
      <c r="Z22" s="10" t="s">
        <v>35</v>
      </c>
      <c r="AA22" s="10" t="s">
        <v>35</v>
      </c>
      <c r="AB22" s="10" t="s">
        <v>215</v>
      </c>
      <c r="AC22" s="10">
        <v>0</v>
      </c>
      <c r="AD22" s="10">
        <v>1</v>
      </c>
      <c r="AE22" s="10" t="s">
        <v>42</v>
      </c>
      <c r="AF22" s="10" t="s">
        <v>35</v>
      </c>
      <c r="AG22" s="10" t="s">
        <v>38</v>
      </c>
      <c r="AH22" s="10" t="s">
        <v>217</v>
      </c>
    </row>
    <row r="23" spans="1:34" x14ac:dyDescent="0.3">
      <c r="A23" s="75" t="s">
        <v>215</v>
      </c>
      <c r="B23" s="19" t="s">
        <v>234</v>
      </c>
      <c r="C23" s="19" t="s">
        <v>235</v>
      </c>
      <c r="D23" s="20">
        <v>45239</v>
      </c>
      <c r="E23" s="21">
        <v>158000</v>
      </c>
      <c r="F23" s="19" t="s">
        <v>32</v>
      </c>
      <c r="G23" s="19" t="s">
        <v>33</v>
      </c>
      <c r="H23" s="21">
        <v>158000</v>
      </c>
      <c r="I23" s="21">
        <v>51700</v>
      </c>
      <c r="J23" s="22">
        <f t="shared" si="0"/>
        <v>32.721518987341774</v>
      </c>
      <c r="K23" s="21">
        <v>136183</v>
      </c>
      <c r="L23" s="21">
        <f>H23-127583</f>
        <v>30417</v>
      </c>
      <c r="M23" s="21">
        <v>8600</v>
      </c>
      <c r="N23" s="67">
        <f t="shared" si="1"/>
        <v>5.4430379746835442E-2</v>
      </c>
      <c r="O23" s="23">
        <v>40</v>
      </c>
      <c r="P23" s="24">
        <v>120</v>
      </c>
      <c r="Q23" s="25">
        <v>0.11</v>
      </c>
      <c r="R23" s="25">
        <v>0.11</v>
      </c>
      <c r="S23" s="21">
        <f t="shared" si="2"/>
        <v>760.42499999999995</v>
      </c>
      <c r="T23" s="21">
        <f t="shared" si="3"/>
        <v>276518.18181818182</v>
      </c>
      <c r="U23" s="26">
        <f t="shared" si="4"/>
        <v>6.3479839719509146</v>
      </c>
      <c r="V23" s="25">
        <v>40</v>
      </c>
      <c r="W23" s="25">
        <f t="shared" si="5"/>
        <v>31600</v>
      </c>
      <c r="X23" s="25">
        <f t="shared" si="6"/>
        <v>790</v>
      </c>
      <c r="Y23" s="27" t="s">
        <v>191</v>
      </c>
      <c r="Z23" s="19" t="s">
        <v>35</v>
      </c>
      <c r="AA23" s="19" t="s">
        <v>35</v>
      </c>
      <c r="AB23" s="19" t="s">
        <v>215</v>
      </c>
      <c r="AC23" s="19">
        <v>0</v>
      </c>
      <c r="AD23" s="19">
        <v>1</v>
      </c>
      <c r="AE23" s="19" t="s">
        <v>37</v>
      </c>
      <c r="AF23" s="19" t="s">
        <v>43</v>
      </c>
      <c r="AG23" s="19" t="s">
        <v>38</v>
      </c>
      <c r="AH23" s="19" t="s">
        <v>217</v>
      </c>
    </row>
    <row r="24" spans="1:34" x14ac:dyDescent="0.3">
      <c r="A24" s="74" t="s">
        <v>215</v>
      </c>
      <c r="B24" s="10" t="s">
        <v>222</v>
      </c>
      <c r="C24" s="10" t="s">
        <v>223</v>
      </c>
      <c r="D24" s="11">
        <v>45170</v>
      </c>
      <c r="E24" s="12">
        <v>150000</v>
      </c>
      <c r="F24" s="10" t="s">
        <v>32</v>
      </c>
      <c r="G24" s="10" t="s">
        <v>33</v>
      </c>
      <c r="H24" s="12">
        <v>150000</v>
      </c>
      <c r="I24" s="12">
        <v>48000</v>
      </c>
      <c r="J24" s="13">
        <f t="shared" si="0"/>
        <v>32</v>
      </c>
      <c r="K24" s="12">
        <v>126938</v>
      </c>
      <c r="L24" s="12">
        <f>H24-118338</f>
        <v>31662</v>
      </c>
      <c r="M24" s="12">
        <v>8600</v>
      </c>
      <c r="N24" s="66">
        <f t="shared" si="1"/>
        <v>5.7333333333333333E-2</v>
      </c>
      <c r="O24" s="14">
        <v>40</v>
      </c>
      <c r="P24" s="15">
        <v>120</v>
      </c>
      <c r="Q24" s="16">
        <v>0.11</v>
      </c>
      <c r="R24" s="16">
        <v>0.11</v>
      </c>
      <c r="S24" s="12">
        <f t="shared" si="2"/>
        <v>791.55</v>
      </c>
      <c r="T24" s="12">
        <f t="shared" si="3"/>
        <v>287836.36363636365</v>
      </c>
      <c r="U24" s="17">
        <f t="shared" si="4"/>
        <v>6.6078136739293765</v>
      </c>
      <c r="V24" s="16">
        <v>40</v>
      </c>
      <c r="W24" s="16">
        <f t="shared" si="5"/>
        <v>30000</v>
      </c>
      <c r="X24" s="16">
        <f t="shared" si="6"/>
        <v>750</v>
      </c>
      <c r="Y24" s="18" t="s">
        <v>191</v>
      </c>
      <c r="Z24" s="10" t="s">
        <v>35</v>
      </c>
      <c r="AA24" s="10" t="s">
        <v>35</v>
      </c>
      <c r="AB24" s="10" t="s">
        <v>215</v>
      </c>
      <c r="AC24" s="10">
        <v>0</v>
      </c>
      <c r="AD24" s="10">
        <v>1</v>
      </c>
      <c r="AE24" s="10" t="s">
        <v>37</v>
      </c>
      <c r="AF24" s="10" t="s">
        <v>43</v>
      </c>
      <c r="AG24" s="10" t="s">
        <v>38</v>
      </c>
      <c r="AH24" s="10" t="s">
        <v>217</v>
      </c>
    </row>
    <row r="25" spans="1:34" x14ac:dyDescent="0.3">
      <c r="A25" s="74" t="s">
        <v>215</v>
      </c>
      <c r="B25" s="10" t="s">
        <v>401</v>
      </c>
      <c r="C25" s="10" t="s">
        <v>402</v>
      </c>
      <c r="D25" s="11">
        <v>45511</v>
      </c>
      <c r="E25" s="12">
        <v>115000</v>
      </c>
      <c r="F25" s="10" t="s">
        <v>32</v>
      </c>
      <c r="G25" s="10" t="s">
        <v>33</v>
      </c>
      <c r="H25" s="12">
        <v>115000</v>
      </c>
      <c r="I25" s="12">
        <v>37200</v>
      </c>
      <c r="J25" s="13">
        <f t="shared" si="0"/>
        <v>32.347826086956523</v>
      </c>
      <c r="K25" s="12">
        <v>88672</v>
      </c>
      <c r="L25" s="12">
        <f>H25-79721</f>
        <v>35279</v>
      </c>
      <c r="M25" s="12">
        <v>8951</v>
      </c>
      <c r="N25" s="66">
        <f t="shared" si="1"/>
        <v>7.7834782608695655E-2</v>
      </c>
      <c r="O25" s="14">
        <v>41.63</v>
      </c>
      <c r="P25" s="15">
        <v>130</v>
      </c>
      <c r="Q25" s="16">
        <v>0.11899999999999999</v>
      </c>
      <c r="R25" s="16">
        <v>0.11899999999999999</v>
      </c>
      <c r="S25" s="12">
        <f t="shared" si="2"/>
        <v>847.44174873889017</v>
      </c>
      <c r="T25" s="12">
        <f t="shared" si="3"/>
        <v>296462.18487394962</v>
      </c>
      <c r="U25" s="17">
        <f t="shared" si="4"/>
        <v>6.8058352817711114</v>
      </c>
      <c r="V25" s="16">
        <v>40</v>
      </c>
      <c r="W25" s="16">
        <f t="shared" si="5"/>
        <v>23000</v>
      </c>
      <c r="X25" s="16">
        <f t="shared" si="6"/>
        <v>575</v>
      </c>
      <c r="Y25" s="18" t="s">
        <v>370</v>
      </c>
      <c r="Z25" s="10" t="s">
        <v>35</v>
      </c>
      <c r="AA25" s="10" t="s">
        <v>35</v>
      </c>
      <c r="AB25" s="10" t="s">
        <v>215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217</v>
      </c>
    </row>
    <row r="26" spans="1:34" x14ac:dyDescent="0.3">
      <c r="A26" s="74" t="s">
        <v>215</v>
      </c>
      <c r="B26" s="10" t="s">
        <v>399</v>
      </c>
      <c r="C26" s="10" t="s">
        <v>400</v>
      </c>
      <c r="D26" s="11">
        <v>45582</v>
      </c>
      <c r="E26" s="12">
        <v>136000</v>
      </c>
      <c r="F26" s="10" t="s">
        <v>32</v>
      </c>
      <c r="G26" s="10" t="s">
        <v>33</v>
      </c>
      <c r="H26" s="12">
        <v>136000</v>
      </c>
      <c r="I26" s="12">
        <v>45400</v>
      </c>
      <c r="J26" s="13">
        <f t="shared" si="0"/>
        <v>33.382352941176471</v>
      </c>
      <c r="K26" s="12">
        <v>108029</v>
      </c>
      <c r="L26" s="12">
        <f>H26-99078</f>
        <v>36922</v>
      </c>
      <c r="M26" s="12">
        <v>8951</v>
      </c>
      <c r="N26" s="66">
        <f t="shared" si="1"/>
        <v>6.5816176470588239E-2</v>
      </c>
      <c r="O26" s="14">
        <v>41.63</v>
      </c>
      <c r="P26" s="15">
        <v>130</v>
      </c>
      <c r="Q26" s="16">
        <v>0.11899999999999999</v>
      </c>
      <c r="R26" s="16">
        <v>0.11899999999999999</v>
      </c>
      <c r="S26" s="12">
        <f t="shared" si="2"/>
        <v>886.90847946192639</v>
      </c>
      <c r="T26" s="12">
        <f t="shared" si="3"/>
        <v>310268.90756302525</v>
      </c>
      <c r="U26" s="17">
        <f t="shared" si="4"/>
        <v>7.122794021189744</v>
      </c>
      <c r="V26" s="16">
        <v>40</v>
      </c>
      <c r="W26" s="16">
        <f t="shared" si="5"/>
        <v>27200</v>
      </c>
      <c r="X26" s="16">
        <f t="shared" si="6"/>
        <v>680</v>
      </c>
      <c r="Y26" s="18" t="s">
        <v>370</v>
      </c>
      <c r="Z26" s="10" t="s">
        <v>35</v>
      </c>
      <c r="AA26" s="10" t="s">
        <v>35</v>
      </c>
      <c r="AB26" s="10" t="s">
        <v>215</v>
      </c>
      <c r="AC26" s="10">
        <v>0</v>
      </c>
      <c r="AD26" s="10">
        <v>1</v>
      </c>
      <c r="AE26" s="10" t="s">
        <v>37</v>
      </c>
      <c r="AF26" s="10" t="s">
        <v>35</v>
      </c>
      <c r="AG26" s="10" t="s">
        <v>38</v>
      </c>
      <c r="AH26" s="10" t="s">
        <v>217</v>
      </c>
    </row>
    <row r="27" spans="1:34" x14ac:dyDescent="0.3">
      <c r="A27" s="75" t="s">
        <v>215</v>
      </c>
      <c r="B27" s="19" t="s">
        <v>218</v>
      </c>
      <c r="C27" s="19" t="s">
        <v>219</v>
      </c>
      <c r="D27" s="20">
        <v>45544</v>
      </c>
      <c r="E27" s="21">
        <v>176000</v>
      </c>
      <c r="F27" s="19" t="s">
        <v>32</v>
      </c>
      <c r="G27" s="19" t="s">
        <v>33</v>
      </c>
      <c r="H27" s="21">
        <v>176000</v>
      </c>
      <c r="I27" s="21">
        <v>66100</v>
      </c>
      <c r="J27" s="22">
        <f t="shared" si="0"/>
        <v>37.55681818181818</v>
      </c>
      <c r="K27" s="21">
        <v>147690</v>
      </c>
      <c r="L27" s="21">
        <f>H27-138660</f>
        <v>37340</v>
      </c>
      <c r="M27" s="21">
        <v>9030</v>
      </c>
      <c r="N27" s="67">
        <f t="shared" si="1"/>
        <v>5.1306818181818183E-2</v>
      </c>
      <c r="O27" s="23">
        <v>42</v>
      </c>
      <c r="P27" s="24">
        <v>120</v>
      </c>
      <c r="Q27" s="25">
        <v>0.11600000000000001</v>
      </c>
      <c r="R27" s="25">
        <v>0.11600000000000001</v>
      </c>
      <c r="S27" s="21">
        <f t="shared" si="2"/>
        <v>889.04761904761904</v>
      </c>
      <c r="T27" s="21">
        <f t="shared" si="3"/>
        <v>321896.55172413791</v>
      </c>
      <c r="U27" s="26">
        <f t="shared" si="4"/>
        <v>7.3897280010132667</v>
      </c>
      <c r="V27" s="25">
        <v>42</v>
      </c>
      <c r="W27" s="25">
        <f t="shared" si="5"/>
        <v>35200</v>
      </c>
      <c r="X27" s="25">
        <f t="shared" si="6"/>
        <v>838.09523809523807</v>
      </c>
      <c r="Y27" s="27" t="s">
        <v>191</v>
      </c>
      <c r="Z27" s="19" t="s">
        <v>35</v>
      </c>
      <c r="AA27" s="19" t="s">
        <v>35</v>
      </c>
      <c r="AB27" s="19" t="s">
        <v>215</v>
      </c>
      <c r="AC27" s="19">
        <v>0</v>
      </c>
      <c r="AD27" s="19">
        <v>1</v>
      </c>
      <c r="AE27" s="19" t="s">
        <v>37</v>
      </c>
      <c r="AF27" s="19" t="s">
        <v>43</v>
      </c>
      <c r="AG27" s="19" t="s">
        <v>38</v>
      </c>
      <c r="AH27" s="19" t="s">
        <v>217</v>
      </c>
    </row>
    <row r="28" spans="1:34" x14ac:dyDescent="0.3">
      <c r="A28" s="74" t="s">
        <v>215</v>
      </c>
      <c r="B28" s="10" t="s">
        <v>230</v>
      </c>
      <c r="C28" s="10" t="s">
        <v>231</v>
      </c>
      <c r="D28" s="11">
        <v>45191</v>
      </c>
      <c r="E28" s="12">
        <v>167000</v>
      </c>
      <c r="F28" s="10" t="s">
        <v>32</v>
      </c>
      <c r="G28" s="10" t="s">
        <v>33</v>
      </c>
      <c r="H28" s="12">
        <v>167000</v>
      </c>
      <c r="I28" s="12">
        <v>54400</v>
      </c>
      <c r="J28" s="13">
        <f t="shared" si="0"/>
        <v>32.574850299401199</v>
      </c>
      <c r="K28" s="12">
        <v>137250</v>
      </c>
      <c r="L28" s="12">
        <f>H28-128831</f>
        <v>38169</v>
      </c>
      <c r="M28" s="12">
        <v>8419</v>
      </c>
      <c r="N28" s="66">
        <f t="shared" si="1"/>
        <v>5.0413173652694612E-2</v>
      </c>
      <c r="O28" s="14">
        <v>39.15</v>
      </c>
      <c r="P28" s="15">
        <v>115</v>
      </c>
      <c r="Q28" s="16">
        <v>0.106</v>
      </c>
      <c r="R28" s="16">
        <v>0.106</v>
      </c>
      <c r="S28" s="12">
        <f t="shared" si="2"/>
        <v>974.94252873563221</v>
      </c>
      <c r="T28" s="12">
        <f t="shared" si="3"/>
        <v>360084.90566037735</v>
      </c>
      <c r="U28" s="17">
        <f t="shared" si="4"/>
        <v>8.2664119756744103</v>
      </c>
      <c r="V28" s="16">
        <v>40</v>
      </c>
      <c r="W28" s="16">
        <f t="shared" si="5"/>
        <v>33400</v>
      </c>
      <c r="X28" s="16">
        <f t="shared" si="6"/>
        <v>835</v>
      </c>
      <c r="Y28" s="18" t="s">
        <v>191</v>
      </c>
      <c r="Z28" s="10" t="s">
        <v>35</v>
      </c>
      <c r="AA28" s="10" t="s">
        <v>35</v>
      </c>
      <c r="AB28" s="10" t="s">
        <v>215</v>
      </c>
      <c r="AC28" s="10">
        <v>0</v>
      </c>
      <c r="AD28" s="10">
        <v>1</v>
      </c>
      <c r="AE28" s="10" t="s">
        <v>37</v>
      </c>
      <c r="AF28" s="10" t="s">
        <v>43</v>
      </c>
      <c r="AG28" s="10" t="s">
        <v>38</v>
      </c>
      <c r="AH28" s="10" t="s">
        <v>217</v>
      </c>
    </row>
    <row r="29" spans="1:34" x14ac:dyDescent="0.3">
      <c r="A29" s="75" t="s">
        <v>215</v>
      </c>
      <c r="B29" s="19" t="s">
        <v>249</v>
      </c>
      <c r="C29" s="19" t="s">
        <v>250</v>
      </c>
      <c r="D29" s="20">
        <v>45463</v>
      </c>
      <c r="E29" s="21">
        <v>145000</v>
      </c>
      <c r="F29" s="19" t="s">
        <v>32</v>
      </c>
      <c r="G29" s="19" t="s">
        <v>33</v>
      </c>
      <c r="H29" s="21">
        <v>145000</v>
      </c>
      <c r="I29" s="21">
        <v>49200</v>
      </c>
      <c r="J29" s="22">
        <f t="shared" si="0"/>
        <v>33.931034482758619</v>
      </c>
      <c r="K29" s="21">
        <v>115484</v>
      </c>
      <c r="L29" s="21">
        <f>H29-107250</f>
        <v>37750</v>
      </c>
      <c r="M29" s="21">
        <v>8234</v>
      </c>
      <c r="N29" s="67">
        <f t="shared" si="1"/>
        <v>5.6786206896551727E-2</v>
      </c>
      <c r="O29" s="23">
        <v>38.29</v>
      </c>
      <c r="P29" s="24">
        <v>109.99</v>
      </c>
      <c r="Q29" s="25">
        <v>0.10100000000000001</v>
      </c>
      <c r="R29" s="25">
        <v>0.10100000000000001</v>
      </c>
      <c r="S29" s="21">
        <f t="shared" si="2"/>
        <v>985.89710107077565</v>
      </c>
      <c r="T29" s="21">
        <f t="shared" si="3"/>
        <v>373762.37623762374</v>
      </c>
      <c r="U29" s="26">
        <f t="shared" si="4"/>
        <v>8.5804034948949433</v>
      </c>
      <c r="V29" s="25">
        <v>40</v>
      </c>
      <c r="W29" s="25">
        <f t="shared" si="5"/>
        <v>29000</v>
      </c>
      <c r="X29" s="25">
        <f t="shared" si="6"/>
        <v>725</v>
      </c>
      <c r="Y29" s="27" t="s">
        <v>191</v>
      </c>
      <c r="Z29" s="19" t="s">
        <v>35</v>
      </c>
      <c r="AA29" s="19" t="s">
        <v>35</v>
      </c>
      <c r="AB29" s="19" t="s">
        <v>215</v>
      </c>
      <c r="AC29" s="19">
        <v>0</v>
      </c>
      <c r="AD29" s="19">
        <v>1</v>
      </c>
      <c r="AE29" s="19" t="s">
        <v>42</v>
      </c>
      <c r="AF29" s="19" t="s">
        <v>43</v>
      </c>
      <c r="AG29" s="19" t="s">
        <v>38</v>
      </c>
      <c r="AH29" s="19" t="s">
        <v>217</v>
      </c>
    </row>
    <row r="30" spans="1:34" x14ac:dyDescent="0.3">
      <c r="A30" s="75" t="s">
        <v>215</v>
      </c>
      <c r="B30" s="19" t="s">
        <v>403</v>
      </c>
      <c r="C30" s="19" t="s">
        <v>404</v>
      </c>
      <c r="D30" s="20">
        <v>45443</v>
      </c>
      <c r="E30" s="21">
        <v>155000</v>
      </c>
      <c r="F30" s="19" t="s">
        <v>32</v>
      </c>
      <c r="G30" s="19" t="s">
        <v>33</v>
      </c>
      <c r="H30" s="21">
        <v>155000</v>
      </c>
      <c r="I30" s="21">
        <v>49200</v>
      </c>
      <c r="J30" s="22">
        <f t="shared" si="0"/>
        <v>31.741935483870972</v>
      </c>
      <c r="K30" s="21">
        <v>116079</v>
      </c>
      <c r="L30" s="21">
        <f>H30-107128</f>
        <v>47872</v>
      </c>
      <c r="M30" s="21">
        <v>8951</v>
      </c>
      <c r="N30" s="67">
        <f t="shared" si="1"/>
        <v>5.7748387096774191E-2</v>
      </c>
      <c r="O30" s="23">
        <v>41.63</v>
      </c>
      <c r="P30" s="24">
        <v>130</v>
      </c>
      <c r="Q30" s="25">
        <v>0.11899999999999999</v>
      </c>
      <c r="R30" s="25">
        <v>0.11899999999999999</v>
      </c>
      <c r="S30" s="21">
        <f t="shared" si="2"/>
        <v>1149.939947153495</v>
      </c>
      <c r="T30" s="21">
        <f t="shared" si="3"/>
        <v>402285.71428571432</v>
      </c>
      <c r="U30" s="26">
        <f t="shared" si="4"/>
        <v>9.2352092352092363</v>
      </c>
      <c r="V30" s="25">
        <v>40</v>
      </c>
      <c r="W30" s="25">
        <f t="shared" si="5"/>
        <v>31000</v>
      </c>
      <c r="X30" s="25">
        <f t="shared" si="6"/>
        <v>775</v>
      </c>
      <c r="Y30" s="27" t="s">
        <v>370</v>
      </c>
      <c r="Z30" s="19" t="s">
        <v>35</v>
      </c>
      <c r="AA30" s="19" t="s">
        <v>35</v>
      </c>
      <c r="AB30" s="19" t="s">
        <v>215</v>
      </c>
      <c r="AC30" s="19">
        <v>0</v>
      </c>
      <c r="AD30" s="19">
        <v>1</v>
      </c>
      <c r="AE30" s="19" t="s">
        <v>42</v>
      </c>
      <c r="AF30" s="19" t="s">
        <v>43</v>
      </c>
      <c r="AG30" s="19" t="s">
        <v>38</v>
      </c>
      <c r="AH30" s="19" t="s">
        <v>217</v>
      </c>
    </row>
    <row r="31" spans="1:34" x14ac:dyDescent="0.3">
      <c r="A31" s="75" t="s">
        <v>215</v>
      </c>
      <c r="B31" s="19" t="s">
        <v>224</v>
      </c>
      <c r="C31" s="19" t="s">
        <v>225</v>
      </c>
      <c r="D31" s="20">
        <v>45672</v>
      </c>
      <c r="E31" s="21">
        <v>180000</v>
      </c>
      <c r="F31" s="19" t="s">
        <v>32</v>
      </c>
      <c r="G31" s="19" t="s">
        <v>33</v>
      </c>
      <c r="H31" s="21">
        <v>180000</v>
      </c>
      <c r="I31" s="21">
        <v>60300</v>
      </c>
      <c r="J31" s="22">
        <f t="shared" si="0"/>
        <v>33.5</v>
      </c>
      <c r="K31" s="21">
        <v>140302</v>
      </c>
      <c r="L31" s="21">
        <f>H31-131702</f>
        <v>48298</v>
      </c>
      <c r="M31" s="21">
        <v>8600</v>
      </c>
      <c r="N31" s="67">
        <f t="shared" si="1"/>
        <v>4.777777777777778E-2</v>
      </c>
      <c r="O31" s="23">
        <v>40</v>
      </c>
      <c r="P31" s="24">
        <v>120</v>
      </c>
      <c r="Q31" s="25">
        <v>0.11</v>
      </c>
      <c r="R31" s="25">
        <v>0.11</v>
      </c>
      <c r="S31" s="21">
        <f t="shared" si="2"/>
        <v>1207.45</v>
      </c>
      <c r="T31" s="21">
        <f t="shared" si="3"/>
        <v>439072.72727272729</v>
      </c>
      <c r="U31" s="26">
        <f t="shared" si="4"/>
        <v>10.079722848317891</v>
      </c>
      <c r="V31" s="25">
        <v>40</v>
      </c>
      <c r="W31" s="25">
        <f t="shared" si="5"/>
        <v>36000</v>
      </c>
      <c r="X31" s="25">
        <f t="shared" si="6"/>
        <v>900</v>
      </c>
      <c r="Y31" s="27" t="s">
        <v>191</v>
      </c>
      <c r="Z31" s="19" t="s">
        <v>35</v>
      </c>
      <c r="AA31" s="19" t="s">
        <v>35</v>
      </c>
      <c r="AB31" s="19" t="s">
        <v>215</v>
      </c>
      <c r="AC31" s="19">
        <v>0</v>
      </c>
      <c r="AD31" s="19">
        <v>1</v>
      </c>
      <c r="AE31" s="19" t="s">
        <v>37</v>
      </c>
      <c r="AF31" s="19" t="s">
        <v>35</v>
      </c>
      <c r="AG31" s="19" t="s">
        <v>38</v>
      </c>
      <c r="AH31" s="19" t="s">
        <v>217</v>
      </c>
    </row>
    <row r="32" spans="1:34" ht="15" thickBot="1" x14ac:dyDescent="0.35">
      <c r="A32" s="75" t="s">
        <v>215</v>
      </c>
      <c r="B32" s="19" t="s">
        <v>213</v>
      </c>
      <c r="C32" s="19" t="s">
        <v>214</v>
      </c>
      <c r="D32" s="20">
        <v>45191</v>
      </c>
      <c r="E32" s="21">
        <v>190000</v>
      </c>
      <c r="F32" s="19" t="s">
        <v>32</v>
      </c>
      <c r="G32" s="19" t="s">
        <v>33</v>
      </c>
      <c r="H32" s="21">
        <v>190000</v>
      </c>
      <c r="I32" s="21">
        <v>56800</v>
      </c>
      <c r="J32" s="22">
        <f t="shared" si="0"/>
        <v>29.894736842105264</v>
      </c>
      <c r="K32" s="21">
        <v>143434</v>
      </c>
      <c r="L32" s="21">
        <f>H32-134139</f>
        <v>55861</v>
      </c>
      <c r="M32" s="21">
        <v>9295</v>
      </c>
      <c r="N32" s="67">
        <f t="shared" si="1"/>
        <v>4.8921052631578948E-2</v>
      </c>
      <c r="O32" s="23">
        <v>43.23</v>
      </c>
      <c r="P32" s="24">
        <v>140.19</v>
      </c>
      <c r="Q32" s="25">
        <v>0.129</v>
      </c>
      <c r="R32" s="25">
        <v>0.129</v>
      </c>
      <c r="S32" s="21">
        <f t="shared" si="2"/>
        <v>1292.1813555401343</v>
      </c>
      <c r="T32" s="21">
        <f t="shared" si="3"/>
        <v>433031.00775193796</v>
      </c>
      <c r="U32" s="26">
        <f t="shared" si="4"/>
        <v>9.9410240530747931</v>
      </c>
      <c r="V32" s="25">
        <v>40</v>
      </c>
      <c r="W32" s="25">
        <f t="shared" si="5"/>
        <v>38000</v>
      </c>
      <c r="X32" s="25">
        <f t="shared" si="6"/>
        <v>950</v>
      </c>
      <c r="Y32" s="27" t="s">
        <v>191</v>
      </c>
      <c r="Z32" s="19" t="s">
        <v>35</v>
      </c>
      <c r="AA32" s="19" t="s">
        <v>35</v>
      </c>
      <c r="AB32" s="19" t="s">
        <v>215</v>
      </c>
      <c r="AC32" s="19">
        <v>0</v>
      </c>
      <c r="AD32" s="19">
        <v>1</v>
      </c>
      <c r="AE32" s="19" t="s">
        <v>216</v>
      </c>
      <c r="AF32" s="19" t="s">
        <v>43</v>
      </c>
      <c r="AG32" s="19" t="s">
        <v>38</v>
      </c>
      <c r="AH32" s="19" t="s">
        <v>217</v>
      </c>
    </row>
    <row r="33" spans="1:34" ht="15" thickTop="1" x14ac:dyDescent="0.3">
      <c r="A33" s="76"/>
      <c r="B33" s="37"/>
      <c r="C33" s="37"/>
      <c r="D33" s="38" t="s">
        <v>2876</v>
      </c>
      <c r="E33" s="39">
        <f>+SUM(E2:E32)</f>
        <v>4497100</v>
      </c>
      <c r="F33" s="37"/>
      <c r="G33" s="37"/>
      <c r="H33" s="39">
        <f>+SUM(H2:H32)</f>
        <v>4497100</v>
      </c>
      <c r="I33" s="39">
        <f>+SUM(I2:I32)</f>
        <v>1611600</v>
      </c>
      <c r="J33" s="40"/>
      <c r="K33" s="39">
        <f>+SUM(K2:K32)</f>
        <v>4032279</v>
      </c>
      <c r="L33" s="39">
        <f>+SUM(L2:L32)</f>
        <v>805026</v>
      </c>
      <c r="M33" s="39">
        <f>+SUM(M2:M32)</f>
        <v>340205</v>
      </c>
      <c r="N33" s="81">
        <f>AVERAGE(N2:N32)</f>
        <v>7.6439281029053313E-2</v>
      </c>
      <c r="O33" s="41">
        <f>+SUM(O2:O32)</f>
        <v>1582.2400000000005</v>
      </c>
      <c r="P33" s="42"/>
      <c r="Q33" s="43">
        <f>+SUM(Q2:Q32)</f>
        <v>4.4590000000000014</v>
      </c>
      <c r="R33" s="43">
        <f>+SUM(R2:R32)</f>
        <v>4.4590000000000014</v>
      </c>
      <c r="S33" s="39"/>
      <c r="T33" s="39"/>
      <c r="U33" s="44"/>
      <c r="V33" s="43"/>
      <c r="W33" s="82">
        <f>AVERAGE(W2:W32)</f>
        <v>29013.548387096773</v>
      </c>
      <c r="X33" s="83">
        <f>AVERAGE(X2:X32)</f>
        <v>636.66330157606831</v>
      </c>
      <c r="Y33" s="45"/>
      <c r="Z33" s="37"/>
      <c r="AA33" s="37"/>
      <c r="AB33" s="37"/>
      <c r="AC33" s="37"/>
      <c r="AD33" s="37"/>
      <c r="AE33" s="37"/>
      <c r="AF33" s="37"/>
      <c r="AG33" s="37"/>
      <c r="AH33" s="37"/>
    </row>
    <row r="34" spans="1:34" x14ac:dyDescent="0.3">
      <c r="A34" s="77"/>
      <c r="B34" s="28"/>
      <c r="C34" s="28"/>
      <c r="D34" s="29"/>
      <c r="E34" s="30"/>
      <c r="F34" s="28"/>
      <c r="G34" s="28"/>
      <c r="H34" s="30"/>
      <c r="I34" s="30" t="s">
        <v>2877</v>
      </c>
      <c r="J34" s="31">
        <f>I33/H33*100</f>
        <v>35.83642792021525</v>
      </c>
      <c r="K34" s="30"/>
      <c r="L34" s="30"/>
      <c r="M34" s="30" t="s">
        <v>2879</v>
      </c>
      <c r="N34" s="79"/>
      <c r="O34" s="32"/>
      <c r="P34" s="33"/>
      <c r="Q34" s="34" t="s">
        <v>2879</v>
      </c>
      <c r="R34" s="34"/>
      <c r="S34" s="30"/>
      <c r="T34" s="30" t="s">
        <v>2879</v>
      </c>
      <c r="U34" s="35"/>
      <c r="V34" s="34"/>
      <c r="W34" s="63"/>
      <c r="X34" s="68"/>
      <c r="Y34" s="36"/>
      <c r="Z34" s="28"/>
      <c r="AA34" s="28"/>
      <c r="AB34" s="28"/>
      <c r="AC34" s="28"/>
      <c r="AD34" s="28"/>
      <c r="AE34" s="28"/>
      <c r="AF34" s="28"/>
      <c r="AG34" s="28"/>
      <c r="AH34" s="28"/>
    </row>
    <row r="35" spans="1:34" x14ac:dyDescent="0.3">
      <c r="A35" s="78"/>
      <c r="B35" s="46"/>
      <c r="C35" s="46"/>
      <c r="D35" s="47"/>
      <c r="E35" s="48"/>
      <c r="F35" s="46"/>
      <c r="G35" s="46"/>
      <c r="H35" s="48"/>
      <c r="I35" s="48" t="s">
        <v>2878</v>
      </c>
      <c r="J35" s="49">
        <f>STDEV(J2:J32)</f>
        <v>3.3679081470057635</v>
      </c>
      <c r="K35" s="48"/>
      <c r="L35" s="48"/>
      <c r="M35" s="48" t="s">
        <v>2880</v>
      </c>
      <c r="N35" s="80"/>
      <c r="O35" s="54">
        <f>L33/O33</f>
        <v>508.78880574375552</v>
      </c>
      <c r="P35" s="50"/>
      <c r="Q35" s="51" t="s">
        <v>2881</v>
      </c>
      <c r="R35" s="51">
        <f>L33/Q33</f>
        <v>180539.58286611343</v>
      </c>
      <c r="S35" s="48"/>
      <c r="T35" s="48" t="s">
        <v>2882</v>
      </c>
      <c r="U35" s="52">
        <f>L33/Q33/43560</f>
        <v>4.1446185230971864</v>
      </c>
      <c r="V35" s="51"/>
      <c r="W35" s="64"/>
      <c r="X35" s="69"/>
      <c r="Y35" s="53"/>
      <c r="Z35" s="46"/>
      <c r="AA35" s="46"/>
      <c r="AB35" s="46"/>
      <c r="AC35" s="46"/>
      <c r="AD35" s="46"/>
      <c r="AE35" s="46"/>
      <c r="AF35" s="46"/>
      <c r="AG35" s="46"/>
      <c r="AH35" s="46"/>
    </row>
    <row r="36" spans="1:34" x14ac:dyDescent="0.3">
      <c r="E36" s="94" t="s">
        <v>3099</v>
      </c>
      <c r="L36" s="95"/>
    </row>
    <row r="37" spans="1:34" x14ac:dyDescent="0.3">
      <c r="E37" s="383" t="s">
        <v>3163</v>
      </c>
      <c r="F37" s="383"/>
      <c r="G37" s="383"/>
      <c r="H37" s="383"/>
      <c r="I37" s="383"/>
      <c r="J37" s="383"/>
      <c r="K37" s="383"/>
      <c r="L37" s="383"/>
    </row>
    <row r="38" spans="1:34" x14ac:dyDescent="0.3">
      <c r="E38" s="383" t="s">
        <v>3164</v>
      </c>
      <c r="F38" s="383"/>
      <c r="G38" s="383"/>
      <c r="H38" s="383"/>
      <c r="I38" s="383"/>
      <c r="J38" s="383"/>
      <c r="K38" s="383"/>
      <c r="L38" s="383"/>
    </row>
    <row r="39" spans="1:34" x14ac:dyDescent="0.3">
      <c r="E39" s="383" t="s">
        <v>3165</v>
      </c>
      <c r="F39" s="383"/>
      <c r="G39" s="383"/>
      <c r="H39" s="383"/>
      <c r="I39" s="383"/>
      <c r="J39" s="383"/>
      <c r="K39" s="383"/>
      <c r="L39" s="383"/>
    </row>
    <row r="40" spans="1:34" x14ac:dyDescent="0.3">
      <c r="E40" s="383" t="s">
        <v>3166</v>
      </c>
      <c r="F40" s="383"/>
      <c r="G40" s="383"/>
      <c r="H40" s="383"/>
      <c r="I40" s="383"/>
      <c r="J40" s="96"/>
      <c r="K40" s="96"/>
      <c r="L40" s="96"/>
    </row>
    <row r="41" spans="1:34" x14ac:dyDescent="0.3">
      <c r="E41" s="383" t="s">
        <v>3167</v>
      </c>
      <c r="F41" s="383"/>
      <c r="G41" s="383"/>
      <c r="H41" s="383"/>
      <c r="I41" s="383"/>
      <c r="L41" s="95"/>
    </row>
    <row r="42" spans="1:34" x14ac:dyDescent="0.3">
      <c r="E42" s="383" t="s">
        <v>3100</v>
      </c>
      <c r="F42" s="383"/>
      <c r="G42" s="383"/>
      <c r="H42" s="383"/>
      <c r="I42" s="383"/>
      <c r="L42" s="95"/>
    </row>
    <row r="43" spans="1:34" x14ac:dyDescent="0.3">
      <c r="E43" s="96"/>
      <c r="F43" s="96"/>
      <c r="G43" s="96"/>
      <c r="H43" s="96"/>
      <c r="I43" s="96"/>
      <c r="L43" s="95"/>
    </row>
    <row r="44" spans="1:34" x14ac:dyDescent="0.3">
      <c r="A44" s="55" t="s">
        <v>3092</v>
      </c>
      <c r="E44" s="96"/>
      <c r="F44" s="96"/>
      <c r="G44" s="96"/>
      <c r="H44" s="96"/>
      <c r="I44" s="96"/>
      <c r="L44" s="95"/>
    </row>
    <row r="45" spans="1:34" x14ac:dyDescent="0.3">
      <c r="A45" s="75" t="s">
        <v>215</v>
      </c>
      <c r="B45" s="19" t="s">
        <v>232</v>
      </c>
      <c r="C45" s="19" t="s">
        <v>233</v>
      </c>
      <c r="D45" s="20">
        <v>45534</v>
      </c>
      <c r="E45" s="21">
        <v>48000</v>
      </c>
      <c r="F45" s="19" t="s">
        <v>81</v>
      </c>
      <c r="G45" s="19" t="s">
        <v>33</v>
      </c>
      <c r="H45" s="21">
        <v>48000</v>
      </c>
      <c r="I45" s="21">
        <v>52400</v>
      </c>
      <c r="J45" s="22">
        <f t="shared" ref="J45:J53" si="7">I45/H45*100</f>
        <v>109.16666666666666</v>
      </c>
      <c r="K45" s="21">
        <v>122921</v>
      </c>
      <c r="L45" s="21">
        <f>H45-114321</f>
        <v>-66321</v>
      </c>
      <c r="M45" s="21">
        <v>8600</v>
      </c>
      <c r="N45" s="67">
        <f t="shared" ref="N45:N53" si="8">M45/E45</f>
        <v>0.17916666666666667</v>
      </c>
      <c r="O45" s="23">
        <v>40</v>
      </c>
      <c r="P45" s="24">
        <v>120</v>
      </c>
      <c r="Q45" s="25">
        <v>0.11</v>
      </c>
      <c r="R45" s="25">
        <v>0.11</v>
      </c>
      <c r="S45" s="21">
        <f t="shared" ref="S45:S53" si="9">L45/O45</f>
        <v>-1658.0250000000001</v>
      </c>
      <c r="T45" s="21">
        <f t="shared" ref="T45:T53" si="10">L45/Q45</f>
        <v>-602918.18181818177</v>
      </c>
      <c r="U45" s="26">
        <f t="shared" ref="U45:U53" si="11">L45/Q45/43560</f>
        <v>-13.841096919609315</v>
      </c>
      <c r="V45" s="25">
        <v>40</v>
      </c>
      <c r="W45" s="25">
        <f t="shared" ref="W45:W53" si="12">0.2*E45</f>
        <v>9600</v>
      </c>
      <c r="X45" s="25">
        <f t="shared" ref="X45:X53" si="13">W45/V45</f>
        <v>240</v>
      </c>
      <c r="Y45" s="27" t="s">
        <v>191</v>
      </c>
      <c r="Z45" s="19" t="s">
        <v>35</v>
      </c>
      <c r="AA45" s="19" t="s">
        <v>35</v>
      </c>
      <c r="AB45" s="19" t="s">
        <v>215</v>
      </c>
      <c r="AC45" s="19">
        <v>0</v>
      </c>
      <c r="AD45" s="19">
        <v>1</v>
      </c>
      <c r="AE45" s="19" t="s">
        <v>37</v>
      </c>
      <c r="AF45" s="19" t="s">
        <v>35</v>
      </c>
      <c r="AG45" s="19" t="s">
        <v>38</v>
      </c>
      <c r="AH45" s="19" t="s">
        <v>217</v>
      </c>
    </row>
    <row r="46" spans="1:34" x14ac:dyDescent="0.3">
      <c r="A46" s="74" t="s">
        <v>215</v>
      </c>
      <c r="B46" s="10" t="s">
        <v>379</v>
      </c>
      <c r="C46" s="10" t="s">
        <v>380</v>
      </c>
      <c r="D46" s="11">
        <v>45639</v>
      </c>
      <c r="E46" s="12">
        <v>62000</v>
      </c>
      <c r="F46" s="10" t="s">
        <v>32</v>
      </c>
      <c r="G46" s="10" t="s">
        <v>33</v>
      </c>
      <c r="H46" s="12">
        <v>62000</v>
      </c>
      <c r="I46" s="12">
        <v>51900</v>
      </c>
      <c r="J46" s="13">
        <f t="shared" si="7"/>
        <v>83.709677419354833</v>
      </c>
      <c r="K46" s="12">
        <v>117995</v>
      </c>
      <c r="L46" s="12">
        <f>H46-109324</f>
        <v>-47324</v>
      </c>
      <c r="M46" s="12">
        <v>8671</v>
      </c>
      <c r="N46" s="66">
        <f t="shared" si="8"/>
        <v>0.13985483870967741</v>
      </c>
      <c r="O46" s="14">
        <v>40.33</v>
      </c>
      <c r="P46" s="15">
        <v>122</v>
      </c>
      <c r="Q46" s="16">
        <v>0.112</v>
      </c>
      <c r="R46" s="16">
        <v>0.112</v>
      </c>
      <c r="S46" s="12">
        <f t="shared" si="9"/>
        <v>-1173.4192908504835</v>
      </c>
      <c r="T46" s="12">
        <f t="shared" si="10"/>
        <v>-422535.71428571426</v>
      </c>
      <c r="U46" s="17">
        <f t="shared" si="11"/>
        <v>-9.7000852682670864</v>
      </c>
      <c r="V46" s="16">
        <v>40</v>
      </c>
      <c r="W46" s="16">
        <f t="shared" si="12"/>
        <v>12400</v>
      </c>
      <c r="X46" s="16">
        <f t="shared" si="13"/>
        <v>310</v>
      </c>
      <c r="Y46" s="18" t="s">
        <v>370</v>
      </c>
      <c r="Z46" s="10" t="s">
        <v>35</v>
      </c>
      <c r="AA46" s="10" t="s">
        <v>35</v>
      </c>
      <c r="AB46" s="10" t="s">
        <v>215</v>
      </c>
      <c r="AC46" s="10">
        <v>0</v>
      </c>
      <c r="AD46" s="10">
        <v>1</v>
      </c>
      <c r="AE46" s="10" t="s">
        <v>37</v>
      </c>
      <c r="AF46" s="10" t="s">
        <v>35</v>
      </c>
      <c r="AG46" s="10" t="s">
        <v>38</v>
      </c>
      <c r="AH46" s="10" t="s">
        <v>217</v>
      </c>
    </row>
    <row r="47" spans="1:34" x14ac:dyDescent="0.3">
      <c r="A47" s="75" t="s">
        <v>215</v>
      </c>
      <c r="B47" s="19" t="s">
        <v>381</v>
      </c>
      <c r="C47" s="19" t="s">
        <v>382</v>
      </c>
      <c r="D47" s="20">
        <v>45436</v>
      </c>
      <c r="E47" s="21">
        <v>62000</v>
      </c>
      <c r="F47" s="19" t="s">
        <v>32</v>
      </c>
      <c r="G47" s="19" t="s">
        <v>33</v>
      </c>
      <c r="H47" s="21">
        <v>62000</v>
      </c>
      <c r="I47" s="21">
        <v>37700</v>
      </c>
      <c r="J47" s="22">
        <f t="shared" si="7"/>
        <v>60.806451612903224</v>
      </c>
      <c r="K47" s="21">
        <v>88278</v>
      </c>
      <c r="L47" s="21">
        <f>H47-79607</f>
        <v>-17607</v>
      </c>
      <c r="M47" s="21">
        <v>8671</v>
      </c>
      <c r="N47" s="67">
        <f t="shared" si="8"/>
        <v>0.13985483870967741</v>
      </c>
      <c r="O47" s="23">
        <v>40.33</v>
      </c>
      <c r="P47" s="24">
        <v>122</v>
      </c>
      <c r="Q47" s="25">
        <v>0.112</v>
      </c>
      <c r="R47" s="25">
        <v>0.112</v>
      </c>
      <c r="S47" s="21">
        <f t="shared" si="9"/>
        <v>-436.57327051822466</v>
      </c>
      <c r="T47" s="21">
        <f t="shared" si="10"/>
        <v>-157205.35714285713</v>
      </c>
      <c r="U47" s="26">
        <f t="shared" si="11"/>
        <v>-3.6089384100747735</v>
      </c>
      <c r="V47" s="25">
        <v>40</v>
      </c>
      <c r="W47" s="25">
        <f t="shared" si="12"/>
        <v>12400</v>
      </c>
      <c r="X47" s="25">
        <f t="shared" si="13"/>
        <v>310</v>
      </c>
      <c r="Y47" s="27" t="s">
        <v>370</v>
      </c>
      <c r="Z47" s="19" t="s">
        <v>35</v>
      </c>
      <c r="AA47" s="19" t="s">
        <v>35</v>
      </c>
      <c r="AB47" s="19" t="s">
        <v>215</v>
      </c>
      <c r="AC47" s="19">
        <v>0</v>
      </c>
      <c r="AD47" s="19">
        <v>1</v>
      </c>
      <c r="AE47" s="19" t="s">
        <v>42</v>
      </c>
      <c r="AF47" s="19" t="s">
        <v>43</v>
      </c>
      <c r="AG47" s="19" t="s">
        <v>38</v>
      </c>
      <c r="AH47" s="19" t="s">
        <v>217</v>
      </c>
    </row>
    <row r="48" spans="1:34" x14ac:dyDescent="0.3">
      <c r="A48" s="75" t="s">
        <v>215</v>
      </c>
      <c r="B48" s="19" t="s">
        <v>240</v>
      </c>
      <c r="C48" s="19" t="s">
        <v>241</v>
      </c>
      <c r="D48" s="20">
        <v>45294</v>
      </c>
      <c r="E48" s="21">
        <v>180000</v>
      </c>
      <c r="F48" s="19" t="s">
        <v>32</v>
      </c>
      <c r="G48" s="19" t="s">
        <v>33</v>
      </c>
      <c r="H48" s="21">
        <v>180000</v>
      </c>
      <c r="I48" s="21">
        <v>76000</v>
      </c>
      <c r="J48" s="22">
        <f t="shared" si="7"/>
        <v>42.222222222222221</v>
      </c>
      <c r="K48" s="21">
        <v>201722</v>
      </c>
      <c r="L48" s="21">
        <f>H48-193594</f>
        <v>-13594</v>
      </c>
      <c r="M48" s="21">
        <v>8128</v>
      </c>
      <c r="N48" s="67">
        <f t="shared" si="8"/>
        <v>4.5155555555555553E-2</v>
      </c>
      <c r="O48" s="23">
        <v>37.799999999999997</v>
      </c>
      <c r="P48" s="24">
        <v>107.19</v>
      </c>
      <c r="Q48" s="25">
        <v>9.8000000000000004E-2</v>
      </c>
      <c r="R48" s="25">
        <v>9.8000000000000004E-2</v>
      </c>
      <c r="S48" s="21">
        <f t="shared" si="9"/>
        <v>-359.62962962962968</v>
      </c>
      <c r="T48" s="21">
        <f t="shared" si="10"/>
        <v>-138714.28571428571</v>
      </c>
      <c r="U48" s="26">
        <f t="shared" si="11"/>
        <v>-3.184441820805457</v>
      </c>
      <c r="V48" s="25">
        <v>40</v>
      </c>
      <c r="W48" s="25">
        <f t="shared" si="12"/>
        <v>36000</v>
      </c>
      <c r="X48" s="25">
        <f t="shared" si="13"/>
        <v>900</v>
      </c>
      <c r="Y48" s="27" t="s">
        <v>191</v>
      </c>
      <c r="Z48" s="19" t="s">
        <v>35</v>
      </c>
      <c r="AA48" s="19" t="s">
        <v>35</v>
      </c>
      <c r="AB48" s="19" t="s">
        <v>215</v>
      </c>
      <c r="AC48" s="19">
        <v>0</v>
      </c>
      <c r="AD48" s="19">
        <v>1</v>
      </c>
      <c r="AE48" s="19" t="s">
        <v>37</v>
      </c>
      <c r="AF48" s="19" t="s">
        <v>43</v>
      </c>
      <c r="AG48" s="19" t="s">
        <v>38</v>
      </c>
      <c r="AH48" s="19" t="s">
        <v>217</v>
      </c>
    </row>
    <row r="49" spans="1:34" x14ac:dyDescent="0.3">
      <c r="A49" s="75" t="s">
        <v>215</v>
      </c>
      <c r="B49" s="19" t="s">
        <v>387</v>
      </c>
      <c r="C49" s="19" t="s">
        <v>388</v>
      </c>
      <c r="D49" s="20">
        <v>45603</v>
      </c>
      <c r="E49" s="21">
        <v>82500</v>
      </c>
      <c r="F49" s="19" t="s">
        <v>32</v>
      </c>
      <c r="G49" s="19" t="s">
        <v>33</v>
      </c>
      <c r="H49" s="21">
        <v>82500</v>
      </c>
      <c r="I49" s="21">
        <v>60900</v>
      </c>
      <c r="J49" s="22">
        <f t="shared" si="7"/>
        <v>73.818181818181813</v>
      </c>
      <c r="K49" s="21">
        <v>144634</v>
      </c>
      <c r="L49" s="21">
        <f>H49-118620</f>
        <v>-36120</v>
      </c>
      <c r="M49" s="21">
        <v>26014</v>
      </c>
      <c r="N49" s="67">
        <f t="shared" si="8"/>
        <v>0.31532121212121211</v>
      </c>
      <c r="O49" s="23">
        <v>120.99</v>
      </c>
      <c r="P49" s="24">
        <v>122</v>
      </c>
      <c r="Q49" s="25">
        <v>0.33600000000000002</v>
      </c>
      <c r="R49" s="25">
        <v>0.33600000000000002</v>
      </c>
      <c r="S49" s="21">
        <f t="shared" si="9"/>
        <v>-298.53706917927104</v>
      </c>
      <c r="T49" s="21">
        <f t="shared" si="10"/>
        <v>-107500</v>
      </c>
      <c r="U49" s="26">
        <f t="shared" si="11"/>
        <v>-2.4678604224058769</v>
      </c>
      <c r="V49" s="25">
        <v>120</v>
      </c>
      <c r="W49" s="25">
        <f t="shared" si="12"/>
        <v>16500</v>
      </c>
      <c r="X49" s="25">
        <f t="shared" si="13"/>
        <v>137.5</v>
      </c>
      <c r="Y49" s="27" t="s">
        <v>370</v>
      </c>
      <c r="Z49" s="19" t="s">
        <v>35</v>
      </c>
      <c r="AA49" s="19" t="s">
        <v>35</v>
      </c>
      <c r="AB49" s="19" t="s">
        <v>215</v>
      </c>
      <c r="AC49" s="19">
        <v>0</v>
      </c>
      <c r="AD49" s="19">
        <v>1</v>
      </c>
      <c r="AE49" s="19" t="s">
        <v>42</v>
      </c>
      <c r="AF49" s="19" t="s">
        <v>35</v>
      </c>
      <c r="AG49" s="19" t="s">
        <v>38</v>
      </c>
      <c r="AH49" s="19" t="s">
        <v>217</v>
      </c>
    </row>
    <row r="50" spans="1:34" x14ac:dyDescent="0.3">
      <c r="A50" s="74" t="s">
        <v>215</v>
      </c>
      <c r="B50" s="10" t="s">
        <v>247</v>
      </c>
      <c r="C50" s="10" t="s">
        <v>248</v>
      </c>
      <c r="D50" s="11">
        <v>45653</v>
      </c>
      <c r="E50" s="12">
        <v>145250</v>
      </c>
      <c r="F50" s="10" t="s">
        <v>81</v>
      </c>
      <c r="G50" s="10" t="s">
        <v>33</v>
      </c>
      <c r="H50" s="12">
        <v>145250</v>
      </c>
      <c r="I50" s="12">
        <v>3500</v>
      </c>
      <c r="J50" s="13">
        <f t="shared" si="7"/>
        <v>2.4096385542168677</v>
      </c>
      <c r="K50" s="12">
        <v>7979</v>
      </c>
      <c r="L50" s="12">
        <f>H50-0</f>
        <v>145250</v>
      </c>
      <c r="M50" s="12">
        <v>7979</v>
      </c>
      <c r="N50" s="66">
        <f t="shared" si="8"/>
        <v>5.4932874354561102E-2</v>
      </c>
      <c r="O50" s="14">
        <v>37.11</v>
      </c>
      <c r="P50" s="15">
        <v>103.27</v>
      </c>
      <c r="Q50" s="16">
        <v>9.5000000000000001E-2</v>
      </c>
      <c r="R50" s="16">
        <v>9.5000000000000001E-2</v>
      </c>
      <c r="S50" s="12">
        <f t="shared" si="9"/>
        <v>3914.0393424952845</v>
      </c>
      <c r="T50" s="12">
        <f t="shared" si="10"/>
        <v>1528947.3684210526</v>
      </c>
      <c r="U50" s="17">
        <f t="shared" si="11"/>
        <v>35.099801846213332</v>
      </c>
      <c r="V50" s="16">
        <v>40</v>
      </c>
      <c r="W50" s="16">
        <f t="shared" si="12"/>
        <v>29050</v>
      </c>
      <c r="X50" s="16">
        <f t="shared" si="13"/>
        <v>726.25</v>
      </c>
      <c r="Y50" s="18" t="s">
        <v>191</v>
      </c>
      <c r="Z50" s="10" t="s">
        <v>35</v>
      </c>
      <c r="AA50" s="10" t="s">
        <v>35</v>
      </c>
      <c r="AB50" s="10" t="s">
        <v>215</v>
      </c>
      <c r="AC50" s="10">
        <v>0</v>
      </c>
      <c r="AD50" s="10">
        <v>1</v>
      </c>
      <c r="AE50" s="10" t="s">
        <v>37</v>
      </c>
      <c r="AF50" s="10" t="s">
        <v>35</v>
      </c>
      <c r="AG50" s="10" t="s">
        <v>61</v>
      </c>
      <c r="AH50" s="10" t="s">
        <v>217</v>
      </c>
    </row>
    <row r="51" spans="1:34" x14ac:dyDescent="0.3">
      <c r="A51" s="75" t="s">
        <v>215</v>
      </c>
      <c r="B51" s="19" t="s">
        <v>375</v>
      </c>
      <c r="C51" s="19" t="s">
        <v>376</v>
      </c>
      <c r="D51" s="20">
        <v>45532</v>
      </c>
      <c r="E51" s="21">
        <v>200000</v>
      </c>
      <c r="F51" s="19" t="s">
        <v>32</v>
      </c>
      <c r="G51" s="19" t="s">
        <v>33</v>
      </c>
      <c r="H51" s="21">
        <v>200000</v>
      </c>
      <c r="I51" s="21">
        <v>44300</v>
      </c>
      <c r="J51" s="22">
        <f t="shared" si="7"/>
        <v>22.15</v>
      </c>
      <c r="K51" s="21">
        <v>103981</v>
      </c>
      <c r="L51" s="21">
        <f>H51-86638</f>
        <v>113362</v>
      </c>
      <c r="M51" s="21">
        <v>17343</v>
      </c>
      <c r="N51" s="67">
        <f t="shared" si="8"/>
        <v>8.6715E-2</v>
      </c>
      <c r="O51" s="23">
        <v>80.66</v>
      </c>
      <c r="P51" s="24">
        <v>122</v>
      </c>
      <c r="Q51" s="25">
        <v>0.224</v>
      </c>
      <c r="R51" s="25">
        <v>0.224</v>
      </c>
      <c r="S51" s="21">
        <f t="shared" si="9"/>
        <v>1405.430200843045</v>
      </c>
      <c r="T51" s="21">
        <f t="shared" si="10"/>
        <v>506080.35714285716</v>
      </c>
      <c r="U51" s="26">
        <f t="shared" si="11"/>
        <v>11.618006362324545</v>
      </c>
      <c r="V51" s="25">
        <v>80</v>
      </c>
      <c r="W51" s="25">
        <f t="shared" si="12"/>
        <v>40000</v>
      </c>
      <c r="X51" s="25">
        <f t="shared" si="13"/>
        <v>500</v>
      </c>
      <c r="Y51" s="27" t="s">
        <v>370</v>
      </c>
      <c r="Z51" s="19" t="s">
        <v>35</v>
      </c>
      <c r="AA51" s="19" t="s">
        <v>35</v>
      </c>
      <c r="AB51" s="19" t="s">
        <v>215</v>
      </c>
      <c r="AC51" s="19">
        <v>0</v>
      </c>
      <c r="AD51" s="19">
        <v>1</v>
      </c>
      <c r="AE51" s="19" t="s">
        <v>42</v>
      </c>
      <c r="AF51" s="19" t="s">
        <v>43</v>
      </c>
      <c r="AG51" s="19" t="s">
        <v>38</v>
      </c>
      <c r="AH51" s="19" t="s">
        <v>217</v>
      </c>
    </row>
    <row r="52" spans="1:34" x14ac:dyDescent="0.3">
      <c r="A52" s="74" t="s">
        <v>215</v>
      </c>
      <c r="B52" s="10" t="s">
        <v>371</v>
      </c>
      <c r="C52" s="10" t="s">
        <v>372</v>
      </c>
      <c r="D52" s="11">
        <v>45595</v>
      </c>
      <c r="E52" s="12">
        <v>110000</v>
      </c>
      <c r="F52" s="10" t="s">
        <v>32</v>
      </c>
      <c r="G52" s="10" t="s">
        <v>33</v>
      </c>
      <c r="H52" s="12">
        <v>110000</v>
      </c>
      <c r="I52" s="12">
        <v>50900</v>
      </c>
      <c r="J52" s="13">
        <f t="shared" si="7"/>
        <v>46.272727272727273</v>
      </c>
      <c r="K52" s="12">
        <v>120517</v>
      </c>
      <c r="L52" s="12">
        <f>H52-112666</f>
        <v>-2666</v>
      </c>
      <c r="M52" s="12">
        <v>7851</v>
      </c>
      <c r="N52" s="66">
        <f t="shared" si="8"/>
        <v>7.1372727272727268E-2</v>
      </c>
      <c r="O52" s="14">
        <v>36.51</v>
      </c>
      <c r="P52" s="15">
        <v>100</v>
      </c>
      <c r="Q52" s="16">
        <v>9.1999999999999998E-2</v>
      </c>
      <c r="R52" s="16">
        <v>9.1999999999999998E-2</v>
      </c>
      <c r="S52" s="12">
        <f t="shared" si="9"/>
        <v>-73.021090112297998</v>
      </c>
      <c r="T52" s="12">
        <f t="shared" si="10"/>
        <v>-28978.260869565216</v>
      </c>
      <c r="U52" s="17">
        <f t="shared" si="11"/>
        <v>-0.6652493312572364</v>
      </c>
      <c r="V52" s="16">
        <v>40</v>
      </c>
      <c r="W52" s="16">
        <f t="shared" si="12"/>
        <v>22000</v>
      </c>
      <c r="X52" s="16">
        <f t="shared" si="13"/>
        <v>550</v>
      </c>
      <c r="Y52" s="18" t="s">
        <v>370</v>
      </c>
      <c r="Z52" s="10" t="s">
        <v>35</v>
      </c>
      <c r="AA52" s="10" t="s">
        <v>35</v>
      </c>
      <c r="AB52" s="10" t="s">
        <v>215</v>
      </c>
      <c r="AC52" s="10">
        <v>0</v>
      </c>
      <c r="AD52" s="10">
        <v>1</v>
      </c>
      <c r="AE52" s="10" t="s">
        <v>42</v>
      </c>
      <c r="AF52" s="10" t="s">
        <v>35</v>
      </c>
      <c r="AG52" s="10" t="s">
        <v>38</v>
      </c>
      <c r="AH52" s="10" t="s">
        <v>217</v>
      </c>
    </row>
    <row r="53" spans="1:34" x14ac:dyDescent="0.3">
      <c r="A53" s="75" t="s">
        <v>215</v>
      </c>
      <c r="B53" s="19" t="s">
        <v>389</v>
      </c>
      <c r="C53" s="19" t="s">
        <v>390</v>
      </c>
      <c r="D53" s="20">
        <v>45456</v>
      </c>
      <c r="E53" s="21">
        <v>105000</v>
      </c>
      <c r="F53" s="19" t="s">
        <v>32</v>
      </c>
      <c r="G53" s="19" t="s">
        <v>33</v>
      </c>
      <c r="H53" s="21">
        <v>105000</v>
      </c>
      <c r="I53" s="21">
        <v>54100</v>
      </c>
      <c r="J53" s="22">
        <f t="shared" si="7"/>
        <v>51.523809523809526</v>
      </c>
      <c r="K53" s="21">
        <v>127116</v>
      </c>
      <c r="L53" s="21">
        <f>H53-106215</f>
        <v>-1215</v>
      </c>
      <c r="M53" s="21">
        <v>20901</v>
      </c>
      <c r="N53" s="67">
        <f t="shared" si="8"/>
        <v>0.19905714285714285</v>
      </c>
      <c r="O53" s="23">
        <v>97.21</v>
      </c>
      <c r="P53" s="24">
        <v>131</v>
      </c>
      <c r="Q53" s="25">
        <v>0.27700000000000002</v>
      </c>
      <c r="R53" s="25">
        <v>0.28100000000000003</v>
      </c>
      <c r="S53" s="21">
        <f t="shared" si="9"/>
        <v>-12.498714124061312</v>
      </c>
      <c r="T53" s="21">
        <f t="shared" si="10"/>
        <v>-4386.2815884476531</v>
      </c>
      <c r="U53" s="26">
        <f t="shared" si="11"/>
        <v>-0.10069516961541904</v>
      </c>
      <c r="V53" s="25">
        <v>91.96</v>
      </c>
      <c r="W53" s="25">
        <f t="shared" si="12"/>
        <v>21000</v>
      </c>
      <c r="X53" s="25">
        <f t="shared" si="13"/>
        <v>228.36015658982168</v>
      </c>
      <c r="Y53" s="27" t="s">
        <v>370</v>
      </c>
      <c r="Z53" s="19" t="s">
        <v>35</v>
      </c>
      <c r="AA53" s="19" t="s">
        <v>35</v>
      </c>
      <c r="AB53" s="19" t="s">
        <v>215</v>
      </c>
      <c r="AC53" s="19">
        <v>0</v>
      </c>
      <c r="AD53" s="19">
        <v>1</v>
      </c>
      <c r="AE53" s="19" t="s">
        <v>42</v>
      </c>
      <c r="AF53" s="19" t="s">
        <v>43</v>
      </c>
      <c r="AG53" s="19" t="s">
        <v>38</v>
      </c>
      <c r="AH53" s="19" t="s">
        <v>217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50"/>
  </sheetPr>
  <dimension ref="A1:AH27"/>
  <sheetViews>
    <sheetView topLeftCell="A4" workbookViewId="0">
      <selection activeCell="E15" sqref="E15:L21"/>
    </sheetView>
  </sheetViews>
  <sheetFormatPr defaultRowHeight="14.4" x14ac:dyDescent="0.3"/>
  <cols>
    <col min="1" max="1" width="10.44140625" style="55" customWidth="1" collapsed="1"/>
    <col min="2" max="2" width="17.5546875" bestFit="1" customWidth="1" collapsed="1"/>
    <col min="3" max="3" width="16.5546875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11.88671875" style="55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6.5546875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3" style="65" customWidth="1"/>
    <col min="24" max="24" width="12.10937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358</v>
      </c>
      <c r="B2" s="19" t="s">
        <v>365</v>
      </c>
      <c r="C2" s="19" t="s">
        <v>366</v>
      </c>
      <c r="D2" s="20">
        <v>45434</v>
      </c>
      <c r="E2" s="21">
        <v>275000</v>
      </c>
      <c r="F2" s="19" t="s">
        <v>32</v>
      </c>
      <c r="G2" s="19" t="s">
        <v>33</v>
      </c>
      <c r="H2" s="21">
        <v>275000</v>
      </c>
      <c r="I2" s="21">
        <v>95500</v>
      </c>
      <c r="J2" s="22">
        <f t="shared" ref="J2:J11" si="0">I2/H2*100</f>
        <v>34.727272727272727</v>
      </c>
      <c r="K2" s="21">
        <v>243220</v>
      </c>
      <c r="L2" s="21">
        <f>H2-223548</f>
        <v>51452</v>
      </c>
      <c r="M2" s="21">
        <v>19672</v>
      </c>
      <c r="N2" s="67">
        <f t="shared" ref="N2:N11" si="1">M2/E2</f>
        <v>7.1534545454545448E-2</v>
      </c>
      <c r="O2" s="23">
        <v>115.71</v>
      </c>
      <c r="P2" s="24">
        <v>219.05</v>
      </c>
      <c r="Q2" s="25">
        <v>0.437</v>
      </c>
      <c r="R2" s="25">
        <v>0.437</v>
      </c>
      <c r="S2" s="21">
        <f t="shared" ref="S2:S11" si="2">L2/O2</f>
        <v>444.6633825944171</v>
      </c>
      <c r="T2" s="21">
        <f t="shared" ref="T2:T11" si="3">L2/Q2</f>
        <v>117739.13043478261</v>
      </c>
      <c r="U2" s="26">
        <f t="shared" ref="U2:U11" si="4">L2/Q2/43560</f>
        <v>2.7029185131951929</v>
      </c>
      <c r="V2" s="25">
        <v>88.35</v>
      </c>
      <c r="W2" s="25">
        <f t="shared" ref="W2:W11" si="5">0.2*E2</f>
        <v>55000</v>
      </c>
      <c r="X2" s="25">
        <f t="shared" ref="X2:X11" si="6">W2/V2</f>
        <v>622.52405206564799</v>
      </c>
      <c r="Y2" s="27" t="s">
        <v>367</v>
      </c>
      <c r="Z2" s="19" t="s">
        <v>35</v>
      </c>
      <c r="AA2" s="19" t="s">
        <v>35</v>
      </c>
      <c r="AB2" s="19" t="s">
        <v>358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358</v>
      </c>
      <c r="B3" s="19" t="s">
        <v>421</v>
      </c>
      <c r="C3" s="19" t="s">
        <v>422</v>
      </c>
      <c r="D3" s="20">
        <v>45527</v>
      </c>
      <c r="E3" s="21">
        <v>160000</v>
      </c>
      <c r="F3" s="19" t="s">
        <v>32</v>
      </c>
      <c r="G3" s="19" t="s">
        <v>33</v>
      </c>
      <c r="H3" s="21">
        <v>160000</v>
      </c>
      <c r="I3" s="21">
        <v>59000</v>
      </c>
      <c r="J3" s="22">
        <f t="shared" si="0"/>
        <v>36.875</v>
      </c>
      <c r="K3" s="21">
        <v>148530</v>
      </c>
      <c r="L3" s="21">
        <f>H3-141788</f>
        <v>18212</v>
      </c>
      <c r="M3" s="21">
        <v>6742</v>
      </c>
      <c r="N3" s="67">
        <f t="shared" si="1"/>
        <v>4.2137500000000001E-2</v>
      </c>
      <c r="O3" s="23">
        <v>39.65</v>
      </c>
      <c r="P3" s="24">
        <v>121.2</v>
      </c>
      <c r="Q3" s="25">
        <v>0.112</v>
      </c>
      <c r="R3" s="25">
        <v>0.112</v>
      </c>
      <c r="S3" s="21">
        <f t="shared" si="2"/>
        <v>459.31904161412359</v>
      </c>
      <c r="T3" s="21">
        <f t="shared" si="3"/>
        <v>162607.14285714284</v>
      </c>
      <c r="U3" s="26">
        <f t="shared" si="4"/>
        <v>3.7329463465827097</v>
      </c>
      <c r="V3" s="25">
        <v>40.39</v>
      </c>
      <c r="W3" s="25">
        <f t="shared" si="5"/>
        <v>32000</v>
      </c>
      <c r="X3" s="25">
        <f t="shared" si="6"/>
        <v>792.27531567219603</v>
      </c>
      <c r="Y3" s="27" t="s">
        <v>409</v>
      </c>
      <c r="Z3" s="19" t="s">
        <v>35</v>
      </c>
      <c r="AA3" s="19" t="s">
        <v>35</v>
      </c>
      <c r="AB3" s="19" t="s">
        <v>358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358</v>
      </c>
      <c r="B4" s="10" t="s">
        <v>425</v>
      </c>
      <c r="C4" s="10" t="s">
        <v>426</v>
      </c>
      <c r="D4" s="11">
        <v>45114</v>
      </c>
      <c r="E4" s="12">
        <v>165000</v>
      </c>
      <c r="F4" s="10" t="s">
        <v>32</v>
      </c>
      <c r="G4" s="10" t="s">
        <v>33</v>
      </c>
      <c r="H4" s="12">
        <v>165000</v>
      </c>
      <c r="I4" s="12">
        <v>56100</v>
      </c>
      <c r="J4" s="13">
        <f t="shared" si="0"/>
        <v>34</v>
      </c>
      <c r="K4" s="12">
        <v>150166</v>
      </c>
      <c r="L4" s="12">
        <f>H4-142100</f>
        <v>22900</v>
      </c>
      <c r="M4" s="12">
        <v>8066</v>
      </c>
      <c r="N4" s="66">
        <f t="shared" si="1"/>
        <v>4.8884848484848482E-2</v>
      </c>
      <c r="O4" s="14">
        <v>47.44</v>
      </c>
      <c r="P4" s="15">
        <v>93.07</v>
      </c>
      <c r="Q4" s="16">
        <v>0.11700000000000001</v>
      </c>
      <c r="R4" s="16">
        <v>0.11700000000000001</v>
      </c>
      <c r="S4" s="12">
        <f t="shared" si="2"/>
        <v>482.71500843170321</v>
      </c>
      <c r="T4" s="12">
        <f t="shared" si="3"/>
        <v>195726.49572649572</v>
      </c>
      <c r="U4" s="17">
        <f t="shared" si="4"/>
        <v>4.4932620690196448</v>
      </c>
      <c r="V4" s="16">
        <v>54.98</v>
      </c>
      <c r="W4" s="16">
        <f t="shared" si="5"/>
        <v>33000</v>
      </c>
      <c r="X4" s="16">
        <f t="shared" si="6"/>
        <v>600.21826118588581</v>
      </c>
      <c r="Y4" s="18" t="s">
        <v>409</v>
      </c>
      <c r="Z4" s="10" t="s">
        <v>35</v>
      </c>
      <c r="AA4" s="10" t="s">
        <v>35</v>
      </c>
      <c r="AB4" s="10" t="s">
        <v>358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358</v>
      </c>
      <c r="B5" s="19" t="s">
        <v>363</v>
      </c>
      <c r="C5" s="19" t="s">
        <v>364</v>
      </c>
      <c r="D5" s="20">
        <v>45196</v>
      </c>
      <c r="E5" s="21">
        <v>155000</v>
      </c>
      <c r="F5" s="19" t="s">
        <v>32</v>
      </c>
      <c r="G5" s="19" t="s">
        <v>33</v>
      </c>
      <c r="H5" s="21">
        <v>155000</v>
      </c>
      <c r="I5" s="21">
        <v>49400</v>
      </c>
      <c r="J5" s="22">
        <f t="shared" si="0"/>
        <v>31.870967741935484</v>
      </c>
      <c r="K5" s="21">
        <v>142323</v>
      </c>
      <c r="L5" s="21">
        <f>H5-135482</f>
        <v>19518</v>
      </c>
      <c r="M5" s="21">
        <v>6841</v>
      </c>
      <c r="N5" s="67">
        <f t="shared" si="1"/>
        <v>4.4135483870967739E-2</v>
      </c>
      <c r="O5" s="23">
        <v>40.24</v>
      </c>
      <c r="P5" s="24">
        <v>126.52</v>
      </c>
      <c r="Q5" s="25">
        <v>0.11600000000000001</v>
      </c>
      <c r="R5" s="25">
        <v>0.11600000000000001</v>
      </c>
      <c r="S5" s="21">
        <f t="shared" si="2"/>
        <v>485.03976143141153</v>
      </c>
      <c r="T5" s="21">
        <f t="shared" si="3"/>
        <v>168258.62068965516</v>
      </c>
      <c r="U5" s="26">
        <f t="shared" si="4"/>
        <v>3.8626864253823499</v>
      </c>
      <c r="V5" s="25">
        <v>40</v>
      </c>
      <c r="W5" s="25">
        <f t="shared" si="5"/>
        <v>31000</v>
      </c>
      <c r="X5" s="25">
        <f t="shared" si="6"/>
        <v>775</v>
      </c>
      <c r="Y5" s="27" t="s">
        <v>357</v>
      </c>
      <c r="Z5" s="19" t="s">
        <v>35</v>
      </c>
      <c r="AA5" s="19" t="s">
        <v>35</v>
      </c>
      <c r="AB5" s="19" t="s">
        <v>358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358</v>
      </c>
      <c r="B6" s="19" t="s">
        <v>423</v>
      </c>
      <c r="C6" s="19" t="s">
        <v>424</v>
      </c>
      <c r="D6" s="20">
        <v>45268</v>
      </c>
      <c r="E6" s="21">
        <v>158000</v>
      </c>
      <c r="F6" s="19" t="s">
        <v>32</v>
      </c>
      <c r="G6" s="19" t="s">
        <v>33</v>
      </c>
      <c r="H6" s="21">
        <v>158000</v>
      </c>
      <c r="I6" s="21">
        <v>51200</v>
      </c>
      <c r="J6" s="22">
        <f t="shared" si="0"/>
        <v>32.405063291139243</v>
      </c>
      <c r="K6" s="21">
        <v>137216</v>
      </c>
      <c r="L6" s="21">
        <f>H6-129561</f>
        <v>28439</v>
      </c>
      <c r="M6" s="21">
        <v>7655</v>
      </c>
      <c r="N6" s="67">
        <f t="shared" si="1"/>
        <v>4.8449367088607594E-2</v>
      </c>
      <c r="O6" s="23">
        <v>45.02</v>
      </c>
      <c r="P6" s="24">
        <v>110</v>
      </c>
      <c r="Q6" s="25">
        <v>0.121</v>
      </c>
      <c r="R6" s="25">
        <v>0.121</v>
      </c>
      <c r="S6" s="21">
        <f t="shared" si="2"/>
        <v>631.69702354509104</v>
      </c>
      <c r="T6" s="21">
        <f t="shared" si="3"/>
        <v>235033.05785123969</v>
      </c>
      <c r="U6" s="26">
        <f t="shared" si="4"/>
        <v>5.3956165714242355</v>
      </c>
      <c r="V6" s="25">
        <v>48</v>
      </c>
      <c r="W6" s="25">
        <f t="shared" si="5"/>
        <v>31600</v>
      </c>
      <c r="X6" s="25">
        <f t="shared" si="6"/>
        <v>658.33333333333337</v>
      </c>
      <c r="Y6" s="27" t="s">
        <v>409</v>
      </c>
      <c r="Z6" s="19" t="s">
        <v>35</v>
      </c>
      <c r="AA6" s="19" t="s">
        <v>35</v>
      </c>
      <c r="AB6" s="19" t="s">
        <v>358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358</v>
      </c>
      <c r="B7" s="10" t="s">
        <v>419</v>
      </c>
      <c r="C7" s="10" t="s">
        <v>420</v>
      </c>
      <c r="D7" s="11">
        <v>45601</v>
      </c>
      <c r="E7" s="12">
        <v>170000</v>
      </c>
      <c r="F7" s="10" t="s">
        <v>32</v>
      </c>
      <c r="G7" s="10" t="s">
        <v>33</v>
      </c>
      <c r="H7" s="12">
        <v>170000</v>
      </c>
      <c r="I7" s="12">
        <v>58400</v>
      </c>
      <c r="J7" s="13">
        <f t="shared" si="0"/>
        <v>34.352941176470587</v>
      </c>
      <c r="K7" s="12">
        <v>141259</v>
      </c>
      <c r="L7" s="12">
        <f>H7-134324</f>
        <v>35676</v>
      </c>
      <c r="M7" s="12">
        <v>6935</v>
      </c>
      <c r="N7" s="66">
        <f t="shared" si="1"/>
        <v>4.0794117647058821E-2</v>
      </c>
      <c r="O7" s="14">
        <v>40.79</v>
      </c>
      <c r="P7" s="15">
        <v>130.01</v>
      </c>
      <c r="Q7" s="16">
        <v>0.11899999999999999</v>
      </c>
      <c r="R7" s="16">
        <v>0.11899999999999999</v>
      </c>
      <c r="S7" s="12">
        <f t="shared" si="2"/>
        <v>874.62613385633733</v>
      </c>
      <c r="T7" s="12">
        <f t="shared" si="3"/>
        <v>299798.31932773109</v>
      </c>
      <c r="U7" s="17">
        <f t="shared" si="4"/>
        <v>6.8824223904437805</v>
      </c>
      <c r="V7" s="16">
        <v>40</v>
      </c>
      <c r="W7" s="16">
        <f t="shared" si="5"/>
        <v>34000</v>
      </c>
      <c r="X7" s="16">
        <f t="shared" si="6"/>
        <v>850</v>
      </c>
      <c r="Y7" s="18" t="s">
        <v>409</v>
      </c>
      <c r="Z7" s="10" t="s">
        <v>35</v>
      </c>
      <c r="AA7" s="10" t="s">
        <v>35</v>
      </c>
      <c r="AB7" s="10" t="s">
        <v>358</v>
      </c>
      <c r="AC7" s="10">
        <v>0</v>
      </c>
      <c r="AD7" s="10">
        <v>1</v>
      </c>
      <c r="AE7" s="10" t="s">
        <v>37</v>
      </c>
      <c r="AF7" s="10" t="s">
        <v>35</v>
      </c>
      <c r="AG7" s="10" t="s">
        <v>38</v>
      </c>
      <c r="AH7" s="10" t="s">
        <v>92</v>
      </c>
    </row>
    <row r="8" spans="1:34" x14ac:dyDescent="0.3">
      <c r="A8" s="74" t="s">
        <v>358</v>
      </c>
      <c r="B8" s="10" t="s">
        <v>417</v>
      </c>
      <c r="C8" s="10" t="s">
        <v>418</v>
      </c>
      <c r="D8" s="11">
        <v>45177</v>
      </c>
      <c r="E8" s="12">
        <v>175000</v>
      </c>
      <c r="F8" s="10" t="s">
        <v>32</v>
      </c>
      <c r="G8" s="10" t="s">
        <v>33</v>
      </c>
      <c r="H8" s="12">
        <v>175000</v>
      </c>
      <c r="I8" s="12">
        <v>52600</v>
      </c>
      <c r="J8" s="13">
        <f t="shared" si="0"/>
        <v>30.057142857142853</v>
      </c>
      <c r="K8" s="12">
        <v>140652</v>
      </c>
      <c r="L8" s="12">
        <f>H8-132761</f>
        <v>42239</v>
      </c>
      <c r="M8" s="12">
        <v>7891</v>
      </c>
      <c r="N8" s="66">
        <f t="shared" si="1"/>
        <v>4.5091428571428574E-2</v>
      </c>
      <c r="O8" s="14">
        <v>46.41</v>
      </c>
      <c r="P8" s="15">
        <v>133.01</v>
      </c>
      <c r="Q8" s="16">
        <v>0.13700000000000001</v>
      </c>
      <c r="R8" s="16">
        <v>0.13700000000000001</v>
      </c>
      <c r="S8" s="12">
        <f t="shared" si="2"/>
        <v>910.12712777418665</v>
      </c>
      <c r="T8" s="12">
        <f t="shared" si="3"/>
        <v>308313.86861313868</v>
      </c>
      <c r="U8" s="17">
        <f t="shared" si="4"/>
        <v>7.0779125025973064</v>
      </c>
      <c r="V8" s="16">
        <v>45</v>
      </c>
      <c r="W8" s="16">
        <f t="shared" si="5"/>
        <v>35000</v>
      </c>
      <c r="X8" s="16">
        <f t="shared" si="6"/>
        <v>777.77777777777783</v>
      </c>
      <c r="Y8" s="18" t="s">
        <v>409</v>
      </c>
      <c r="Z8" s="10" t="s">
        <v>35</v>
      </c>
      <c r="AA8" s="10" t="s">
        <v>35</v>
      </c>
      <c r="AB8" s="10" t="s">
        <v>358</v>
      </c>
      <c r="AC8" s="10">
        <v>0</v>
      </c>
      <c r="AD8" s="10">
        <v>1</v>
      </c>
      <c r="AE8" s="10" t="s">
        <v>37</v>
      </c>
      <c r="AF8" s="10" t="s">
        <v>43</v>
      </c>
      <c r="AG8" s="10" t="s">
        <v>38</v>
      </c>
      <c r="AH8" s="10" t="s">
        <v>92</v>
      </c>
    </row>
    <row r="9" spans="1:34" x14ac:dyDescent="0.3">
      <c r="A9" s="74" t="s">
        <v>358</v>
      </c>
      <c r="B9" s="10" t="s">
        <v>361</v>
      </c>
      <c r="C9" s="10" t="s">
        <v>362</v>
      </c>
      <c r="D9" s="11">
        <v>45471</v>
      </c>
      <c r="E9" s="12">
        <v>165000</v>
      </c>
      <c r="F9" s="10" t="s">
        <v>32</v>
      </c>
      <c r="G9" s="10" t="s">
        <v>33</v>
      </c>
      <c r="H9" s="12">
        <v>165000</v>
      </c>
      <c r="I9" s="12">
        <v>57300</v>
      </c>
      <c r="J9" s="13">
        <f t="shared" si="0"/>
        <v>34.727272727272727</v>
      </c>
      <c r="K9" s="12">
        <v>130608</v>
      </c>
      <c r="L9" s="12">
        <f>H9-123620</f>
        <v>41380</v>
      </c>
      <c r="M9" s="12">
        <v>6988</v>
      </c>
      <c r="N9" s="66">
        <f t="shared" si="1"/>
        <v>4.2351515151515154E-2</v>
      </c>
      <c r="O9" s="14">
        <v>41.1</v>
      </c>
      <c r="P9" s="15">
        <v>132</v>
      </c>
      <c r="Q9" s="16">
        <v>0.121</v>
      </c>
      <c r="R9" s="16">
        <v>0.121</v>
      </c>
      <c r="S9" s="12">
        <f t="shared" si="2"/>
        <v>1006.8126520681265</v>
      </c>
      <c r="T9" s="12">
        <f t="shared" si="3"/>
        <v>341983.47107438016</v>
      </c>
      <c r="U9" s="17">
        <f t="shared" si="4"/>
        <v>7.8508602175018405</v>
      </c>
      <c r="V9" s="16">
        <v>40</v>
      </c>
      <c r="W9" s="16">
        <f t="shared" si="5"/>
        <v>33000</v>
      </c>
      <c r="X9" s="16">
        <f t="shared" si="6"/>
        <v>825</v>
      </c>
      <c r="Y9" s="18" t="s">
        <v>357</v>
      </c>
      <c r="Z9" s="10" t="s">
        <v>35</v>
      </c>
      <c r="AA9" s="10" t="s">
        <v>35</v>
      </c>
      <c r="AB9" s="10" t="s">
        <v>358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358</v>
      </c>
      <c r="B10" s="19" t="s">
        <v>355</v>
      </c>
      <c r="C10" s="19" t="s">
        <v>356</v>
      </c>
      <c r="D10" s="20">
        <v>45436</v>
      </c>
      <c r="E10" s="21">
        <v>134500</v>
      </c>
      <c r="F10" s="19" t="s">
        <v>32</v>
      </c>
      <c r="G10" s="19" t="s">
        <v>33</v>
      </c>
      <c r="H10" s="21">
        <v>134500</v>
      </c>
      <c r="I10" s="21">
        <v>42600</v>
      </c>
      <c r="J10" s="22">
        <f t="shared" si="0"/>
        <v>31.672862453531597</v>
      </c>
      <c r="K10" s="21">
        <v>94380</v>
      </c>
      <c r="L10" s="21">
        <f>H10-87587</f>
        <v>46913</v>
      </c>
      <c r="M10" s="21">
        <v>6793</v>
      </c>
      <c r="N10" s="67">
        <f t="shared" si="1"/>
        <v>5.0505576208178436E-2</v>
      </c>
      <c r="O10" s="23">
        <v>39.950000000000003</v>
      </c>
      <c r="P10" s="24">
        <v>124.75</v>
      </c>
      <c r="Q10" s="25">
        <v>0.115</v>
      </c>
      <c r="R10" s="25">
        <v>0.115</v>
      </c>
      <c r="S10" s="21">
        <f t="shared" si="2"/>
        <v>1174.2928660826033</v>
      </c>
      <c r="T10" s="21">
        <f t="shared" si="3"/>
        <v>407939.13043478259</v>
      </c>
      <c r="U10" s="26">
        <f t="shared" si="4"/>
        <v>9.3649938116341271</v>
      </c>
      <c r="V10" s="25">
        <v>40</v>
      </c>
      <c r="W10" s="25">
        <f t="shared" si="5"/>
        <v>26900</v>
      </c>
      <c r="X10" s="25">
        <f t="shared" si="6"/>
        <v>672.5</v>
      </c>
      <c r="Y10" s="27" t="s">
        <v>357</v>
      </c>
      <c r="Z10" s="19" t="s">
        <v>35</v>
      </c>
      <c r="AA10" s="19" t="s">
        <v>35</v>
      </c>
      <c r="AB10" s="19" t="s">
        <v>358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ht="15" thickBot="1" x14ac:dyDescent="0.35">
      <c r="A11" s="74" t="s">
        <v>358</v>
      </c>
      <c r="B11" s="10" t="s">
        <v>407</v>
      </c>
      <c r="C11" s="10" t="s">
        <v>408</v>
      </c>
      <c r="D11" s="11">
        <v>45083</v>
      </c>
      <c r="E11" s="12">
        <v>190000</v>
      </c>
      <c r="F11" s="10" t="s">
        <v>32</v>
      </c>
      <c r="G11" s="10" t="s">
        <v>33</v>
      </c>
      <c r="H11" s="12">
        <v>190000</v>
      </c>
      <c r="I11" s="12">
        <v>52900</v>
      </c>
      <c r="J11" s="13">
        <f t="shared" si="0"/>
        <v>27.842105263157897</v>
      </c>
      <c r="K11" s="12">
        <v>141467</v>
      </c>
      <c r="L11" s="12">
        <f>H11-133635</f>
        <v>56365</v>
      </c>
      <c r="M11" s="12">
        <v>7832</v>
      </c>
      <c r="N11" s="66">
        <f t="shared" si="1"/>
        <v>4.122105263157895E-2</v>
      </c>
      <c r="O11" s="14">
        <v>46.06</v>
      </c>
      <c r="P11" s="15">
        <v>131.01</v>
      </c>
      <c r="Q11" s="16">
        <v>0.13500000000000001</v>
      </c>
      <c r="R11" s="16">
        <v>0.13500000000000001</v>
      </c>
      <c r="S11" s="12">
        <f t="shared" si="2"/>
        <v>1223.7299174989143</v>
      </c>
      <c r="T11" s="12">
        <f t="shared" si="3"/>
        <v>417518.51851851848</v>
      </c>
      <c r="U11" s="17">
        <f t="shared" si="4"/>
        <v>9.5849063020780179</v>
      </c>
      <c r="V11" s="16">
        <v>45</v>
      </c>
      <c r="W11" s="16">
        <f t="shared" si="5"/>
        <v>38000</v>
      </c>
      <c r="X11" s="16">
        <f t="shared" si="6"/>
        <v>844.44444444444446</v>
      </c>
      <c r="Y11" s="18" t="s">
        <v>409</v>
      </c>
      <c r="Z11" s="10" t="s">
        <v>35</v>
      </c>
      <c r="AA11" s="10" t="s">
        <v>35</v>
      </c>
      <c r="AB11" s="10" t="s">
        <v>358</v>
      </c>
      <c r="AC11" s="10">
        <v>0</v>
      </c>
      <c r="AD11" s="10">
        <v>1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1747500</v>
      </c>
      <c r="F12" s="37"/>
      <c r="G12" s="37"/>
      <c r="H12" s="39">
        <f>+SUM(H2:H11)</f>
        <v>1747500</v>
      </c>
      <c r="I12" s="39">
        <f>+SUM(I2:I11)</f>
        <v>575000</v>
      </c>
      <c r="J12" s="40"/>
      <c r="K12" s="39">
        <f>+SUM(K2:K11)</f>
        <v>1469821</v>
      </c>
      <c r="L12" s="39">
        <f>+SUM(L2:L11)</f>
        <v>363094</v>
      </c>
      <c r="M12" s="39">
        <f>+SUM(M2:M11)</f>
        <v>85415</v>
      </c>
      <c r="N12" s="81">
        <f>AVERAGE(N2:N11)</f>
        <v>4.7510543510872916E-2</v>
      </c>
      <c r="O12" s="41">
        <f>+SUM(O2:O11)</f>
        <v>502.37</v>
      </c>
      <c r="P12" s="42"/>
      <c r="Q12" s="43">
        <f>+SUM(Q2:Q11)</f>
        <v>1.53</v>
      </c>
      <c r="R12" s="43">
        <f>+SUM(R2:R11)</f>
        <v>1.53</v>
      </c>
      <c r="S12" s="39">
        <f>AVERAGE(S2:S11)</f>
        <v>769.30229148969136</v>
      </c>
      <c r="T12" s="39"/>
      <c r="U12" s="44"/>
      <c r="V12" s="43"/>
      <c r="W12" s="82">
        <f>AVERAGE(W2:W11)</f>
        <v>34950</v>
      </c>
      <c r="X12" s="83">
        <f>AVERAGE(X2:X11)</f>
        <v>741.80731844792854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32.904148783977114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2.6299842735564103</v>
      </c>
      <c r="K14" s="48"/>
      <c r="L14" s="48"/>
      <c r="M14" s="48" t="s">
        <v>2880</v>
      </c>
      <c r="N14" s="80"/>
      <c r="O14" s="54">
        <f>L12/O12</f>
        <v>722.76210760992888</v>
      </c>
      <c r="P14" s="50"/>
      <c r="Q14" s="51" t="s">
        <v>2881</v>
      </c>
      <c r="R14" s="51">
        <f>L12/Q12</f>
        <v>237316.33986928104</v>
      </c>
      <c r="S14" s="48"/>
      <c r="T14" s="48" t="s">
        <v>2882</v>
      </c>
      <c r="U14" s="52">
        <f>L12/Q12/43560</f>
        <v>5.4480335139871681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34" x14ac:dyDescent="0.3">
      <c r="E20" s="383" t="s">
        <v>3167</v>
      </c>
      <c r="F20" s="383"/>
      <c r="G20" s="383"/>
      <c r="H20" s="383"/>
      <c r="I20" s="383"/>
      <c r="L20" s="95"/>
    </row>
    <row r="21" spans="1:34" x14ac:dyDescent="0.3">
      <c r="E21" s="383" t="s">
        <v>3100</v>
      </c>
      <c r="F21" s="383"/>
      <c r="G21" s="383"/>
      <c r="H21" s="383"/>
      <c r="I21" s="383"/>
      <c r="L21" s="95"/>
    </row>
    <row r="22" spans="1:34" x14ac:dyDescent="0.3">
      <c r="E22" s="96"/>
      <c r="F22" s="96"/>
      <c r="G22" s="96"/>
      <c r="H22" s="96"/>
      <c r="I22" s="96"/>
      <c r="L22" s="95"/>
    </row>
    <row r="23" spans="1:34" x14ac:dyDescent="0.3">
      <c r="A23" s="55" t="s">
        <v>3092</v>
      </c>
      <c r="E23" s="96"/>
      <c r="F23" s="96"/>
      <c r="G23" s="96"/>
      <c r="H23" s="96"/>
      <c r="I23" s="96"/>
      <c r="L23" s="95"/>
    </row>
    <row r="24" spans="1:34" x14ac:dyDescent="0.3">
      <c r="A24" s="74" t="s">
        <v>358</v>
      </c>
      <c r="B24" s="10" t="s">
        <v>359</v>
      </c>
      <c r="C24" s="10" t="s">
        <v>360</v>
      </c>
      <c r="D24" s="11">
        <v>45574</v>
      </c>
      <c r="E24" s="12">
        <v>146000</v>
      </c>
      <c r="F24" s="10" t="s">
        <v>32</v>
      </c>
      <c r="G24" s="10" t="s">
        <v>33</v>
      </c>
      <c r="H24" s="12">
        <v>146000</v>
      </c>
      <c r="I24" s="12">
        <v>79500</v>
      </c>
      <c r="J24" s="13">
        <f t="shared" ref="J24:J27" si="7">I24/H24*100</f>
        <v>54.452054794520542</v>
      </c>
      <c r="K24" s="12">
        <v>182478</v>
      </c>
      <c r="L24" s="12">
        <f>H24-168502</f>
        <v>-22502</v>
      </c>
      <c r="M24" s="12">
        <v>13976</v>
      </c>
      <c r="N24" s="66">
        <f t="shared" ref="N24:N27" si="8">M24/E24</f>
        <v>9.5726027397260272E-2</v>
      </c>
      <c r="O24" s="14">
        <v>82.2</v>
      </c>
      <c r="P24" s="15">
        <v>132</v>
      </c>
      <c r="Q24" s="16">
        <v>0.24199999999999999</v>
      </c>
      <c r="R24" s="16">
        <v>0.24199999999999999</v>
      </c>
      <c r="S24" s="12">
        <f t="shared" ref="S24:S27" si="9">L24/O24</f>
        <v>-273.74695863746956</v>
      </c>
      <c r="T24" s="12">
        <f t="shared" ref="T24:T27" si="10">L24/Q24</f>
        <v>-92983.47107438017</v>
      </c>
      <c r="U24" s="17">
        <f t="shared" ref="U24:U27" si="11">L24/Q24/43560</f>
        <v>-2.1346067739756696</v>
      </c>
      <c r="V24" s="16">
        <v>80</v>
      </c>
      <c r="W24" s="16">
        <f t="shared" ref="W24:W27" si="12">0.2*E24</f>
        <v>29200</v>
      </c>
      <c r="X24" s="16">
        <f t="shared" ref="X24:X27" si="13">W24/V24</f>
        <v>365</v>
      </c>
      <c r="Y24" s="18" t="s">
        <v>357</v>
      </c>
      <c r="Z24" s="10" t="s">
        <v>35</v>
      </c>
      <c r="AA24" s="10" t="s">
        <v>35</v>
      </c>
      <c r="AB24" s="10" t="s">
        <v>358</v>
      </c>
      <c r="AC24" s="10">
        <v>0</v>
      </c>
      <c r="AD24" s="10">
        <v>1</v>
      </c>
      <c r="AE24" s="10" t="s">
        <v>42</v>
      </c>
      <c r="AF24" s="10" t="s">
        <v>43</v>
      </c>
      <c r="AG24" s="10" t="s">
        <v>38</v>
      </c>
      <c r="AH24" s="10" t="s">
        <v>92</v>
      </c>
    </row>
    <row r="25" spans="1:34" x14ac:dyDescent="0.3">
      <c r="A25" s="75" t="s">
        <v>358</v>
      </c>
      <c r="B25" s="19" t="s">
        <v>415</v>
      </c>
      <c r="C25" s="19" t="s">
        <v>416</v>
      </c>
      <c r="D25" s="20">
        <v>45538</v>
      </c>
      <c r="E25" s="21">
        <v>110000</v>
      </c>
      <c r="F25" s="19" t="s">
        <v>32</v>
      </c>
      <c r="G25" s="19" t="s">
        <v>33</v>
      </c>
      <c r="H25" s="21">
        <v>110000</v>
      </c>
      <c r="I25" s="21">
        <v>48900</v>
      </c>
      <c r="J25" s="22">
        <f t="shared" si="7"/>
        <v>44.454545454545453</v>
      </c>
      <c r="K25" s="21">
        <v>117315</v>
      </c>
      <c r="L25" s="21">
        <f>H25-109424</f>
        <v>576</v>
      </c>
      <c r="M25" s="21">
        <v>7891</v>
      </c>
      <c r="N25" s="67">
        <f t="shared" si="8"/>
        <v>7.173636363636364E-2</v>
      </c>
      <c r="O25" s="23">
        <v>46.41</v>
      </c>
      <c r="P25" s="24">
        <v>133.01</v>
      </c>
      <c r="Q25" s="25">
        <v>0.13700000000000001</v>
      </c>
      <c r="R25" s="25">
        <v>0.13700000000000001</v>
      </c>
      <c r="S25" s="21">
        <f t="shared" si="9"/>
        <v>12.411118293471235</v>
      </c>
      <c r="T25" s="21">
        <f t="shared" si="10"/>
        <v>4204.379562043795</v>
      </c>
      <c r="U25" s="26">
        <f t="shared" si="11"/>
        <v>9.6519273692465449E-2</v>
      </c>
      <c r="V25" s="25">
        <v>45</v>
      </c>
      <c r="W25" s="25">
        <f t="shared" si="12"/>
        <v>22000</v>
      </c>
      <c r="X25" s="25">
        <f t="shared" si="13"/>
        <v>488.88888888888891</v>
      </c>
      <c r="Y25" s="27" t="s">
        <v>409</v>
      </c>
      <c r="Z25" s="19" t="s">
        <v>35</v>
      </c>
      <c r="AA25" s="19" t="s">
        <v>35</v>
      </c>
      <c r="AB25" s="19" t="s">
        <v>358</v>
      </c>
      <c r="AC25" s="19">
        <v>0</v>
      </c>
      <c r="AD25" s="19">
        <v>1</v>
      </c>
      <c r="AE25" s="19" t="s">
        <v>37</v>
      </c>
      <c r="AF25" s="19" t="s">
        <v>43</v>
      </c>
      <c r="AG25" s="19" t="s">
        <v>38</v>
      </c>
      <c r="AH25" s="19" t="s">
        <v>92</v>
      </c>
    </row>
    <row r="26" spans="1:34" x14ac:dyDescent="0.3">
      <c r="A26" s="74" t="s">
        <v>358</v>
      </c>
      <c r="B26" s="10" t="s">
        <v>410</v>
      </c>
      <c r="C26" s="10" t="s">
        <v>411</v>
      </c>
      <c r="D26" s="11">
        <v>45135</v>
      </c>
      <c r="E26" s="12">
        <v>168000</v>
      </c>
      <c r="F26" s="10" t="s">
        <v>32</v>
      </c>
      <c r="G26" s="10" t="s">
        <v>33</v>
      </c>
      <c r="H26" s="12">
        <v>168000</v>
      </c>
      <c r="I26" s="12">
        <v>65700</v>
      </c>
      <c r="J26" s="13">
        <f t="shared" si="7"/>
        <v>39.107142857142854</v>
      </c>
      <c r="K26" s="12">
        <v>178254</v>
      </c>
      <c r="L26" s="12">
        <f>H26-162591</f>
        <v>5409</v>
      </c>
      <c r="M26" s="12">
        <v>15663</v>
      </c>
      <c r="N26" s="66">
        <f t="shared" si="8"/>
        <v>9.3232142857142861E-2</v>
      </c>
      <c r="O26" s="14">
        <v>92.13</v>
      </c>
      <c r="P26" s="15">
        <v>131.01</v>
      </c>
      <c r="Q26" s="16">
        <v>0.27100000000000002</v>
      </c>
      <c r="R26" s="16">
        <v>0.27100000000000002</v>
      </c>
      <c r="S26" s="12">
        <f t="shared" si="9"/>
        <v>58.710517746662326</v>
      </c>
      <c r="T26" s="12">
        <f t="shared" si="10"/>
        <v>19959.409594095938</v>
      </c>
      <c r="U26" s="17">
        <f t="shared" si="11"/>
        <v>0.45820499527309316</v>
      </c>
      <c r="V26" s="16">
        <v>90</v>
      </c>
      <c r="W26" s="16">
        <f t="shared" si="12"/>
        <v>33600</v>
      </c>
      <c r="X26" s="16">
        <f t="shared" si="13"/>
        <v>373.33333333333331</v>
      </c>
      <c r="Y26" s="18" t="s">
        <v>409</v>
      </c>
      <c r="Z26" s="10" t="s">
        <v>35</v>
      </c>
      <c r="AA26" s="10" t="s">
        <v>35</v>
      </c>
      <c r="AB26" s="10" t="s">
        <v>358</v>
      </c>
      <c r="AC26" s="10">
        <v>0</v>
      </c>
      <c r="AD26" s="10">
        <v>1</v>
      </c>
      <c r="AE26" s="10" t="s">
        <v>412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5" t="s">
        <v>358</v>
      </c>
      <c r="B27" s="19" t="s">
        <v>413</v>
      </c>
      <c r="C27" s="19" t="s">
        <v>414</v>
      </c>
      <c r="D27" s="20">
        <v>45294</v>
      </c>
      <c r="E27" s="21">
        <v>195000</v>
      </c>
      <c r="F27" s="19" t="s">
        <v>32</v>
      </c>
      <c r="G27" s="19" t="s">
        <v>33</v>
      </c>
      <c r="H27" s="21">
        <v>195000</v>
      </c>
      <c r="I27" s="21">
        <v>69300</v>
      </c>
      <c r="J27" s="22">
        <f t="shared" si="7"/>
        <v>35.53846153846154</v>
      </c>
      <c r="K27" s="21">
        <v>188584</v>
      </c>
      <c r="L27" s="21">
        <f>H27-176358</f>
        <v>18642</v>
      </c>
      <c r="M27" s="21">
        <v>12226</v>
      </c>
      <c r="N27" s="67">
        <f t="shared" si="8"/>
        <v>6.2697435897435899E-2</v>
      </c>
      <c r="O27" s="23">
        <v>71.91</v>
      </c>
      <c r="P27" s="24">
        <v>135</v>
      </c>
      <c r="Q27" s="25">
        <v>0.19700000000000001</v>
      </c>
      <c r="R27" s="25">
        <v>0.19700000000000001</v>
      </c>
      <c r="S27" s="21">
        <f t="shared" si="9"/>
        <v>259.24071756362122</v>
      </c>
      <c r="T27" s="21">
        <f t="shared" si="10"/>
        <v>94629.441624365485</v>
      </c>
      <c r="U27" s="26">
        <f t="shared" si="11"/>
        <v>2.1723930584105942</v>
      </c>
      <c r="V27" s="25">
        <v>80.459999999999994</v>
      </c>
      <c r="W27" s="25">
        <f t="shared" si="12"/>
        <v>39000</v>
      </c>
      <c r="X27" s="25">
        <f t="shared" si="13"/>
        <v>484.71290082028338</v>
      </c>
      <c r="Y27" s="27" t="s">
        <v>409</v>
      </c>
      <c r="Z27" s="19" t="s">
        <v>35</v>
      </c>
      <c r="AA27" s="19" t="s">
        <v>35</v>
      </c>
      <c r="AB27" s="19" t="s">
        <v>358</v>
      </c>
      <c r="AC27" s="19">
        <v>0</v>
      </c>
      <c r="AD27" s="19">
        <v>1</v>
      </c>
      <c r="AE27" s="19" t="s">
        <v>42</v>
      </c>
      <c r="AF27" s="19" t="s">
        <v>43</v>
      </c>
      <c r="AG27" s="19" t="s">
        <v>38</v>
      </c>
      <c r="AH27" s="19" t="s">
        <v>92</v>
      </c>
    </row>
  </sheetData>
  <sortState xmlns:xlrd2="http://schemas.microsoft.com/office/spreadsheetml/2017/richdata2" ref="A2:AH15">
    <sortCondition ref="S2:S15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50"/>
  </sheetPr>
  <dimension ref="A1:AH44"/>
  <sheetViews>
    <sheetView topLeftCell="A4" workbookViewId="0">
      <selection activeCell="E26" sqref="E26:L3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10937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1096</v>
      </c>
      <c r="B2" s="19" t="s">
        <v>1113</v>
      </c>
      <c r="C2" s="19" t="s">
        <v>1114</v>
      </c>
      <c r="D2" s="20">
        <v>45380</v>
      </c>
      <c r="E2" s="21">
        <v>174900</v>
      </c>
      <c r="F2" s="19" t="s">
        <v>32</v>
      </c>
      <c r="G2" s="19" t="s">
        <v>33</v>
      </c>
      <c r="H2" s="21">
        <v>174900</v>
      </c>
      <c r="I2" s="21">
        <v>74500</v>
      </c>
      <c r="J2" s="22">
        <f t="shared" ref="J2:J22" si="0">I2/H2*100</f>
        <v>42.59576901086335</v>
      </c>
      <c r="K2" s="21">
        <v>185723</v>
      </c>
      <c r="L2" s="21">
        <f>H2-175522</f>
        <v>-622</v>
      </c>
      <c r="M2" s="21">
        <v>10201</v>
      </c>
      <c r="N2" s="67">
        <f t="shared" ref="N2:N22" si="1">M2/E2</f>
        <v>5.8324757004002289E-2</v>
      </c>
      <c r="O2" s="23">
        <v>42.68</v>
      </c>
      <c r="P2" s="24">
        <v>136.63999999999999</v>
      </c>
      <c r="Q2" s="25">
        <v>0.125</v>
      </c>
      <c r="R2" s="25">
        <v>0.125</v>
      </c>
      <c r="S2" s="21">
        <f t="shared" ref="S2:S22" si="2">L2/O2</f>
        <v>-14.57357075913777</v>
      </c>
      <c r="T2" s="21">
        <f t="shared" ref="T2:T22" si="3">L2/Q2</f>
        <v>-4976</v>
      </c>
      <c r="U2" s="26">
        <f t="shared" ref="U2:U22" si="4">L2/Q2/43560</f>
        <v>-0.11423324150596878</v>
      </c>
      <c r="V2" s="25">
        <v>40</v>
      </c>
      <c r="W2" s="25">
        <f t="shared" ref="W2:W22" si="5">0.2*E2</f>
        <v>34980</v>
      </c>
      <c r="X2" s="25">
        <f t="shared" ref="X2:X22" si="6">W2/V2</f>
        <v>874.5</v>
      </c>
      <c r="Y2" s="27" t="s">
        <v>1095</v>
      </c>
      <c r="Z2" s="19" t="s">
        <v>35</v>
      </c>
      <c r="AA2" s="19" t="s">
        <v>35</v>
      </c>
      <c r="AB2" s="19" t="s">
        <v>1096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1096</v>
      </c>
      <c r="B3" s="19" t="s">
        <v>1119</v>
      </c>
      <c r="C3" s="19" t="s">
        <v>1120</v>
      </c>
      <c r="D3" s="20">
        <v>45026</v>
      </c>
      <c r="E3" s="21">
        <v>122500</v>
      </c>
      <c r="F3" s="19" t="s">
        <v>32</v>
      </c>
      <c r="G3" s="19" t="s">
        <v>33</v>
      </c>
      <c r="H3" s="21">
        <v>122500</v>
      </c>
      <c r="I3" s="21">
        <v>53900</v>
      </c>
      <c r="J3" s="22">
        <f t="shared" si="0"/>
        <v>44</v>
      </c>
      <c r="K3" s="21">
        <v>132971</v>
      </c>
      <c r="L3" s="21">
        <f>H3-122566</f>
        <v>-66</v>
      </c>
      <c r="M3" s="21">
        <v>10405</v>
      </c>
      <c r="N3" s="67">
        <f t="shared" si="1"/>
        <v>8.4938775510204081E-2</v>
      </c>
      <c r="O3" s="23">
        <v>43.53</v>
      </c>
      <c r="P3" s="24">
        <v>142.15</v>
      </c>
      <c r="Q3" s="25">
        <v>0.13100000000000001</v>
      </c>
      <c r="R3" s="25">
        <v>0.13100000000000001</v>
      </c>
      <c r="S3" s="21">
        <f t="shared" si="2"/>
        <v>-1.516195727084769</v>
      </c>
      <c r="T3" s="21">
        <f t="shared" si="3"/>
        <v>-503.81679389312973</v>
      </c>
      <c r="U3" s="26">
        <f t="shared" si="4"/>
        <v>-1.1566042100393244E-2</v>
      </c>
      <c r="V3" s="25">
        <v>40</v>
      </c>
      <c r="W3" s="25">
        <f t="shared" si="5"/>
        <v>24500</v>
      </c>
      <c r="X3" s="25">
        <f t="shared" si="6"/>
        <v>612.5</v>
      </c>
      <c r="Y3" s="27" t="s">
        <v>1095</v>
      </c>
      <c r="Z3" s="19" t="s">
        <v>35</v>
      </c>
      <c r="AA3" s="19" t="s">
        <v>35</v>
      </c>
      <c r="AB3" s="19" t="s">
        <v>1096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1096</v>
      </c>
      <c r="B4" s="10" t="s">
        <v>1141</v>
      </c>
      <c r="C4" s="10" t="s">
        <v>1142</v>
      </c>
      <c r="D4" s="11">
        <v>45216</v>
      </c>
      <c r="E4" s="12">
        <v>110000</v>
      </c>
      <c r="F4" s="10" t="s">
        <v>32</v>
      </c>
      <c r="G4" s="10" t="s">
        <v>33</v>
      </c>
      <c r="H4" s="12">
        <v>110000</v>
      </c>
      <c r="I4" s="12">
        <v>46800</v>
      </c>
      <c r="J4" s="13">
        <f t="shared" si="0"/>
        <v>42.545454545454547</v>
      </c>
      <c r="K4" s="12">
        <v>115020</v>
      </c>
      <c r="L4" s="12">
        <f>H4-105089</f>
        <v>4911</v>
      </c>
      <c r="M4" s="12">
        <v>9931</v>
      </c>
      <c r="N4" s="66">
        <f t="shared" si="1"/>
        <v>9.0281818181818185E-2</v>
      </c>
      <c r="O4" s="14">
        <v>41.55</v>
      </c>
      <c r="P4" s="15">
        <v>129.5</v>
      </c>
      <c r="Q4" s="16">
        <v>0.11899999999999999</v>
      </c>
      <c r="R4" s="16">
        <v>0.11899999999999999</v>
      </c>
      <c r="S4" s="12">
        <f t="shared" si="2"/>
        <v>118.19494584837545</v>
      </c>
      <c r="T4" s="12">
        <f t="shared" si="3"/>
        <v>41268.907563025212</v>
      </c>
      <c r="U4" s="17">
        <f t="shared" si="4"/>
        <v>0.94740375489038597</v>
      </c>
      <c r="V4" s="16">
        <v>40</v>
      </c>
      <c r="W4" s="16">
        <f t="shared" si="5"/>
        <v>22000</v>
      </c>
      <c r="X4" s="16">
        <f t="shared" si="6"/>
        <v>550</v>
      </c>
      <c r="Y4" s="18" t="s">
        <v>1095</v>
      </c>
      <c r="Z4" s="10" t="s">
        <v>35</v>
      </c>
      <c r="AA4" s="10" t="s">
        <v>35</v>
      </c>
      <c r="AB4" s="10" t="s">
        <v>1096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1096</v>
      </c>
      <c r="B5" s="10" t="s">
        <v>1149</v>
      </c>
      <c r="C5" s="10" t="s">
        <v>1150</v>
      </c>
      <c r="D5" s="11">
        <v>45044</v>
      </c>
      <c r="E5" s="12">
        <v>163000</v>
      </c>
      <c r="F5" s="10" t="s">
        <v>32</v>
      </c>
      <c r="G5" s="10" t="s">
        <v>33</v>
      </c>
      <c r="H5" s="12">
        <v>163000</v>
      </c>
      <c r="I5" s="12">
        <v>65500</v>
      </c>
      <c r="J5" s="13">
        <f t="shared" si="0"/>
        <v>40.184049079754601</v>
      </c>
      <c r="K5" s="12">
        <v>164517</v>
      </c>
      <c r="L5" s="12">
        <f>H5-154586</f>
        <v>8414</v>
      </c>
      <c r="M5" s="12">
        <v>9931</v>
      </c>
      <c r="N5" s="66">
        <f t="shared" si="1"/>
        <v>6.0926380368098158E-2</v>
      </c>
      <c r="O5" s="14">
        <v>41.55</v>
      </c>
      <c r="P5" s="15">
        <v>129.5</v>
      </c>
      <c r="Q5" s="16">
        <v>0.11899999999999999</v>
      </c>
      <c r="R5" s="16">
        <v>0.11899999999999999</v>
      </c>
      <c r="S5" s="12">
        <f t="shared" si="2"/>
        <v>202.50300842358607</v>
      </c>
      <c r="T5" s="12">
        <f t="shared" si="3"/>
        <v>70705.882352941175</v>
      </c>
      <c r="U5" s="17">
        <f t="shared" si="4"/>
        <v>1.6231837087452061</v>
      </c>
      <c r="V5" s="16">
        <v>40</v>
      </c>
      <c r="W5" s="16">
        <f t="shared" si="5"/>
        <v>32600</v>
      </c>
      <c r="X5" s="16">
        <f t="shared" si="6"/>
        <v>815</v>
      </c>
      <c r="Y5" s="18" t="s">
        <v>1095</v>
      </c>
      <c r="Z5" s="10" t="s">
        <v>35</v>
      </c>
      <c r="AA5" s="10" t="s">
        <v>35</v>
      </c>
      <c r="AB5" s="10" t="s">
        <v>1096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1096</v>
      </c>
      <c r="B6" s="10" t="s">
        <v>1139</v>
      </c>
      <c r="C6" s="10" t="s">
        <v>1140</v>
      </c>
      <c r="D6" s="11">
        <v>45238</v>
      </c>
      <c r="E6" s="12">
        <v>170000</v>
      </c>
      <c r="F6" s="10" t="s">
        <v>32</v>
      </c>
      <c r="G6" s="10" t="s">
        <v>33</v>
      </c>
      <c r="H6" s="12">
        <v>170000</v>
      </c>
      <c r="I6" s="12">
        <v>67300</v>
      </c>
      <c r="J6" s="13">
        <f t="shared" si="0"/>
        <v>39.588235294117645</v>
      </c>
      <c r="K6" s="12">
        <v>169686</v>
      </c>
      <c r="L6" s="12">
        <f>H6-159755</f>
        <v>10245</v>
      </c>
      <c r="M6" s="12">
        <v>9931</v>
      </c>
      <c r="N6" s="66">
        <f t="shared" si="1"/>
        <v>5.8417647058823532E-2</v>
      </c>
      <c r="O6" s="14">
        <v>41.55</v>
      </c>
      <c r="P6" s="15">
        <v>129.5</v>
      </c>
      <c r="Q6" s="16">
        <v>0.11899999999999999</v>
      </c>
      <c r="R6" s="16">
        <v>0.11899999999999999</v>
      </c>
      <c r="S6" s="12">
        <f t="shared" si="2"/>
        <v>246.57039711191337</v>
      </c>
      <c r="T6" s="12">
        <f t="shared" si="3"/>
        <v>86092.436974789918</v>
      </c>
      <c r="U6" s="17">
        <f t="shared" si="4"/>
        <v>1.9764103988702919</v>
      </c>
      <c r="V6" s="16">
        <v>40</v>
      </c>
      <c r="W6" s="16">
        <f t="shared" si="5"/>
        <v>34000</v>
      </c>
      <c r="X6" s="16">
        <f t="shared" si="6"/>
        <v>850</v>
      </c>
      <c r="Y6" s="18" t="s">
        <v>1095</v>
      </c>
      <c r="Z6" s="10" t="s">
        <v>35</v>
      </c>
      <c r="AA6" s="10" t="s">
        <v>35</v>
      </c>
      <c r="AB6" s="10" t="s">
        <v>1096</v>
      </c>
      <c r="AC6" s="10">
        <v>0</v>
      </c>
      <c r="AD6" s="10">
        <v>1</v>
      </c>
      <c r="AE6" s="10" t="s">
        <v>412</v>
      </c>
      <c r="AF6" s="10" t="s">
        <v>43</v>
      </c>
      <c r="AG6" s="10" t="s">
        <v>38</v>
      </c>
      <c r="AH6" s="10" t="s">
        <v>92</v>
      </c>
    </row>
    <row r="7" spans="1:34" x14ac:dyDescent="0.3">
      <c r="A7" s="75" t="s">
        <v>1096</v>
      </c>
      <c r="B7" s="19" t="s">
        <v>1105</v>
      </c>
      <c r="C7" s="19" t="s">
        <v>1106</v>
      </c>
      <c r="D7" s="20">
        <v>45583</v>
      </c>
      <c r="E7" s="21">
        <v>147000</v>
      </c>
      <c r="F7" s="19" t="s">
        <v>32</v>
      </c>
      <c r="G7" s="19" t="s">
        <v>33</v>
      </c>
      <c r="H7" s="21">
        <v>147000</v>
      </c>
      <c r="I7" s="21">
        <v>67400</v>
      </c>
      <c r="J7" s="22">
        <f t="shared" si="0"/>
        <v>45.850340136054427</v>
      </c>
      <c r="K7" s="21">
        <v>144075</v>
      </c>
      <c r="L7" s="21">
        <f>H7-134279</f>
        <v>12721</v>
      </c>
      <c r="M7" s="21">
        <v>9796</v>
      </c>
      <c r="N7" s="67">
        <f t="shared" si="1"/>
        <v>6.6639455782312923E-2</v>
      </c>
      <c r="O7" s="23">
        <v>40.98</v>
      </c>
      <c r="P7" s="24">
        <v>126</v>
      </c>
      <c r="Q7" s="25">
        <v>0.11600000000000001</v>
      </c>
      <c r="R7" s="25">
        <v>0.11600000000000001</v>
      </c>
      <c r="S7" s="21">
        <f t="shared" si="2"/>
        <v>310.41971693509032</v>
      </c>
      <c r="T7" s="21">
        <f t="shared" si="3"/>
        <v>109663.79310344828</v>
      </c>
      <c r="U7" s="26">
        <f t="shared" si="4"/>
        <v>2.5175342769386657</v>
      </c>
      <c r="V7" s="25">
        <v>40</v>
      </c>
      <c r="W7" s="25">
        <f t="shared" si="5"/>
        <v>29400</v>
      </c>
      <c r="X7" s="25">
        <f t="shared" si="6"/>
        <v>735</v>
      </c>
      <c r="Y7" s="27" t="s">
        <v>1095</v>
      </c>
      <c r="Z7" s="19" t="s">
        <v>35</v>
      </c>
      <c r="AA7" s="19" t="s">
        <v>35</v>
      </c>
      <c r="AB7" s="19" t="s">
        <v>1096</v>
      </c>
      <c r="AC7" s="19">
        <v>0</v>
      </c>
      <c r="AD7" s="19">
        <v>1</v>
      </c>
      <c r="AE7" s="19" t="s">
        <v>42</v>
      </c>
      <c r="AF7" s="19" t="s">
        <v>35</v>
      </c>
      <c r="AG7" s="19" t="s">
        <v>38</v>
      </c>
      <c r="AH7" s="19" t="s">
        <v>92</v>
      </c>
    </row>
    <row r="8" spans="1:34" x14ac:dyDescent="0.3">
      <c r="A8" s="75" t="s">
        <v>1096</v>
      </c>
      <c r="B8" s="19" t="s">
        <v>1103</v>
      </c>
      <c r="C8" s="19" t="s">
        <v>1104</v>
      </c>
      <c r="D8" s="20">
        <v>45167</v>
      </c>
      <c r="E8" s="21">
        <v>145000</v>
      </c>
      <c r="F8" s="19" t="s">
        <v>32</v>
      </c>
      <c r="G8" s="19" t="s">
        <v>33</v>
      </c>
      <c r="H8" s="21">
        <v>145000</v>
      </c>
      <c r="I8" s="21">
        <v>53800</v>
      </c>
      <c r="J8" s="22">
        <f t="shared" si="0"/>
        <v>37.103448275862064</v>
      </c>
      <c r="K8" s="21">
        <v>132530</v>
      </c>
      <c r="L8" s="21">
        <f>H8-112629</f>
        <v>32371</v>
      </c>
      <c r="M8" s="21">
        <v>19901</v>
      </c>
      <c r="N8" s="67">
        <f t="shared" si="1"/>
        <v>0.13724827586206897</v>
      </c>
      <c r="O8" s="23">
        <v>83.26</v>
      </c>
      <c r="P8" s="24">
        <v>130</v>
      </c>
      <c r="Q8" s="25">
        <v>0.23899999999999999</v>
      </c>
      <c r="R8" s="25">
        <v>0.23899999999999999</v>
      </c>
      <c r="S8" s="21">
        <f t="shared" si="2"/>
        <v>388.7941388421811</v>
      </c>
      <c r="T8" s="21">
        <f t="shared" si="3"/>
        <v>135443.51464435147</v>
      </c>
      <c r="U8" s="26">
        <f t="shared" si="4"/>
        <v>3.109355248952054</v>
      </c>
      <c r="V8" s="25">
        <v>80</v>
      </c>
      <c r="W8" s="25">
        <f t="shared" si="5"/>
        <v>29000</v>
      </c>
      <c r="X8" s="25">
        <f t="shared" si="6"/>
        <v>362.5</v>
      </c>
      <c r="Y8" s="27" t="s">
        <v>1095</v>
      </c>
      <c r="Z8" s="19" t="s">
        <v>35</v>
      </c>
      <c r="AA8" s="19" t="s">
        <v>35</v>
      </c>
      <c r="AB8" s="19" t="s">
        <v>1096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1096</v>
      </c>
      <c r="B9" s="10" t="s">
        <v>1097</v>
      </c>
      <c r="C9" s="10" t="s">
        <v>1098</v>
      </c>
      <c r="D9" s="11">
        <v>45441</v>
      </c>
      <c r="E9" s="12">
        <v>135000</v>
      </c>
      <c r="F9" s="10" t="s">
        <v>32</v>
      </c>
      <c r="G9" s="10" t="s">
        <v>33</v>
      </c>
      <c r="H9" s="12">
        <v>135000</v>
      </c>
      <c r="I9" s="12">
        <v>57600</v>
      </c>
      <c r="J9" s="13">
        <f t="shared" si="0"/>
        <v>42.666666666666671</v>
      </c>
      <c r="K9" s="12">
        <v>128765</v>
      </c>
      <c r="L9" s="12">
        <f>H9-118947</f>
        <v>16053</v>
      </c>
      <c r="M9" s="12">
        <v>9818</v>
      </c>
      <c r="N9" s="66">
        <f t="shared" si="1"/>
        <v>7.272592592592593E-2</v>
      </c>
      <c r="O9" s="14">
        <v>41.07</v>
      </c>
      <c r="P9" s="15">
        <v>100</v>
      </c>
      <c r="Q9" s="16">
        <v>0.10299999999999999</v>
      </c>
      <c r="R9" s="16">
        <v>0.10299999999999999</v>
      </c>
      <c r="S9" s="12">
        <f t="shared" si="2"/>
        <v>390.86924762600438</v>
      </c>
      <c r="T9" s="12">
        <f t="shared" si="3"/>
        <v>155854.36893203884</v>
      </c>
      <c r="U9" s="17">
        <f t="shared" si="4"/>
        <v>3.5779239883388163</v>
      </c>
      <c r="V9" s="16">
        <v>45</v>
      </c>
      <c r="W9" s="16">
        <f t="shared" si="5"/>
        <v>27000</v>
      </c>
      <c r="X9" s="16">
        <f t="shared" si="6"/>
        <v>600</v>
      </c>
      <c r="Y9" s="18" t="s">
        <v>1095</v>
      </c>
      <c r="Z9" s="10" t="s">
        <v>35</v>
      </c>
      <c r="AA9" s="10" t="s">
        <v>35</v>
      </c>
      <c r="AB9" s="10" t="s">
        <v>1096</v>
      </c>
      <c r="AC9" s="10">
        <v>0</v>
      </c>
      <c r="AD9" s="10">
        <v>1</v>
      </c>
      <c r="AE9" s="10" t="s">
        <v>1099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1096</v>
      </c>
      <c r="B10" s="19" t="s">
        <v>1145</v>
      </c>
      <c r="C10" s="19" t="s">
        <v>1146</v>
      </c>
      <c r="D10" s="20">
        <v>45188</v>
      </c>
      <c r="E10" s="21">
        <v>175000</v>
      </c>
      <c r="F10" s="19" t="s">
        <v>32</v>
      </c>
      <c r="G10" s="19" t="s">
        <v>33</v>
      </c>
      <c r="H10" s="21">
        <v>175000</v>
      </c>
      <c r="I10" s="21">
        <v>68700</v>
      </c>
      <c r="J10" s="22">
        <f t="shared" si="0"/>
        <v>39.25714285714286</v>
      </c>
      <c r="K10" s="21">
        <v>163405</v>
      </c>
      <c r="L10" s="21">
        <f>H10-153474</f>
        <v>21526</v>
      </c>
      <c r="M10" s="21">
        <v>9931</v>
      </c>
      <c r="N10" s="67">
        <f t="shared" si="1"/>
        <v>5.6748571428571426E-2</v>
      </c>
      <c r="O10" s="23">
        <v>41.55</v>
      </c>
      <c r="P10" s="24">
        <v>129.5</v>
      </c>
      <c r="Q10" s="25">
        <v>0.11899999999999999</v>
      </c>
      <c r="R10" s="25">
        <v>0.11899999999999999</v>
      </c>
      <c r="S10" s="21">
        <f t="shared" si="2"/>
        <v>518.07460890493383</v>
      </c>
      <c r="T10" s="21">
        <f t="shared" si="3"/>
        <v>180890.75630252101</v>
      </c>
      <c r="U10" s="26">
        <f t="shared" si="4"/>
        <v>4.1526803558889123</v>
      </c>
      <c r="V10" s="25">
        <v>40</v>
      </c>
      <c r="W10" s="25">
        <f t="shared" si="5"/>
        <v>35000</v>
      </c>
      <c r="X10" s="25">
        <f t="shared" si="6"/>
        <v>875</v>
      </c>
      <c r="Y10" s="27" t="s">
        <v>1095</v>
      </c>
      <c r="Z10" s="19" t="s">
        <v>35</v>
      </c>
      <c r="AA10" s="19" t="s">
        <v>35</v>
      </c>
      <c r="AB10" s="19" t="s">
        <v>1096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1096</v>
      </c>
      <c r="B11" s="10" t="s">
        <v>1147</v>
      </c>
      <c r="C11" s="10" t="s">
        <v>1148</v>
      </c>
      <c r="D11" s="11">
        <v>45518</v>
      </c>
      <c r="E11" s="12">
        <v>170000</v>
      </c>
      <c r="F11" s="10" t="s">
        <v>32</v>
      </c>
      <c r="G11" s="10" t="s">
        <v>33</v>
      </c>
      <c r="H11" s="12">
        <v>170000</v>
      </c>
      <c r="I11" s="12">
        <v>73900</v>
      </c>
      <c r="J11" s="13">
        <f t="shared" si="0"/>
        <v>43.470588235294116</v>
      </c>
      <c r="K11" s="12">
        <v>156656</v>
      </c>
      <c r="L11" s="12">
        <f>H11-146725</f>
        <v>23275</v>
      </c>
      <c r="M11" s="12">
        <v>9931</v>
      </c>
      <c r="N11" s="66">
        <f t="shared" si="1"/>
        <v>5.8417647058823532E-2</v>
      </c>
      <c r="O11" s="14">
        <v>41.55</v>
      </c>
      <c r="P11" s="15">
        <v>129.5</v>
      </c>
      <c r="Q11" s="16">
        <v>0.11899999999999999</v>
      </c>
      <c r="R11" s="16">
        <v>0.11899999999999999</v>
      </c>
      <c r="S11" s="12">
        <f t="shared" si="2"/>
        <v>560.16847172081827</v>
      </c>
      <c r="T11" s="12">
        <f t="shared" si="3"/>
        <v>195588.23529411765</v>
      </c>
      <c r="U11" s="17">
        <f t="shared" si="4"/>
        <v>4.490088046237779</v>
      </c>
      <c r="V11" s="16">
        <v>40</v>
      </c>
      <c r="W11" s="16">
        <f t="shared" si="5"/>
        <v>34000</v>
      </c>
      <c r="X11" s="16">
        <f t="shared" si="6"/>
        <v>850</v>
      </c>
      <c r="Y11" s="18" t="s">
        <v>1095</v>
      </c>
      <c r="Z11" s="10" t="s">
        <v>35</v>
      </c>
      <c r="AA11" s="10" t="s">
        <v>35</v>
      </c>
      <c r="AB11" s="10" t="s">
        <v>1096</v>
      </c>
      <c r="AC11" s="10">
        <v>0</v>
      </c>
      <c r="AD11" s="10">
        <v>1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1096</v>
      </c>
      <c r="B12" s="10" t="s">
        <v>1133</v>
      </c>
      <c r="C12" s="10" t="s">
        <v>1134</v>
      </c>
      <c r="D12" s="11">
        <v>45359</v>
      </c>
      <c r="E12" s="12">
        <v>168000</v>
      </c>
      <c r="F12" s="10" t="s">
        <v>32</v>
      </c>
      <c r="G12" s="10" t="s">
        <v>33</v>
      </c>
      <c r="H12" s="12">
        <v>168000</v>
      </c>
      <c r="I12" s="12">
        <v>61800</v>
      </c>
      <c r="J12" s="13">
        <f t="shared" si="0"/>
        <v>36.785714285714292</v>
      </c>
      <c r="K12" s="12">
        <v>153861</v>
      </c>
      <c r="L12" s="12">
        <f>H12-143645</f>
        <v>24355</v>
      </c>
      <c r="M12" s="12">
        <v>10216</v>
      </c>
      <c r="N12" s="66">
        <f t="shared" si="1"/>
        <v>6.0809523809523806E-2</v>
      </c>
      <c r="O12" s="14">
        <v>42.74</v>
      </c>
      <c r="P12" s="15">
        <v>137.03</v>
      </c>
      <c r="Q12" s="16">
        <v>0.126</v>
      </c>
      <c r="R12" s="16">
        <v>0.126</v>
      </c>
      <c r="S12" s="12">
        <f t="shared" si="2"/>
        <v>569.8408984557791</v>
      </c>
      <c r="T12" s="12">
        <f t="shared" si="3"/>
        <v>193293.6507936508</v>
      </c>
      <c r="U12" s="17">
        <f t="shared" si="4"/>
        <v>4.4374116343813315</v>
      </c>
      <c r="V12" s="16">
        <v>40</v>
      </c>
      <c r="W12" s="16">
        <f t="shared" si="5"/>
        <v>33600</v>
      </c>
      <c r="X12" s="16">
        <f t="shared" si="6"/>
        <v>840</v>
      </c>
      <c r="Y12" s="18" t="s">
        <v>1095</v>
      </c>
      <c r="Z12" s="10" t="s">
        <v>35</v>
      </c>
      <c r="AA12" s="10" t="s">
        <v>35</v>
      </c>
      <c r="AB12" s="10" t="s">
        <v>1096</v>
      </c>
      <c r="AC12" s="10">
        <v>0</v>
      </c>
      <c r="AD12" s="10">
        <v>1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5" t="s">
        <v>1096</v>
      </c>
      <c r="B13" s="19" t="s">
        <v>1121</v>
      </c>
      <c r="C13" s="19" t="s">
        <v>1122</v>
      </c>
      <c r="D13" s="20">
        <v>45685</v>
      </c>
      <c r="E13" s="21">
        <v>130000</v>
      </c>
      <c r="F13" s="19" t="s">
        <v>32</v>
      </c>
      <c r="G13" s="19" t="s">
        <v>33</v>
      </c>
      <c r="H13" s="21">
        <v>130000</v>
      </c>
      <c r="I13" s="21">
        <v>53200</v>
      </c>
      <c r="J13" s="22">
        <f t="shared" si="0"/>
        <v>40.92307692307692</v>
      </c>
      <c r="K13" s="21">
        <v>117123</v>
      </c>
      <c r="L13" s="21">
        <f>H13-107927</f>
        <v>22073</v>
      </c>
      <c r="M13" s="21">
        <v>9196</v>
      </c>
      <c r="N13" s="67">
        <f t="shared" si="1"/>
        <v>7.0738461538461542E-2</v>
      </c>
      <c r="O13" s="23">
        <v>38.47</v>
      </c>
      <c r="P13" s="24">
        <v>100</v>
      </c>
      <c r="Q13" s="25">
        <v>9.7000000000000003E-2</v>
      </c>
      <c r="R13" s="25">
        <v>9.7000000000000003E-2</v>
      </c>
      <c r="S13" s="21">
        <f t="shared" si="2"/>
        <v>573.77177021055365</v>
      </c>
      <c r="T13" s="21">
        <f t="shared" si="3"/>
        <v>227556.70103092783</v>
      </c>
      <c r="U13" s="26">
        <f t="shared" si="4"/>
        <v>5.2239830356044035</v>
      </c>
      <c r="V13" s="25">
        <v>42.15</v>
      </c>
      <c r="W13" s="25">
        <f t="shared" si="5"/>
        <v>26000</v>
      </c>
      <c r="X13" s="25">
        <f t="shared" si="6"/>
        <v>616.84460260972719</v>
      </c>
      <c r="Y13" s="27" t="s">
        <v>1095</v>
      </c>
      <c r="Z13" s="19" t="s">
        <v>35</v>
      </c>
      <c r="AA13" s="19" t="s">
        <v>35</v>
      </c>
      <c r="AB13" s="19" t="s">
        <v>1096</v>
      </c>
      <c r="AC13" s="19">
        <v>0</v>
      </c>
      <c r="AD13" s="19">
        <v>1</v>
      </c>
      <c r="AE13" s="19" t="s">
        <v>37</v>
      </c>
      <c r="AF13" s="19" t="s">
        <v>35</v>
      </c>
      <c r="AG13" s="19" t="s">
        <v>38</v>
      </c>
      <c r="AH13" s="19" t="s">
        <v>92</v>
      </c>
    </row>
    <row r="14" spans="1:34" x14ac:dyDescent="0.3">
      <c r="A14" s="75" t="s">
        <v>1096</v>
      </c>
      <c r="B14" s="19" t="s">
        <v>1137</v>
      </c>
      <c r="C14" s="19" t="s">
        <v>1138</v>
      </c>
      <c r="D14" s="20">
        <v>45457</v>
      </c>
      <c r="E14" s="21">
        <v>223000</v>
      </c>
      <c r="F14" s="19" t="s">
        <v>32</v>
      </c>
      <c r="G14" s="19" t="s">
        <v>33</v>
      </c>
      <c r="H14" s="21">
        <v>223000</v>
      </c>
      <c r="I14" s="21">
        <v>95400</v>
      </c>
      <c r="J14" s="22">
        <f t="shared" si="0"/>
        <v>42.780269058295964</v>
      </c>
      <c r="K14" s="21">
        <v>207957</v>
      </c>
      <c r="L14" s="21">
        <f>H14-197817</f>
        <v>25183</v>
      </c>
      <c r="M14" s="21">
        <v>10140</v>
      </c>
      <c r="N14" s="67">
        <f t="shared" si="1"/>
        <v>4.547085201793722E-2</v>
      </c>
      <c r="O14" s="23">
        <v>42.42</v>
      </c>
      <c r="P14" s="24">
        <v>135</v>
      </c>
      <c r="Q14" s="25">
        <v>0.124</v>
      </c>
      <c r="R14" s="25">
        <v>0.124</v>
      </c>
      <c r="S14" s="21">
        <f t="shared" si="2"/>
        <v>593.65865157944359</v>
      </c>
      <c r="T14" s="21">
        <f t="shared" si="3"/>
        <v>203088.70967741936</v>
      </c>
      <c r="U14" s="26">
        <f t="shared" si="4"/>
        <v>4.6622752451198197</v>
      </c>
      <c r="V14" s="25">
        <v>40</v>
      </c>
      <c r="W14" s="25">
        <f t="shared" si="5"/>
        <v>44600</v>
      </c>
      <c r="X14" s="25">
        <f t="shared" si="6"/>
        <v>1115</v>
      </c>
      <c r="Y14" s="27" t="s">
        <v>1095</v>
      </c>
      <c r="Z14" s="19" t="s">
        <v>35</v>
      </c>
      <c r="AA14" s="19" t="s">
        <v>35</v>
      </c>
      <c r="AB14" s="19" t="s">
        <v>1096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4" t="s">
        <v>1096</v>
      </c>
      <c r="B15" s="10" t="s">
        <v>1125</v>
      </c>
      <c r="C15" s="10" t="s">
        <v>1126</v>
      </c>
      <c r="D15" s="11">
        <v>45273</v>
      </c>
      <c r="E15" s="12">
        <v>148500</v>
      </c>
      <c r="F15" s="10" t="s">
        <v>32</v>
      </c>
      <c r="G15" s="10" t="s">
        <v>33</v>
      </c>
      <c r="H15" s="12">
        <v>148500</v>
      </c>
      <c r="I15" s="12">
        <v>54000</v>
      </c>
      <c r="J15" s="13">
        <f t="shared" si="0"/>
        <v>36.363636363636367</v>
      </c>
      <c r="K15" s="12">
        <v>133272</v>
      </c>
      <c r="L15" s="12">
        <f>H15-123360</f>
        <v>25140</v>
      </c>
      <c r="M15" s="12">
        <v>9912</v>
      </c>
      <c r="N15" s="66">
        <f t="shared" si="1"/>
        <v>6.674747474747475E-2</v>
      </c>
      <c r="O15" s="14">
        <v>41.47</v>
      </c>
      <c r="P15" s="15">
        <v>129</v>
      </c>
      <c r="Q15" s="16">
        <v>0.11799999999999999</v>
      </c>
      <c r="R15" s="16">
        <v>0.11799999999999999</v>
      </c>
      <c r="S15" s="12">
        <f t="shared" si="2"/>
        <v>606.22136484205453</v>
      </c>
      <c r="T15" s="12">
        <f t="shared" si="3"/>
        <v>213050.84745762713</v>
      </c>
      <c r="U15" s="17">
        <f t="shared" si="4"/>
        <v>4.8909744595414857</v>
      </c>
      <c r="V15" s="16">
        <v>40</v>
      </c>
      <c r="W15" s="16">
        <f t="shared" si="5"/>
        <v>29700</v>
      </c>
      <c r="X15" s="16">
        <f t="shared" si="6"/>
        <v>742.5</v>
      </c>
      <c r="Y15" s="18" t="s">
        <v>1095</v>
      </c>
      <c r="Z15" s="10" t="s">
        <v>35</v>
      </c>
      <c r="AA15" s="10" t="s">
        <v>35</v>
      </c>
      <c r="AB15" s="10" t="s">
        <v>1096</v>
      </c>
      <c r="AC15" s="10">
        <v>0</v>
      </c>
      <c r="AD15" s="10">
        <v>1</v>
      </c>
      <c r="AE15" s="10" t="s">
        <v>37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5" t="s">
        <v>1096</v>
      </c>
      <c r="B16" s="19" t="s">
        <v>1129</v>
      </c>
      <c r="C16" s="19" t="s">
        <v>1130</v>
      </c>
      <c r="D16" s="20">
        <v>45744</v>
      </c>
      <c r="E16" s="21">
        <v>144000</v>
      </c>
      <c r="F16" s="19" t="s">
        <v>32</v>
      </c>
      <c r="G16" s="19" t="s">
        <v>33</v>
      </c>
      <c r="H16" s="21">
        <v>144000</v>
      </c>
      <c r="I16" s="21">
        <v>59400</v>
      </c>
      <c r="J16" s="22">
        <f t="shared" si="0"/>
        <v>41.25</v>
      </c>
      <c r="K16" s="21">
        <v>125715</v>
      </c>
      <c r="L16" s="21">
        <f>H16-115940</f>
        <v>28060</v>
      </c>
      <c r="M16" s="21">
        <v>9775</v>
      </c>
      <c r="N16" s="67">
        <f t="shared" si="1"/>
        <v>6.7881944444444439E-2</v>
      </c>
      <c r="O16" s="23">
        <v>40.89</v>
      </c>
      <c r="P16" s="24">
        <v>125.45</v>
      </c>
      <c r="Q16" s="25">
        <v>0.115</v>
      </c>
      <c r="R16" s="25">
        <v>0.115</v>
      </c>
      <c r="S16" s="21">
        <f t="shared" si="2"/>
        <v>686.2313524089019</v>
      </c>
      <c r="T16" s="21">
        <f t="shared" si="3"/>
        <v>244000</v>
      </c>
      <c r="U16" s="26">
        <f t="shared" si="4"/>
        <v>5.6014692378328741</v>
      </c>
      <c r="V16" s="25">
        <v>40</v>
      </c>
      <c r="W16" s="25">
        <f t="shared" si="5"/>
        <v>28800</v>
      </c>
      <c r="X16" s="25">
        <f t="shared" si="6"/>
        <v>720</v>
      </c>
      <c r="Y16" s="27" t="s">
        <v>1095</v>
      </c>
      <c r="Z16" s="19" t="s">
        <v>35</v>
      </c>
      <c r="AA16" s="19" t="s">
        <v>35</v>
      </c>
      <c r="AB16" s="19" t="s">
        <v>1096</v>
      </c>
      <c r="AC16" s="19">
        <v>0</v>
      </c>
      <c r="AD16" s="19">
        <v>1</v>
      </c>
      <c r="AE16" s="19" t="s">
        <v>37</v>
      </c>
      <c r="AF16" s="19" t="s">
        <v>35</v>
      </c>
      <c r="AG16" s="19" t="s">
        <v>38</v>
      </c>
      <c r="AH16" s="19" t="s">
        <v>92</v>
      </c>
    </row>
    <row r="17" spans="1:34" x14ac:dyDescent="0.3">
      <c r="A17" s="74" t="s">
        <v>1096</v>
      </c>
      <c r="B17" s="10" t="s">
        <v>1117</v>
      </c>
      <c r="C17" s="10" t="s">
        <v>1118</v>
      </c>
      <c r="D17" s="11">
        <v>45210</v>
      </c>
      <c r="E17" s="12">
        <v>149900</v>
      </c>
      <c r="F17" s="10" t="s">
        <v>32</v>
      </c>
      <c r="G17" s="10" t="s">
        <v>33</v>
      </c>
      <c r="H17" s="12">
        <v>149900</v>
      </c>
      <c r="I17" s="12">
        <v>53800</v>
      </c>
      <c r="J17" s="13">
        <f t="shared" si="0"/>
        <v>35.890593729152769</v>
      </c>
      <c r="K17" s="12">
        <v>127728</v>
      </c>
      <c r="L17" s="12">
        <f>H17-117323</f>
        <v>32577</v>
      </c>
      <c r="M17" s="12">
        <v>10405</v>
      </c>
      <c r="N17" s="66">
        <f t="shared" si="1"/>
        <v>6.9412941961307539E-2</v>
      </c>
      <c r="O17" s="14">
        <v>43.53</v>
      </c>
      <c r="P17" s="15">
        <v>142.15</v>
      </c>
      <c r="Q17" s="16">
        <v>0.13100000000000001</v>
      </c>
      <c r="R17" s="16">
        <v>0.13100000000000001</v>
      </c>
      <c r="S17" s="12">
        <f t="shared" si="2"/>
        <v>748.38042729152312</v>
      </c>
      <c r="T17" s="12">
        <f t="shared" si="3"/>
        <v>248679.38931297709</v>
      </c>
      <c r="U17" s="17">
        <f t="shared" si="4"/>
        <v>5.7088932349168298</v>
      </c>
      <c r="V17" s="16">
        <v>40</v>
      </c>
      <c r="W17" s="16">
        <f t="shared" si="5"/>
        <v>29980</v>
      </c>
      <c r="X17" s="16">
        <f t="shared" si="6"/>
        <v>749.5</v>
      </c>
      <c r="Y17" s="18" t="s">
        <v>1095</v>
      </c>
      <c r="Z17" s="10" t="s">
        <v>35</v>
      </c>
      <c r="AA17" s="10" t="s">
        <v>35</v>
      </c>
      <c r="AB17" s="10" t="s">
        <v>1096</v>
      </c>
      <c r="AC17" s="10">
        <v>0</v>
      </c>
      <c r="AD17" s="10">
        <v>1</v>
      </c>
      <c r="AE17" s="10" t="s">
        <v>42</v>
      </c>
      <c r="AF17" s="10" t="s">
        <v>43</v>
      </c>
      <c r="AG17" s="10" t="s">
        <v>38</v>
      </c>
      <c r="AH17" s="10" t="s">
        <v>92</v>
      </c>
    </row>
    <row r="18" spans="1:34" x14ac:dyDescent="0.3">
      <c r="A18" s="74" t="s">
        <v>1096</v>
      </c>
      <c r="B18" s="10" t="s">
        <v>1107</v>
      </c>
      <c r="C18" s="10" t="s">
        <v>1108</v>
      </c>
      <c r="D18" s="11">
        <v>45288</v>
      </c>
      <c r="E18" s="12">
        <v>140000</v>
      </c>
      <c r="F18" s="10" t="s">
        <v>32</v>
      </c>
      <c r="G18" s="10" t="s">
        <v>33</v>
      </c>
      <c r="H18" s="12">
        <v>140000</v>
      </c>
      <c r="I18" s="12">
        <v>47900</v>
      </c>
      <c r="J18" s="13">
        <f t="shared" si="0"/>
        <v>34.214285714285715</v>
      </c>
      <c r="K18" s="12">
        <v>117875</v>
      </c>
      <c r="L18" s="12">
        <f>H18-108238</f>
        <v>31762</v>
      </c>
      <c r="M18" s="12">
        <v>9637</v>
      </c>
      <c r="N18" s="66">
        <f t="shared" si="1"/>
        <v>6.8835714285714292E-2</v>
      </c>
      <c r="O18" s="14">
        <v>40.32</v>
      </c>
      <c r="P18" s="15">
        <v>121.95</v>
      </c>
      <c r="Q18" s="16">
        <v>0.112</v>
      </c>
      <c r="R18" s="16">
        <v>0.112</v>
      </c>
      <c r="S18" s="12">
        <f t="shared" si="2"/>
        <v>787.7480158730159</v>
      </c>
      <c r="T18" s="12">
        <f t="shared" si="3"/>
        <v>283589.28571428568</v>
      </c>
      <c r="U18" s="17">
        <f t="shared" si="4"/>
        <v>6.5103141807687255</v>
      </c>
      <c r="V18" s="16">
        <v>40</v>
      </c>
      <c r="W18" s="16">
        <f t="shared" si="5"/>
        <v>28000</v>
      </c>
      <c r="X18" s="16">
        <f t="shared" si="6"/>
        <v>700</v>
      </c>
      <c r="Y18" s="18" t="s">
        <v>1095</v>
      </c>
      <c r="Z18" s="10" t="s">
        <v>35</v>
      </c>
      <c r="AA18" s="10" t="s">
        <v>35</v>
      </c>
      <c r="AB18" s="10" t="s">
        <v>1096</v>
      </c>
      <c r="AC18" s="10">
        <v>0</v>
      </c>
      <c r="AD18" s="10">
        <v>1</v>
      </c>
      <c r="AE18" s="10" t="s">
        <v>412</v>
      </c>
      <c r="AF18" s="10" t="s">
        <v>43</v>
      </c>
      <c r="AG18" s="10" t="s">
        <v>38</v>
      </c>
      <c r="AH18" s="10" t="s">
        <v>92</v>
      </c>
    </row>
    <row r="19" spans="1:34" x14ac:dyDescent="0.3">
      <c r="A19" s="74" t="s">
        <v>1096</v>
      </c>
      <c r="B19" s="10" t="s">
        <v>1100</v>
      </c>
      <c r="C19" s="10" t="s">
        <v>1101</v>
      </c>
      <c r="D19" s="11">
        <v>45540</v>
      </c>
      <c r="E19" s="12">
        <v>200000</v>
      </c>
      <c r="F19" s="10" t="s">
        <v>32</v>
      </c>
      <c r="G19" s="10" t="s">
        <v>66</v>
      </c>
      <c r="H19" s="12">
        <v>200000</v>
      </c>
      <c r="I19" s="12">
        <v>72100</v>
      </c>
      <c r="J19" s="13">
        <f t="shared" si="0"/>
        <v>36.049999999999997</v>
      </c>
      <c r="K19" s="12">
        <v>152580</v>
      </c>
      <c r="L19" s="12">
        <f>H19-132680</f>
        <v>67320</v>
      </c>
      <c r="M19" s="12">
        <v>19900</v>
      </c>
      <c r="N19" s="66">
        <f t="shared" si="1"/>
        <v>9.9500000000000005E-2</v>
      </c>
      <c r="O19" s="14">
        <v>83.26</v>
      </c>
      <c r="P19" s="15">
        <v>260</v>
      </c>
      <c r="Q19" s="16">
        <v>0.23799999999999999</v>
      </c>
      <c r="R19" s="16">
        <v>0.11899999999999999</v>
      </c>
      <c r="S19" s="12">
        <f t="shared" si="2"/>
        <v>808.55152534230115</v>
      </c>
      <c r="T19" s="12">
        <f t="shared" si="3"/>
        <v>282857.1428571429</v>
      </c>
      <c r="U19" s="17">
        <f t="shared" si="4"/>
        <v>6.4935064935064943</v>
      </c>
      <c r="V19" s="16">
        <v>80</v>
      </c>
      <c r="W19" s="16">
        <f t="shared" si="5"/>
        <v>40000</v>
      </c>
      <c r="X19" s="16">
        <f t="shared" si="6"/>
        <v>500</v>
      </c>
      <c r="Y19" s="18" t="s">
        <v>1095</v>
      </c>
      <c r="Z19" s="10" t="s">
        <v>35</v>
      </c>
      <c r="AA19" s="10" t="s">
        <v>1102</v>
      </c>
      <c r="AB19" s="10" t="s">
        <v>1096</v>
      </c>
      <c r="AC19" s="10">
        <v>0</v>
      </c>
      <c r="AD19" s="10">
        <v>1</v>
      </c>
      <c r="AE19" s="10" t="s">
        <v>205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5" t="s">
        <v>1096</v>
      </c>
      <c r="B20" s="19" t="s">
        <v>1143</v>
      </c>
      <c r="C20" s="19" t="s">
        <v>1144</v>
      </c>
      <c r="D20" s="20">
        <v>45301</v>
      </c>
      <c r="E20" s="21">
        <v>168000</v>
      </c>
      <c r="F20" s="19" t="s">
        <v>32</v>
      </c>
      <c r="G20" s="19" t="s">
        <v>33</v>
      </c>
      <c r="H20" s="21">
        <v>168000</v>
      </c>
      <c r="I20" s="21">
        <v>59000</v>
      </c>
      <c r="J20" s="22">
        <f t="shared" si="0"/>
        <v>35.119047619047613</v>
      </c>
      <c r="K20" s="21">
        <v>145722</v>
      </c>
      <c r="L20" s="21">
        <f>H20-136569</f>
        <v>31431</v>
      </c>
      <c r="M20" s="21">
        <v>9153</v>
      </c>
      <c r="N20" s="67">
        <f t="shared" si="1"/>
        <v>5.4482142857142854E-2</v>
      </c>
      <c r="O20" s="23">
        <v>38.29</v>
      </c>
      <c r="P20" s="24">
        <v>110</v>
      </c>
      <c r="Q20" s="25">
        <v>0.10100000000000001</v>
      </c>
      <c r="R20" s="25">
        <v>0.10100000000000001</v>
      </c>
      <c r="S20" s="21">
        <f t="shared" si="2"/>
        <v>820.86706711935233</v>
      </c>
      <c r="T20" s="21">
        <f t="shared" si="3"/>
        <v>311198.01980198018</v>
      </c>
      <c r="U20" s="26">
        <f t="shared" si="4"/>
        <v>7.1441235032594159</v>
      </c>
      <c r="V20" s="25">
        <v>40</v>
      </c>
      <c r="W20" s="25">
        <f t="shared" si="5"/>
        <v>33600</v>
      </c>
      <c r="X20" s="25">
        <f t="shared" si="6"/>
        <v>840</v>
      </c>
      <c r="Y20" s="27" t="s">
        <v>1095</v>
      </c>
      <c r="Z20" s="19" t="s">
        <v>35</v>
      </c>
      <c r="AA20" s="19" t="s">
        <v>35</v>
      </c>
      <c r="AB20" s="19" t="s">
        <v>1096</v>
      </c>
      <c r="AC20" s="19">
        <v>0</v>
      </c>
      <c r="AD20" s="19">
        <v>1</v>
      </c>
      <c r="AE20" s="19" t="s">
        <v>37</v>
      </c>
      <c r="AF20" s="19" t="s">
        <v>43</v>
      </c>
      <c r="AG20" s="19" t="s">
        <v>38</v>
      </c>
      <c r="AH20" s="19" t="s">
        <v>92</v>
      </c>
    </row>
    <row r="21" spans="1:34" x14ac:dyDescent="0.3">
      <c r="A21" s="75" t="s">
        <v>1096</v>
      </c>
      <c r="B21" s="19" t="s">
        <v>1111</v>
      </c>
      <c r="C21" s="19" t="s">
        <v>1112</v>
      </c>
      <c r="D21" s="20">
        <v>45534</v>
      </c>
      <c r="E21" s="21">
        <v>160000</v>
      </c>
      <c r="F21" s="19" t="s">
        <v>32</v>
      </c>
      <c r="G21" s="19" t="s">
        <v>33</v>
      </c>
      <c r="H21" s="21">
        <v>160000</v>
      </c>
      <c r="I21" s="21">
        <v>62500</v>
      </c>
      <c r="J21" s="22">
        <f t="shared" si="0"/>
        <v>39.0625</v>
      </c>
      <c r="K21" s="21">
        <v>132945</v>
      </c>
      <c r="L21" s="21">
        <f>H21-123208</f>
        <v>36792</v>
      </c>
      <c r="M21" s="21">
        <v>9737</v>
      </c>
      <c r="N21" s="67">
        <f t="shared" si="1"/>
        <v>6.0856250000000001E-2</v>
      </c>
      <c r="O21" s="23">
        <v>40.74</v>
      </c>
      <c r="P21" s="24">
        <v>124.49</v>
      </c>
      <c r="Q21" s="25">
        <v>0.114</v>
      </c>
      <c r="R21" s="25">
        <v>0.114</v>
      </c>
      <c r="S21" s="21">
        <f t="shared" si="2"/>
        <v>903.09278350515456</v>
      </c>
      <c r="T21" s="21">
        <f t="shared" si="3"/>
        <v>322736.84210526315</v>
      </c>
      <c r="U21" s="26">
        <f t="shared" si="4"/>
        <v>7.4090184138031026</v>
      </c>
      <c r="V21" s="25">
        <v>40</v>
      </c>
      <c r="W21" s="25">
        <f t="shared" si="5"/>
        <v>32000</v>
      </c>
      <c r="X21" s="25">
        <f t="shared" si="6"/>
        <v>800</v>
      </c>
      <c r="Y21" s="27" t="s">
        <v>1095</v>
      </c>
      <c r="Z21" s="19" t="s">
        <v>35</v>
      </c>
      <c r="AA21" s="19" t="s">
        <v>35</v>
      </c>
      <c r="AB21" s="19" t="s">
        <v>1096</v>
      </c>
      <c r="AC21" s="19">
        <v>0</v>
      </c>
      <c r="AD21" s="19">
        <v>1</v>
      </c>
      <c r="AE21" s="19" t="s">
        <v>42</v>
      </c>
      <c r="AF21" s="19" t="s">
        <v>43</v>
      </c>
      <c r="AG21" s="19" t="s">
        <v>38</v>
      </c>
      <c r="AH21" s="19" t="s">
        <v>92</v>
      </c>
    </row>
    <row r="22" spans="1:34" ht="15" thickBot="1" x14ac:dyDescent="0.35">
      <c r="A22" s="74" t="s">
        <v>1096</v>
      </c>
      <c r="B22" s="10" t="s">
        <v>1155</v>
      </c>
      <c r="C22" s="10" t="s">
        <v>1156</v>
      </c>
      <c r="D22" s="11">
        <v>45616</v>
      </c>
      <c r="E22" s="12">
        <v>180000</v>
      </c>
      <c r="F22" s="10" t="s">
        <v>32</v>
      </c>
      <c r="G22" s="10" t="s">
        <v>33</v>
      </c>
      <c r="H22" s="12">
        <v>180000</v>
      </c>
      <c r="I22" s="12">
        <v>70500</v>
      </c>
      <c r="J22" s="13">
        <f t="shared" si="0"/>
        <v>39.166666666666664</v>
      </c>
      <c r="K22" s="12">
        <v>150690</v>
      </c>
      <c r="L22" s="12">
        <f>H22-140759</f>
        <v>39241</v>
      </c>
      <c r="M22" s="12">
        <v>9931</v>
      </c>
      <c r="N22" s="66">
        <f t="shared" si="1"/>
        <v>5.517222222222222E-2</v>
      </c>
      <c r="O22" s="14">
        <v>41.55</v>
      </c>
      <c r="P22" s="15">
        <v>129.5</v>
      </c>
      <c r="Q22" s="16">
        <v>0.11899999999999999</v>
      </c>
      <c r="R22" s="16">
        <v>0.11899999999999999</v>
      </c>
      <c r="S22" s="12">
        <f t="shared" si="2"/>
        <v>944.42839951865233</v>
      </c>
      <c r="T22" s="12">
        <f t="shared" si="3"/>
        <v>329756.30252100842</v>
      </c>
      <c r="U22" s="17">
        <f t="shared" si="4"/>
        <v>7.5701630514464746</v>
      </c>
      <c r="V22" s="16">
        <v>40</v>
      </c>
      <c r="W22" s="16">
        <f t="shared" si="5"/>
        <v>36000</v>
      </c>
      <c r="X22" s="16">
        <f t="shared" si="6"/>
        <v>900</v>
      </c>
      <c r="Y22" s="18" t="s">
        <v>1095</v>
      </c>
      <c r="Z22" s="10" t="s">
        <v>35</v>
      </c>
      <c r="AA22" s="10" t="s">
        <v>35</v>
      </c>
      <c r="AB22" s="10" t="s">
        <v>1096</v>
      </c>
      <c r="AC22" s="10">
        <v>0</v>
      </c>
      <c r="AD22" s="10">
        <v>1</v>
      </c>
      <c r="AE22" s="10" t="s">
        <v>37</v>
      </c>
      <c r="AF22" s="10" t="s">
        <v>35</v>
      </c>
      <c r="AG22" s="10" t="s">
        <v>38</v>
      </c>
      <c r="AH22" s="10" t="s">
        <v>92</v>
      </c>
    </row>
    <row r="23" spans="1:34" ht="15" thickTop="1" x14ac:dyDescent="0.3">
      <c r="A23" s="76"/>
      <c r="B23" s="37"/>
      <c r="C23" s="37"/>
      <c r="D23" s="38" t="s">
        <v>2876</v>
      </c>
      <c r="E23" s="39">
        <f>+SUM(E2:E22)</f>
        <v>3323800</v>
      </c>
      <c r="F23" s="37"/>
      <c r="G23" s="37"/>
      <c r="H23" s="39">
        <f>+SUM(H2:H22)</f>
        <v>3323800</v>
      </c>
      <c r="I23" s="39">
        <f>+SUM(I2:I22)</f>
        <v>1319000</v>
      </c>
      <c r="J23" s="40"/>
      <c r="K23" s="39">
        <f>+SUM(K2:K22)</f>
        <v>3058816</v>
      </c>
      <c r="L23" s="39">
        <f>+SUM(L2:L22)</f>
        <v>492762</v>
      </c>
      <c r="M23" s="39">
        <f>+SUM(M2:M22)</f>
        <v>227778</v>
      </c>
      <c r="N23" s="81">
        <f>AVERAGE(N2:N22)</f>
        <v>6.9741751526898946E-2</v>
      </c>
      <c r="O23" s="41">
        <f>+SUM(O2:O22)</f>
        <v>952.94999999999993</v>
      </c>
      <c r="P23" s="42"/>
      <c r="Q23" s="43">
        <f>+SUM(Q2:Q22)</f>
        <v>2.7039999999999997</v>
      </c>
      <c r="R23" s="43">
        <f>+SUM(R2:R22)</f>
        <v>2.585</v>
      </c>
      <c r="S23" s="39"/>
      <c r="T23" s="39"/>
      <c r="U23" s="44"/>
      <c r="V23" s="43"/>
      <c r="W23" s="82">
        <f>AVERAGE(W2:W22)</f>
        <v>31655.238095238095</v>
      </c>
      <c r="X23" s="83">
        <f>AVERAGE(X2:X22)</f>
        <v>745.15926679093934</v>
      </c>
      <c r="Y23" s="45"/>
      <c r="Z23" s="37"/>
      <c r="AA23" s="37"/>
      <c r="AB23" s="37"/>
      <c r="AC23" s="37"/>
      <c r="AD23" s="37"/>
      <c r="AE23" s="37"/>
      <c r="AF23" s="37"/>
      <c r="AG23" s="37"/>
      <c r="AH23" s="37"/>
    </row>
    <row r="24" spans="1:34" x14ac:dyDescent="0.3">
      <c r="A24" s="77"/>
      <c r="B24" s="28"/>
      <c r="C24" s="28"/>
      <c r="D24" s="29"/>
      <c r="E24" s="30"/>
      <c r="F24" s="28"/>
      <c r="G24" s="28"/>
      <c r="H24" s="30"/>
      <c r="I24" s="30" t="s">
        <v>2877</v>
      </c>
      <c r="J24" s="31">
        <f>I23/H23*100</f>
        <v>39.683494795114029</v>
      </c>
      <c r="K24" s="30"/>
      <c r="L24" s="30"/>
      <c r="M24" s="30" t="s">
        <v>2879</v>
      </c>
      <c r="N24" s="79"/>
      <c r="O24" s="32"/>
      <c r="P24" s="33"/>
      <c r="Q24" s="34" t="s">
        <v>2879</v>
      </c>
      <c r="R24" s="34"/>
      <c r="S24" s="30"/>
      <c r="T24" s="30" t="s">
        <v>2879</v>
      </c>
      <c r="U24" s="35"/>
      <c r="V24" s="34"/>
      <c r="W24" s="63"/>
      <c r="X24" s="68"/>
      <c r="Y24" s="36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x14ac:dyDescent="0.3">
      <c r="A25" s="78"/>
      <c r="B25" s="46"/>
      <c r="C25" s="46"/>
      <c r="D25" s="47"/>
      <c r="E25" s="48"/>
      <c r="F25" s="46"/>
      <c r="G25" s="46"/>
      <c r="H25" s="48"/>
      <c r="I25" s="48" t="s">
        <v>2878</v>
      </c>
      <c r="J25" s="49">
        <f>STDEV(J2:J22)</f>
        <v>3.2829200696185015</v>
      </c>
      <c r="K25" s="48"/>
      <c r="L25" s="48"/>
      <c r="M25" s="48" t="s">
        <v>2880</v>
      </c>
      <c r="N25" s="80"/>
      <c r="O25" s="54">
        <f>L23/O23</f>
        <v>517.09113804501817</v>
      </c>
      <c r="P25" s="50"/>
      <c r="Q25" s="51" t="s">
        <v>2881</v>
      </c>
      <c r="R25" s="51">
        <f>L23/Q23</f>
        <v>182234.46745562131</v>
      </c>
      <c r="S25" s="48"/>
      <c r="T25" s="48" t="s">
        <v>2882</v>
      </c>
      <c r="U25" s="52">
        <f>L23/Q23/43560</f>
        <v>4.1835277193668805</v>
      </c>
      <c r="V25" s="51"/>
      <c r="W25" s="64"/>
      <c r="X25" s="69"/>
      <c r="Y25" s="53"/>
      <c r="Z25" s="46"/>
      <c r="AA25" s="46"/>
      <c r="AB25" s="46"/>
      <c r="AC25" s="46"/>
      <c r="AD25" s="46"/>
      <c r="AE25" s="46"/>
      <c r="AF25" s="46"/>
      <c r="AG25" s="46"/>
      <c r="AH25" s="46"/>
    </row>
    <row r="26" spans="1:34" x14ac:dyDescent="0.3">
      <c r="E26" s="94" t="s">
        <v>3099</v>
      </c>
      <c r="L26" s="95"/>
    </row>
    <row r="27" spans="1:34" x14ac:dyDescent="0.3">
      <c r="E27" s="383" t="s">
        <v>3163</v>
      </c>
      <c r="F27" s="383"/>
      <c r="G27" s="383"/>
      <c r="H27" s="383"/>
      <c r="I27" s="383"/>
      <c r="J27" s="383"/>
      <c r="K27" s="383"/>
      <c r="L27" s="383"/>
    </row>
    <row r="28" spans="1:34" x14ac:dyDescent="0.3">
      <c r="E28" s="383" t="s">
        <v>3164</v>
      </c>
      <c r="F28" s="383"/>
      <c r="G28" s="383"/>
      <c r="H28" s="383"/>
      <c r="I28" s="383"/>
      <c r="J28" s="383"/>
      <c r="K28" s="383"/>
      <c r="L28" s="383"/>
    </row>
    <row r="29" spans="1:34" x14ac:dyDescent="0.3">
      <c r="E29" s="383" t="s">
        <v>3165</v>
      </c>
      <c r="F29" s="383"/>
      <c r="G29" s="383"/>
      <c r="H29" s="383"/>
      <c r="I29" s="383"/>
      <c r="J29" s="383"/>
      <c r="K29" s="383"/>
      <c r="L29" s="383"/>
    </row>
    <row r="30" spans="1:34" x14ac:dyDescent="0.3">
      <c r="E30" s="383" t="s">
        <v>3166</v>
      </c>
      <c r="F30" s="383"/>
      <c r="G30" s="383"/>
      <c r="H30" s="383"/>
      <c r="I30" s="383"/>
      <c r="J30" s="96"/>
      <c r="K30" s="96"/>
      <c r="L30" s="96"/>
    </row>
    <row r="31" spans="1:34" x14ac:dyDescent="0.3">
      <c r="E31" s="383" t="s">
        <v>3167</v>
      </c>
      <c r="F31" s="383"/>
      <c r="G31" s="383"/>
      <c r="H31" s="383"/>
      <c r="I31" s="383"/>
      <c r="L31" s="95"/>
    </row>
    <row r="32" spans="1:34" x14ac:dyDescent="0.3">
      <c r="E32" s="383" t="s">
        <v>3100</v>
      </c>
      <c r="F32" s="383"/>
      <c r="G32" s="383"/>
      <c r="H32" s="383"/>
      <c r="I32" s="383"/>
      <c r="L32" s="95"/>
    </row>
    <row r="33" spans="1:34" x14ac:dyDescent="0.3">
      <c r="E33" s="96"/>
      <c r="F33" s="96"/>
      <c r="G33" s="96"/>
      <c r="H33" s="96"/>
      <c r="I33" s="96"/>
      <c r="L33" s="95"/>
    </row>
    <row r="34" spans="1:34" x14ac:dyDescent="0.3">
      <c r="A34" s="55" t="s">
        <v>3092</v>
      </c>
      <c r="E34" s="96"/>
      <c r="F34" s="96"/>
      <c r="G34" s="96"/>
      <c r="H34" s="96"/>
      <c r="I34" s="96"/>
      <c r="L34" s="95"/>
    </row>
    <row r="35" spans="1:34" x14ac:dyDescent="0.3">
      <c r="A35" s="75" t="s">
        <v>1096</v>
      </c>
      <c r="B35" s="19" t="s">
        <v>1093</v>
      </c>
      <c r="C35" s="19" t="s">
        <v>1094</v>
      </c>
      <c r="D35" s="20">
        <v>45639</v>
      </c>
      <c r="E35" s="21">
        <v>85000</v>
      </c>
      <c r="F35" s="19" t="s">
        <v>81</v>
      </c>
      <c r="G35" s="19" t="s">
        <v>33</v>
      </c>
      <c r="H35" s="21">
        <v>85000</v>
      </c>
      <c r="I35" s="21">
        <v>85100</v>
      </c>
      <c r="J35" s="22">
        <f t="shared" ref="J35:J44" si="7">I35/H35*100</f>
        <v>100.11764705882354</v>
      </c>
      <c r="K35" s="21">
        <v>184148</v>
      </c>
      <c r="L35" s="21">
        <f>H35-166694</f>
        <v>-81694</v>
      </c>
      <c r="M35" s="21">
        <v>17454</v>
      </c>
      <c r="N35" s="67">
        <f t="shared" ref="N35:N44" si="8">M35/E35</f>
        <v>0.20534117647058822</v>
      </c>
      <c r="O35" s="23">
        <v>73.02</v>
      </c>
      <c r="P35" s="24">
        <v>100</v>
      </c>
      <c r="Q35" s="25">
        <v>0.184</v>
      </c>
      <c r="R35" s="25">
        <v>0.184</v>
      </c>
      <c r="S35" s="21">
        <f t="shared" ref="S35:S44" si="9">L35/O35</f>
        <v>-1118.7893727745823</v>
      </c>
      <c r="T35" s="21">
        <f t="shared" ref="T35:T44" si="10">L35/Q35</f>
        <v>-443989.13043478259</v>
      </c>
      <c r="U35" s="26">
        <f t="shared" ref="U35:U44" si="11">L35/Q35/43560</f>
        <v>-10.192587934682797</v>
      </c>
      <c r="V35" s="25">
        <v>80</v>
      </c>
      <c r="W35" s="25">
        <f t="shared" ref="W35:W44" si="12">0.2*E35</f>
        <v>17000</v>
      </c>
      <c r="X35" s="25">
        <f t="shared" ref="X35:X44" si="13">W35/V35</f>
        <v>212.5</v>
      </c>
      <c r="Y35" s="27" t="s">
        <v>1095</v>
      </c>
      <c r="Z35" s="19" t="s">
        <v>35</v>
      </c>
      <c r="AA35" s="19" t="s">
        <v>35</v>
      </c>
      <c r="AB35" s="19" t="s">
        <v>1096</v>
      </c>
      <c r="AC35" s="19">
        <v>0</v>
      </c>
      <c r="AD35" s="19">
        <v>1</v>
      </c>
      <c r="AE35" s="19" t="s">
        <v>42</v>
      </c>
      <c r="AF35" s="19" t="s">
        <v>35</v>
      </c>
      <c r="AG35" s="19" t="s">
        <v>38</v>
      </c>
      <c r="AH35" s="19" t="s">
        <v>92</v>
      </c>
    </row>
    <row r="36" spans="1:34" x14ac:dyDescent="0.3">
      <c r="A36" s="74" t="s">
        <v>1096</v>
      </c>
      <c r="B36" s="10" t="s">
        <v>1109</v>
      </c>
      <c r="C36" s="10" t="s">
        <v>1110</v>
      </c>
      <c r="D36" s="11">
        <v>45331</v>
      </c>
      <c r="E36" s="12">
        <v>205000</v>
      </c>
      <c r="F36" s="10" t="s">
        <v>32</v>
      </c>
      <c r="G36" s="10" t="s">
        <v>33</v>
      </c>
      <c r="H36" s="12">
        <v>205000</v>
      </c>
      <c r="I36" s="12">
        <v>52500</v>
      </c>
      <c r="J36" s="13">
        <f t="shared" si="7"/>
        <v>25.609756097560975</v>
      </c>
      <c r="K36" s="12">
        <v>130011</v>
      </c>
      <c r="L36" s="12">
        <f>H36-120326</f>
        <v>84674</v>
      </c>
      <c r="M36" s="12">
        <v>9685</v>
      </c>
      <c r="N36" s="66">
        <f t="shared" si="8"/>
        <v>4.7243902439024391E-2</v>
      </c>
      <c r="O36" s="14">
        <v>40.520000000000003</v>
      </c>
      <c r="P36" s="15">
        <v>123.15</v>
      </c>
      <c r="Q36" s="16">
        <v>0.113</v>
      </c>
      <c r="R36" s="16">
        <v>0.113</v>
      </c>
      <c r="S36" s="12">
        <f t="shared" si="9"/>
        <v>2089.6841066140178</v>
      </c>
      <c r="T36" s="12">
        <f t="shared" si="10"/>
        <v>749327.4336283186</v>
      </c>
      <c r="U36" s="17">
        <f t="shared" si="11"/>
        <v>17.202190854644595</v>
      </c>
      <c r="V36" s="16">
        <v>40</v>
      </c>
      <c r="W36" s="16">
        <f t="shared" si="12"/>
        <v>41000</v>
      </c>
      <c r="X36" s="16">
        <f t="shared" si="13"/>
        <v>1025</v>
      </c>
      <c r="Y36" s="18" t="s">
        <v>1095</v>
      </c>
      <c r="Z36" s="10" t="s">
        <v>35</v>
      </c>
      <c r="AA36" s="10" t="s">
        <v>35</v>
      </c>
      <c r="AB36" s="10" t="s">
        <v>1096</v>
      </c>
      <c r="AC36" s="10">
        <v>0</v>
      </c>
      <c r="AD36" s="10">
        <v>1</v>
      </c>
      <c r="AE36" s="10" t="s">
        <v>42</v>
      </c>
      <c r="AF36" s="10" t="s">
        <v>43</v>
      </c>
      <c r="AG36" s="10" t="s">
        <v>38</v>
      </c>
      <c r="AH36" s="10" t="s">
        <v>92</v>
      </c>
    </row>
    <row r="37" spans="1:34" x14ac:dyDescent="0.3">
      <c r="A37" s="74" t="s">
        <v>1096</v>
      </c>
      <c r="B37" s="10" t="s">
        <v>1131</v>
      </c>
      <c r="C37" s="10" t="s">
        <v>1132</v>
      </c>
      <c r="D37" s="11">
        <v>45491</v>
      </c>
      <c r="E37" s="12">
        <v>156000</v>
      </c>
      <c r="F37" s="10" t="s">
        <v>32</v>
      </c>
      <c r="G37" s="10" t="s">
        <v>33</v>
      </c>
      <c r="H37" s="12">
        <v>156000</v>
      </c>
      <c r="I37" s="12">
        <v>55800</v>
      </c>
      <c r="J37" s="13">
        <f t="shared" si="7"/>
        <v>35.769230769230766</v>
      </c>
      <c r="K37" s="12">
        <v>118004</v>
      </c>
      <c r="L37" s="12">
        <f>H37-108114</f>
        <v>47886</v>
      </c>
      <c r="M37" s="12">
        <v>9890</v>
      </c>
      <c r="N37" s="66">
        <f t="shared" si="8"/>
        <v>6.3397435897435891E-2</v>
      </c>
      <c r="O37" s="14">
        <v>41.38</v>
      </c>
      <c r="P37" s="15">
        <v>128.44</v>
      </c>
      <c r="Q37" s="16">
        <v>0.11799999999999999</v>
      </c>
      <c r="R37" s="16">
        <v>0.11799999999999999</v>
      </c>
      <c r="S37" s="12">
        <f t="shared" si="9"/>
        <v>1157.2257129047848</v>
      </c>
      <c r="T37" s="12">
        <f t="shared" si="10"/>
        <v>405813.55932203389</v>
      </c>
      <c r="U37" s="17">
        <f t="shared" si="11"/>
        <v>9.3161974132698315</v>
      </c>
      <c r="V37" s="16">
        <v>40</v>
      </c>
      <c r="W37" s="16">
        <f t="shared" si="12"/>
        <v>31200</v>
      </c>
      <c r="X37" s="16">
        <f t="shared" si="13"/>
        <v>780</v>
      </c>
      <c r="Y37" s="18" t="s">
        <v>1095</v>
      </c>
      <c r="Z37" s="10" t="s">
        <v>35</v>
      </c>
      <c r="AA37" s="10" t="s">
        <v>35</v>
      </c>
      <c r="AB37" s="10" t="s">
        <v>1096</v>
      </c>
      <c r="AC37" s="10">
        <v>0</v>
      </c>
      <c r="AD37" s="10">
        <v>1</v>
      </c>
      <c r="AE37" s="10" t="s">
        <v>42</v>
      </c>
      <c r="AF37" s="10" t="s">
        <v>43</v>
      </c>
      <c r="AG37" s="10" t="s">
        <v>38</v>
      </c>
      <c r="AH37" s="10" t="s">
        <v>92</v>
      </c>
    </row>
    <row r="38" spans="1:34" x14ac:dyDescent="0.3">
      <c r="A38" s="74" t="s">
        <v>1096</v>
      </c>
      <c r="B38" s="10" t="s">
        <v>1123</v>
      </c>
      <c r="C38" s="10" t="s">
        <v>1124</v>
      </c>
      <c r="D38" s="11">
        <v>45398</v>
      </c>
      <c r="E38" s="12">
        <v>200000</v>
      </c>
      <c r="F38" s="10" t="s">
        <v>32</v>
      </c>
      <c r="G38" s="10" t="s">
        <v>33</v>
      </c>
      <c r="H38" s="12">
        <v>200000</v>
      </c>
      <c r="I38" s="12">
        <v>74200</v>
      </c>
      <c r="J38" s="13">
        <f t="shared" si="7"/>
        <v>37.1</v>
      </c>
      <c r="K38" s="12">
        <v>157216</v>
      </c>
      <c r="L38" s="12">
        <f>H38-147304</f>
        <v>52696</v>
      </c>
      <c r="M38" s="12">
        <v>9912</v>
      </c>
      <c r="N38" s="66">
        <f t="shared" si="8"/>
        <v>4.956E-2</v>
      </c>
      <c r="O38" s="14">
        <v>41.47</v>
      </c>
      <c r="P38" s="15">
        <v>129</v>
      </c>
      <c r="Q38" s="16">
        <v>0.11799999999999999</v>
      </c>
      <c r="R38" s="16">
        <v>0.11799999999999999</v>
      </c>
      <c r="S38" s="12">
        <f t="shared" si="9"/>
        <v>1270.7017120810224</v>
      </c>
      <c r="T38" s="12">
        <f t="shared" si="10"/>
        <v>446576.27118644072</v>
      </c>
      <c r="U38" s="17">
        <f t="shared" si="11"/>
        <v>10.251980513921962</v>
      </c>
      <c r="V38" s="16">
        <v>40</v>
      </c>
      <c r="W38" s="16">
        <f t="shared" si="12"/>
        <v>40000</v>
      </c>
      <c r="X38" s="16">
        <f t="shared" si="13"/>
        <v>1000</v>
      </c>
      <c r="Y38" s="18" t="s">
        <v>1095</v>
      </c>
      <c r="Z38" s="10" t="s">
        <v>35</v>
      </c>
      <c r="AA38" s="10" t="s">
        <v>35</v>
      </c>
      <c r="AB38" s="10" t="s">
        <v>1096</v>
      </c>
      <c r="AC38" s="10">
        <v>0</v>
      </c>
      <c r="AD38" s="10">
        <v>1</v>
      </c>
      <c r="AE38" s="10" t="s">
        <v>37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5" t="s">
        <v>1096</v>
      </c>
      <c r="B39" s="19" t="s">
        <v>1151</v>
      </c>
      <c r="C39" s="19" t="s">
        <v>1152</v>
      </c>
      <c r="D39" s="20">
        <v>45702</v>
      </c>
      <c r="E39" s="21">
        <v>189000</v>
      </c>
      <c r="F39" s="19" t="s">
        <v>32</v>
      </c>
      <c r="G39" s="19" t="s">
        <v>33</v>
      </c>
      <c r="H39" s="21">
        <v>189000</v>
      </c>
      <c r="I39" s="21">
        <v>67100</v>
      </c>
      <c r="J39" s="22">
        <f t="shared" si="7"/>
        <v>35.5026455026455</v>
      </c>
      <c r="K39" s="21">
        <v>143248</v>
      </c>
      <c r="L39" s="21">
        <f>H39-133317</f>
        <v>55683</v>
      </c>
      <c r="M39" s="21">
        <v>9931</v>
      </c>
      <c r="N39" s="67">
        <f t="shared" si="8"/>
        <v>5.2544973544973547E-2</v>
      </c>
      <c r="O39" s="23">
        <v>41.55</v>
      </c>
      <c r="P39" s="24">
        <v>129.5</v>
      </c>
      <c r="Q39" s="25">
        <v>0.11899999999999999</v>
      </c>
      <c r="R39" s="25">
        <v>0.11899999999999999</v>
      </c>
      <c r="S39" s="21">
        <f t="shared" si="9"/>
        <v>1340.1444043321301</v>
      </c>
      <c r="T39" s="21">
        <f t="shared" si="10"/>
        <v>467924.36974789918</v>
      </c>
      <c r="U39" s="26">
        <f t="shared" si="11"/>
        <v>10.742065421209807</v>
      </c>
      <c r="V39" s="25">
        <v>40</v>
      </c>
      <c r="W39" s="25">
        <f t="shared" si="12"/>
        <v>37800</v>
      </c>
      <c r="X39" s="25">
        <f t="shared" si="13"/>
        <v>945</v>
      </c>
      <c r="Y39" s="27" t="s">
        <v>1095</v>
      </c>
      <c r="Z39" s="19" t="s">
        <v>35</v>
      </c>
      <c r="AA39" s="19" t="s">
        <v>35</v>
      </c>
      <c r="AB39" s="19" t="s">
        <v>1096</v>
      </c>
      <c r="AC39" s="19">
        <v>0</v>
      </c>
      <c r="AD39" s="19">
        <v>1</v>
      </c>
      <c r="AE39" s="19" t="s">
        <v>42</v>
      </c>
      <c r="AF39" s="19" t="s">
        <v>35</v>
      </c>
      <c r="AG39" s="19" t="s">
        <v>38</v>
      </c>
      <c r="AH39" s="19" t="s">
        <v>92</v>
      </c>
    </row>
    <row r="40" spans="1:34" x14ac:dyDescent="0.3">
      <c r="A40" s="74" t="s">
        <v>1096</v>
      </c>
      <c r="B40" s="10" t="s">
        <v>1115</v>
      </c>
      <c r="C40" s="10" t="s">
        <v>1116</v>
      </c>
      <c r="D40" s="11">
        <v>45568</v>
      </c>
      <c r="E40" s="12">
        <v>233000</v>
      </c>
      <c r="F40" s="10" t="s">
        <v>32</v>
      </c>
      <c r="G40" s="10" t="s">
        <v>33</v>
      </c>
      <c r="H40" s="12">
        <v>233000</v>
      </c>
      <c r="I40" s="12">
        <v>86000</v>
      </c>
      <c r="J40" s="13">
        <f t="shared" si="7"/>
        <v>36.909871244635198</v>
      </c>
      <c r="K40" s="12">
        <v>181707</v>
      </c>
      <c r="L40" s="12">
        <f>H40-171567</f>
        <v>61433</v>
      </c>
      <c r="M40" s="12">
        <v>10140</v>
      </c>
      <c r="N40" s="66">
        <f t="shared" si="8"/>
        <v>4.351931330472103E-2</v>
      </c>
      <c r="O40" s="14">
        <v>42.42</v>
      </c>
      <c r="P40" s="15">
        <v>135</v>
      </c>
      <c r="Q40" s="16">
        <v>0.124</v>
      </c>
      <c r="R40" s="16">
        <v>0.124</v>
      </c>
      <c r="S40" s="12">
        <f t="shared" si="9"/>
        <v>1448.2083922677982</v>
      </c>
      <c r="T40" s="12">
        <f t="shared" si="10"/>
        <v>495427.41935483873</v>
      </c>
      <c r="U40" s="17">
        <f t="shared" si="11"/>
        <v>11.373448561864985</v>
      </c>
      <c r="V40" s="16">
        <v>40</v>
      </c>
      <c r="W40" s="16">
        <f t="shared" si="12"/>
        <v>46600</v>
      </c>
      <c r="X40" s="16">
        <f t="shared" si="13"/>
        <v>1165</v>
      </c>
      <c r="Y40" s="18" t="s">
        <v>1095</v>
      </c>
      <c r="Z40" s="10" t="s">
        <v>35</v>
      </c>
      <c r="AA40" s="10" t="s">
        <v>35</v>
      </c>
      <c r="AB40" s="10" t="s">
        <v>1096</v>
      </c>
      <c r="AC40" s="10">
        <v>0</v>
      </c>
      <c r="AD40" s="10">
        <v>1</v>
      </c>
      <c r="AE40" s="10" t="s">
        <v>412</v>
      </c>
      <c r="AF40" s="10" t="s">
        <v>43</v>
      </c>
      <c r="AG40" s="10" t="s">
        <v>38</v>
      </c>
      <c r="AH40" s="10" t="s">
        <v>92</v>
      </c>
    </row>
    <row r="41" spans="1:34" x14ac:dyDescent="0.3">
      <c r="A41" s="74" t="s">
        <v>1096</v>
      </c>
      <c r="B41" s="10" t="s">
        <v>1153</v>
      </c>
      <c r="C41" s="10" t="s">
        <v>1154</v>
      </c>
      <c r="D41" s="11">
        <v>45188</v>
      </c>
      <c r="E41" s="12">
        <v>140000</v>
      </c>
      <c r="F41" s="10" t="s">
        <v>32</v>
      </c>
      <c r="G41" s="10" t="s">
        <v>33</v>
      </c>
      <c r="H41" s="12">
        <v>140000</v>
      </c>
      <c r="I41" s="12">
        <v>71500</v>
      </c>
      <c r="J41" s="13">
        <f t="shared" si="7"/>
        <v>51.071428571428569</v>
      </c>
      <c r="K41" s="12">
        <v>179365</v>
      </c>
      <c r="L41" s="12">
        <f>H41-169434</f>
        <v>-29434</v>
      </c>
      <c r="M41" s="12">
        <v>9931</v>
      </c>
      <c r="N41" s="66">
        <f t="shared" si="8"/>
        <v>7.0935714285714283E-2</v>
      </c>
      <c r="O41" s="14">
        <v>41.55</v>
      </c>
      <c r="P41" s="15">
        <v>129.5</v>
      </c>
      <c r="Q41" s="16">
        <v>0.11899999999999999</v>
      </c>
      <c r="R41" s="16">
        <v>0.11899999999999999</v>
      </c>
      <c r="S41" s="12">
        <f t="shared" si="9"/>
        <v>-708.39951865222633</v>
      </c>
      <c r="T41" s="12">
        <f t="shared" si="10"/>
        <v>-247344.53781512607</v>
      </c>
      <c r="U41" s="17">
        <f t="shared" si="11"/>
        <v>-5.6782492611369619</v>
      </c>
      <c r="V41" s="16">
        <v>40</v>
      </c>
      <c r="W41" s="16">
        <f t="shared" si="12"/>
        <v>28000</v>
      </c>
      <c r="X41" s="16">
        <f t="shared" si="13"/>
        <v>700</v>
      </c>
      <c r="Y41" s="18" t="s">
        <v>1095</v>
      </c>
      <c r="Z41" s="10" t="s">
        <v>35</v>
      </c>
      <c r="AA41" s="10" t="s">
        <v>35</v>
      </c>
      <c r="AB41" s="10" t="s">
        <v>1096</v>
      </c>
      <c r="AC41" s="10">
        <v>0</v>
      </c>
      <c r="AD41" s="10">
        <v>1</v>
      </c>
      <c r="AE41" s="10" t="s">
        <v>37</v>
      </c>
      <c r="AF41" s="10" t="s">
        <v>43</v>
      </c>
      <c r="AG41" s="10" t="s">
        <v>38</v>
      </c>
      <c r="AH41" s="10" t="s">
        <v>92</v>
      </c>
    </row>
    <row r="42" spans="1:34" x14ac:dyDescent="0.3">
      <c r="A42" s="75" t="s">
        <v>1096</v>
      </c>
      <c r="B42" s="19" t="s">
        <v>1151</v>
      </c>
      <c r="C42" s="19" t="s">
        <v>1152</v>
      </c>
      <c r="D42" s="20">
        <v>45386</v>
      </c>
      <c r="E42" s="21">
        <v>112500</v>
      </c>
      <c r="F42" s="19" t="s">
        <v>32</v>
      </c>
      <c r="G42" s="19" t="s">
        <v>33</v>
      </c>
      <c r="H42" s="21">
        <v>112500</v>
      </c>
      <c r="I42" s="21">
        <v>67100</v>
      </c>
      <c r="J42" s="22">
        <f t="shared" si="7"/>
        <v>59.644444444444446</v>
      </c>
      <c r="K42" s="21">
        <v>143248</v>
      </c>
      <c r="L42" s="21">
        <f>H42-133317</f>
        <v>-20817</v>
      </c>
      <c r="M42" s="21">
        <v>9931</v>
      </c>
      <c r="N42" s="67">
        <f t="shared" si="8"/>
        <v>8.8275555555555552E-2</v>
      </c>
      <c r="O42" s="23">
        <v>41.55</v>
      </c>
      <c r="P42" s="24">
        <v>129.5</v>
      </c>
      <c r="Q42" s="25">
        <v>0.11899999999999999</v>
      </c>
      <c r="R42" s="25">
        <v>0.11899999999999999</v>
      </c>
      <c r="S42" s="21">
        <f t="shared" si="9"/>
        <v>-501.01083032490976</v>
      </c>
      <c r="T42" s="21">
        <f t="shared" si="10"/>
        <v>-174932.77310924372</v>
      </c>
      <c r="U42" s="26">
        <f t="shared" si="11"/>
        <v>-4.0159038822140429</v>
      </c>
      <c r="V42" s="25">
        <v>40</v>
      </c>
      <c r="W42" s="25">
        <f t="shared" si="12"/>
        <v>22500</v>
      </c>
      <c r="X42" s="25">
        <f t="shared" si="13"/>
        <v>562.5</v>
      </c>
      <c r="Y42" s="27" t="s">
        <v>1095</v>
      </c>
      <c r="Z42" s="19" t="s">
        <v>35</v>
      </c>
      <c r="AA42" s="19" t="s">
        <v>35</v>
      </c>
      <c r="AB42" s="19" t="s">
        <v>1096</v>
      </c>
      <c r="AC42" s="19">
        <v>0</v>
      </c>
      <c r="AD42" s="19">
        <v>1</v>
      </c>
      <c r="AE42" s="19" t="s">
        <v>42</v>
      </c>
      <c r="AF42" s="19" t="s">
        <v>43</v>
      </c>
      <c r="AG42" s="19" t="s">
        <v>38</v>
      </c>
      <c r="AH42" s="19" t="s">
        <v>92</v>
      </c>
    </row>
    <row r="43" spans="1:34" x14ac:dyDescent="0.3">
      <c r="A43" s="75" t="s">
        <v>1096</v>
      </c>
      <c r="B43" s="19" t="s">
        <v>1127</v>
      </c>
      <c r="C43" s="19" t="s">
        <v>1128</v>
      </c>
      <c r="D43" s="20">
        <v>45316</v>
      </c>
      <c r="E43" s="21">
        <v>120000</v>
      </c>
      <c r="F43" s="19" t="s">
        <v>32</v>
      </c>
      <c r="G43" s="19" t="s">
        <v>33</v>
      </c>
      <c r="H43" s="21">
        <v>120000</v>
      </c>
      <c r="I43" s="21">
        <v>59100</v>
      </c>
      <c r="J43" s="22">
        <f t="shared" si="7"/>
        <v>49.25</v>
      </c>
      <c r="K43" s="21">
        <v>148033</v>
      </c>
      <c r="L43" s="21">
        <f>H43-138121</f>
        <v>-18121</v>
      </c>
      <c r="M43" s="21">
        <v>9912</v>
      </c>
      <c r="N43" s="67">
        <f t="shared" si="8"/>
        <v>8.2600000000000007E-2</v>
      </c>
      <c r="O43" s="23">
        <v>41.47</v>
      </c>
      <c r="P43" s="24">
        <v>129</v>
      </c>
      <c r="Q43" s="25">
        <v>0.11799999999999999</v>
      </c>
      <c r="R43" s="25">
        <v>0.11799999999999999</v>
      </c>
      <c r="S43" s="21">
        <f t="shared" si="9"/>
        <v>-436.96648179406799</v>
      </c>
      <c r="T43" s="21">
        <f t="shared" si="10"/>
        <v>-153567.79661016949</v>
      </c>
      <c r="U43" s="26">
        <f t="shared" si="11"/>
        <v>-3.5254315107936063</v>
      </c>
      <c r="V43" s="25">
        <v>40</v>
      </c>
      <c r="W43" s="25">
        <f t="shared" si="12"/>
        <v>24000</v>
      </c>
      <c r="X43" s="25">
        <f t="shared" si="13"/>
        <v>600</v>
      </c>
      <c r="Y43" s="27" t="s">
        <v>1095</v>
      </c>
      <c r="Z43" s="19" t="s">
        <v>35</v>
      </c>
      <c r="AA43" s="19" t="s">
        <v>35</v>
      </c>
      <c r="AB43" s="19" t="s">
        <v>1096</v>
      </c>
      <c r="AC43" s="19">
        <v>0</v>
      </c>
      <c r="AD43" s="19">
        <v>1</v>
      </c>
      <c r="AE43" s="19" t="s">
        <v>37</v>
      </c>
      <c r="AF43" s="19" t="s">
        <v>43</v>
      </c>
      <c r="AG43" s="19" t="s">
        <v>38</v>
      </c>
      <c r="AH43" s="19" t="s">
        <v>92</v>
      </c>
    </row>
    <row r="44" spans="1:34" x14ac:dyDescent="0.3">
      <c r="A44" s="75" t="s">
        <v>1096</v>
      </c>
      <c r="B44" s="19" t="s">
        <v>1135</v>
      </c>
      <c r="C44" s="19" t="s">
        <v>1136</v>
      </c>
      <c r="D44" s="20">
        <v>45167</v>
      </c>
      <c r="E44" s="21">
        <v>125900</v>
      </c>
      <c r="F44" s="19" t="s">
        <v>32</v>
      </c>
      <c r="G44" s="19" t="s">
        <v>33</v>
      </c>
      <c r="H44" s="21">
        <v>125900</v>
      </c>
      <c r="I44" s="21">
        <v>61700</v>
      </c>
      <c r="J44" s="22">
        <f t="shared" si="7"/>
        <v>49.007148530579826</v>
      </c>
      <c r="K44" s="21">
        <v>154288</v>
      </c>
      <c r="L44" s="21">
        <f>H44-144148</f>
        <v>-18248</v>
      </c>
      <c r="M44" s="21">
        <v>10140</v>
      </c>
      <c r="N44" s="67">
        <f t="shared" si="8"/>
        <v>8.0540111199364578E-2</v>
      </c>
      <c r="O44" s="23">
        <v>42.42</v>
      </c>
      <c r="P44" s="24">
        <v>135</v>
      </c>
      <c r="Q44" s="25">
        <v>0.124</v>
      </c>
      <c r="R44" s="25">
        <v>0.124</v>
      </c>
      <c r="S44" s="21">
        <f t="shared" si="9"/>
        <v>-430.17444601603017</v>
      </c>
      <c r="T44" s="21">
        <f t="shared" si="10"/>
        <v>-147161.29032258064</v>
      </c>
      <c r="U44" s="26">
        <f t="shared" si="11"/>
        <v>-3.3783583636956069</v>
      </c>
      <c r="V44" s="25">
        <v>40</v>
      </c>
      <c r="W44" s="25">
        <f t="shared" si="12"/>
        <v>25180</v>
      </c>
      <c r="X44" s="25">
        <f t="shared" si="13"/>
        <v>629.5</v>
      </c>
      <c r="Y44" s="27" t="s">
        <v>1095</v>
      </c>
      <c r="Z44" s="19" t="s">
        <v>35</v>
      </c>
      <c r="AA44" s="19" t="s">
        <v>35</v>
      </c>
      <c r="AB44" s="19" t="s">
        <v>1096</v>
      </c>
      <c r="AC44" s="19">
        <v>0</v>
      </c>
      <c r="AD44" s="19">
        <v>1</v>
      </c>
      <c r="AE44" s="19" t="s">
        <v>42</v>
      </c>
      <c r="AF44" s="19" t="s">
        <v>43</v>
      </c>
      <c r="AG44" s="19" t="s">
        <v>38</v>
      </c>
      <c r="AH44" s="19" t="s">
        <v>92</v>
      </c>
    </row>
  </sheetData>
  <sortState xmlns:xlrd2="http://schemas.microsoft.com/office/spreadsheetml/2017/richdata2" ref="A2:AH32">
    <sortCondition ref="S2:S32"/>
  </sortState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50"/>
  </sheetPr>
  <dimension ref="A1:AH15"/>
  <sheetViews>
    <sheetView topLeftCell="A3"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441406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1368</v>
      </c>
      <c r="B2" s="19" t="s">
        <v>1365</v>
      </c>
      <c r="C2" s="19" t="s">
        <v>1366</v>
      </c>
      <c r="D2" s="20">
        <v>45393</v>
      </c>
      <c r="E2" s="21">
        <v>300000</v>
      </c>
      <c r="F2" s="19" t="s">
        <v>32</v>
      </c>
      <c r="G2" s="19" t="s">
        <v>33</v>
      </c>
      <c r="H2" s="21">
        <v>300000</v>
      </c>
      <c r="I2" s="21">
        <v>86100</v>
      </c>
      <c r="J2" s="22">
        <f>I2/H2*100</f>
        <v>28.7</v>
      </c>
      <c r="K2" s="21">
        <v>194569</v>
      </c>
      <c r="L2" s="21">
        <f>H2-179590</f>
        <v>120410</v>
      </c>
      <c r="M2" s="21">
        <v>14979</v>
      </c>
      <c r="N2" s="67">
        <f>M2/E2</f>
        <v>4.9930000000000002E-2</v>
      </c>
      <c r="O2" s="23">
        <v>74.89</v>
      </c>
      <c r="P2" s="24">
        <v>123.35</v>
      </c>
      <c r="Q2" s="25">
        <v>0.27</v>
      </c>
      <c r="R2" s="25">
        <v>0.27</v>
      </c>
      <c r="S2" s="21">
        <f>L2/O2</f>
        <v>1607.8248097209241</v>
      </c>
      <c r="T2" s="21">
        <f>L2/Q2</f>
        <v>445962.96296296292</v>
      </c>
      <c r="U2" s="26">
        <f>L2/Q2/43560</f>
        <v>10.23790089446655</v>
      </c>
      <c r="V2" s="25">
        <v>95.37</v>
      </c>
      <c r="W2" s="25">
        <f>0.2*E2</f>
        <v>60000</v>
      </c>
      <c r="X2" s="25">
        <f>W2/V2</f>
        <v>629.12865681031769</v>
      </c>
      <c r="Y2" s="27" t="s">
        <v>1367</v>
      </c>
      <c r="Z2" s="19" t="s">
        <v>35</v>
      </c>
      <c r="AA2" s="19" t="s">
        <v>35</v>
      </c>
      <c r="AB2" s="19" t="s">
        <v>1368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1369</v>
      </c>
    </row>
    <row r="3" spans="1:34" ht="15" thickBot="1" x14ac:dyDescent="0.35">
      <c r="A3" s="74" t="s">
        <v>1368</v>
      </c>
      <c r="B3" s="10" t="s">
        <v>1370</v>
      </c>
      <c r="C3" s="10" t="s">
        <v>1371</v>
      </c>
      <c r="D3" s="11">
        <v>45282</v>
      </c>
      <c r="E3" s="12">
        <v>335000</v>
      </c>
      <c r="F3" s="10" t="s">
        <v>32</v>
      </c>
      <c r="G3" s="10" t="s">
        <v>33</v>
      </c>
      <c r="H3" s="12">
        <v>335000</v>
      </c>
      <c r="I3" s="12">
        <v>144400</v>
      </c>
      <c r="J3" s="13">
        <f>I3/H3*100</f>
        <v>43.104477611940304</v>
      </c>
      <c r="K3" s="12">
        <v>340281</v>
      </c>
      <c r="L3" s="12">
        <f>H3-323919</f>
        <v>11081</v>
      </c>
      <c r="M3" s="12">
        <v>16362</v>
      </c>
      <c r="N3" s="66">
        <f>M3/E3</f>
        <v>4.8841791044776123E-2</v>
      </c>
      <c r="O3" s="14">
        <v>81.8</v>
      </c>
      <c r="P3" s="15">
        <v>123.35</v>
      </c>
      <c r="Q3" s="16">
        <v>0.29499999999999998</v>
      </c>
      <c r="R3" s="16">
        <v>0.29499999999999998</v>
      </c>
      <c r="S3" s="12">
        <f>L3/O3</f>
        <v>135.46454767726161</v>
      </c>
      <c r="T3" s="12">
        <f>L3/Q3</f>
        <v>37562.711864406781</v>
      </c>
      <c r="U3" s="17">
        <f>L3/Q3/43560</f>
        <v>0.86232120900842013</v>
      </c>
      <c r="V3" s="16">
        <v>104.17</v>
      </c>
      <c r="W3" s="16">
        <f>0.2*E3</f>
        <v>67000</v>
      </c>
      <c r="X3" s="16">
        <f>W3/V3</f>
        <v>643.17941825861567</v>
      </c>
      <c r="Y3" s="18" t="s">
        <v>1367</v>
      </c>
      <c r="Z3" s="10" t="s">
        <v>35</v>
      </c>
      <c r="AA3" s="10" t="s">
        <v>35</v>
      </c>
      <c r="AB3" s="10" t="s">
        <v>1368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1369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635000</v>
      </c>
      <c r="F4" s="37"/>
      <c r="G4" s="37"/>
      <c r="H4" s="39">
        <f>+SUM(H2:H3)</f>
        <v>635000</v>
      </c>
      <c r="I4" s="39">
        <f>+SUM(I2:I3)</f>
        <v>230500</v>
      </c>
      <c r="J4" s="40"/>
      <c r="K4" s="39">
        <f>+SUM(K2:K3)</f>
        <v>534850</v>
      </c>
      <c r="L4" s="39">
        <f>+SUM(L2:L3)</f>
        <v>131491</v>
      </c>
      <c r="M4" s="39">
        <f>+SUM(M2:M3)</f>
        <v>31341</v>
      </c>
      <c r="N4" s="81">
        <f>AVERAGE(N2:N3)</f>
        <v>4.9385895522388062E-2</v>
      </c>
      <c r="O4" s="41">
        <f>+SUM(O2:O3)</f>
        <v>156.69</v>
      </c>
      <c r="P4" s="42"/>
      <c r="Q4" s="43">
        <f>+SUM(Q2:Q3)</f>
        <v>0.56499999999999995</v>
      </c>
      <c r="R4" s="43">
        <f>+SUM(R2:R3)</f>
        <v>0.56499999999999995</v>
      </c>
      <c r="S4" s="39"/>
      <c r="T4" s="39"/>
      <c r="U4" s="44"/>
      <c r="V4" s="43"/>
      <c r="W4" s="82">
        <f>AVERAGE(W2:W3)</f>
        <v>63500</v>
      </c>
      <c r="X4" s="83">
        <f>AVERAGE(X2:X3)</f>
        <v>636.15403753446662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36.299212598425193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10.185503798852819</v>
      </c>
      <c r="K6" s="48"/>
      <c r="L6" s="48"/>
      <c r="M6" s="48" t="s">
        <v>2880</v>
      </c>
      <c r="N6" s="80"/>
      <c r="O6" s="54">
        <f>L4/O4</f>
        <v>839.17927117237855</v>
      </c>
      <c r="P6" s="50"/>
      <c r="Q6" s="51" t="s">
        <v>2881</v>
      </c>
      <c r="R6" s="51">
        <f>L4/Q4</f>
        <v>232727.4336283186</v>
      </c>
      <c r="S6" s="48"/>
      <c r="T6" s="48" t="s">
        <v>2882</v>
      </c>
      <c r="U6" s="52">
        <f>L4/Q4/43560</f>
        <v>5.3426867224131911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E15" s="96"/>
      <c r="F15" s="96"/>
      <c r="G15" s="96"/>
      <c r="H15" s="96"/>
      <c r="I15" s="96"/>
      <c r="L15" s="9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50"/>
  </sheetPr>
  <dimension ref="A1:AH28"/>
  <sheetViews>
    <sheetView topLeftCell="A4" workbookViewId="0">
      <selection activeCell="D15" sqref="D15:L21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2.44140625" style="65" customWidth="1"/>
    <col min="24" max="24" width="11.4414062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1294</v>
      </c>
      <c r="B2" s="19" t="s">
        <v>1299</v>
      </c>
      <c r="C2" s="19" t="s">
        <v>1300</v>
      </c>
      <c r="D2" s="20">
        <v>45532</v>
      </c>
      <c r="E2" s="21">
        <v>178500</v>
      </c>
      <c r="F2" s="19" t="s">
        <v>32</v>
      </c>
      <c r="G2" s="19" t="s">
        <v>33</v>
      </c>
      <c r="H2" s="21">
        <v>178500</v>
      </c>
      <c r="I2" s="21">
        <v>85700</v>
      </c>
      <c r="J2" s="22">
        <f t="shared" ref="J2:J11" si="0">I2/H2*100</f>
        <v>48.011204481792717</v>
      </c>
      <c r="K2" s="21">
        <v>186292</v>
      </c>
      <c r="L2" s="21">
        <f>H2-176792</f>
        <v>1708</v>
      </c>
      <c r="M2" s="21">
        <v>9500</v>
      </c>
      <c r="N2" s="67">
        <f t="shared" ref="N2:N11" si="1">M2/E2</f>
        <v>5.3221288515406161E-2</v>
      </c>
      <c r="O2" s="23">
        <v>61.68</v>
      </c>
      <c r="P2" s="24">
        <v>104.64</v>
      </c>
      <c r="Q2" s="25">
        <v>0.16200000000000001</v>
      </c>
      <c r="R2" s="25">
        <v>0.16200000000000001</v>
      </c>
      <c r="S2" s="21">
        <f t="shared" ref="S2:S11" si="2">L2/O2</f>
        <v>27.691309987029832</v>
      </c>
      <c r="T2" s="21">
        <f t="shared" ref="T2:T11" si="3">L2/Q2</f>
        <v>10543.209876543209</v>
      </c>
      <c r="U2" s="26">
        <f t="shared" ref="U2:U11" si="4">L2/Q2/43560</f>
        <v>0.24203879422734639</v>
      </c>
      <c r="V2" s="25">
        <v>55</v>
      </c>
      <c r="W2" s="25">
        <f t="shared" ref="W2:W11" si="5">0.2*E2</f>
        <v>35700</v>
      </c>
      <c r="X2" s="25">
        <f t="shared" ref="X2:X11" si="6">W2/V2</f>
        <v>649.09090909090912</v>
      </c>
      <c r="Y2" s="27" t="s">
        <v>1293</v>
      </c>
      <c r="Z2" s="19" t="s">
        <v>35</v>
      </c>
      <c r="AA2" s="19" t="s">
        <v>35</v>
      </c>
      <c r="AB2" s="19" t="s">
        <v>1294</v>
      </c>
      <c r="AC2" s="19">
        <v>0</v>
      </c>
      <c r="AD2" s="19">
        <v>1</v>
      </c>
      <c r="AE2" s="19" t="s">
        <v>412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1294</v>
      </c>
      <c r="B3" s="19" t="s">
        <v>1313</v>
      </c>
      <c r="C3" s="19" t="s">
        <v>1314</v>
      </c>
      <c r="D3" s="20">
        <v>45041</v>
      </c>
      <c r="E3" s="21">
        <v>157500</v>
      </c>
      <c r="F3" s="19" t="s">
        <v>32</v>
      </c>
      <c r="G3" s="19" t="s">
        <v>33</v>
      </c>
      <c r="H3" s="21">
        <v>157500</v>
      </c>
      <c r="I3" s="21">
        <v>64800</v>
      </c>
      <c r="J3" s="22">
        <f t="shared" si="0"/>
        <v>41.142857142857139</v>
      </c>
      <c r="K3" s="21">
        <v>161795</v>
      </c>
      <c r="L3" s="21">
        <f>H3-154026</f>
        <v>3474</v>
      </c>
      <c r="M3" s="21">
        <v>7769</v>
      </c>
      <c r="N3" s="67">
        <f t="shared" si="1"/>
        <v>4.9326984126984129E-2</v>
      </c>
      <c r="O3" s="23">
        <v>50.45</v>
      </c>
      <c r="P3" s="24">
        <v>110</v>
      </c>
      <c r="Q3" s="25">
        <v>0.128</v>
      </c>
      <c r="R3" s="25">
        <v>0.128</v>
      </c>
      <c r="S3" s="21">
        <f t="shared" si="2"/>
        <v>68.860257680872152</v>
      </c>
      <c r="T3" s="21">
        <f t="shared" si="3"/>
        <v>27140.625</v>
      </c>
      <c r="U3" s="26">
        <f t="shared" si="4"/>
        <v>0.6230630165289256</v>
      </c>
      <c r="V3" s="25">
        <v>50</v>
      </c>
      <c r="W3" s="25">
        <f t="shared" si="5"/>
        <v>31500</v>
      </c>
      <c r="X3" s="25">
        <f t="shared" si="6"/>
        <v>630</v>
      </c>
      <c r="Y3" s="27" t="s">
        <v>1293</v>
      </c>
      <c r="Z3" s="19" t="s">
        <v>35</v>
      </c>
      <c r="AA3" s="19" t="s">
        <v>35</v>
      </c>
      <c r="AB3" s="19" t="s">
        <v>1294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1294</v>
      </c>
      <c r="B4" s="10" t="s">
        <v>1319</v>
      </c>
      <c r="C4" s="10" t="s">
        <v>1320</v>
      </c>
      <c r="D4" s="11">
        <v>45210</v>
      </c>
      <c r="E4" s="12">
        <v>170000</v>
      </c>
      <c r="F4" s="10" t="s">
        <v>32</v>
      </c>
      <c r="G4" s="10" t="s">
        <v>33</v>
      </c>
      <c r="H4" s="12">
        <v>170000</v>
      </c>
      <c r="I4" s="12">
        <v>67000</v>
      </c>
      <c r="J4" s="13">
        <f t="shared" si="0"/>
        <v>39.411764705882355</v>
      </c>
      <c r="K4" s="12">
        <v>171520</v>
      </c>
      <c r="L4" s="12">
        <f>H4-162996</f>
        <v>7004</v>
      </c>
      <c r="M4" s="12">
        <v>8524</v>
      </c>
      <c r="N4" s="66">
        <f t="shared" si="1"/>
        <v>5.0141176470588238E-2</v>
      </c>
      <c r="O4" s="14">
        <v>55.35</v>
      </c>
      <c r="P4" s="15">
        <v>120.17</v>
      </c>
      <c r="Q4" s="16">
        <v>0.16300000000000001</v>
      </c>
      <c r="R4" s="16">
        <v>0.154</v>
      </c>
      <c r="S4" s="12">
        <f t="shared" si="2"/>
        <v>126.54019873532069</v>
      </c>
      <c r="T4" s="12">
        <f t="shared" si="3"/>
        <v>42969.32515337423</v>
      </c>
      <c r="U4" s="17">
        <f t="shared" si="4"/>
        <v>0.98643997138141026</v>
      </c>
      <c r="V4" s="16">
        <v>47</v>
      </c>
      <c r="W4" s="16">
        <f t="shared" si="5"/>
        <v>34000</v>
      </c>
      <c r="X4" s="16">
        <f t="shared" si="6"/>
        <v>723.40425531914889</v>
      </c>
      <c r="Y4" s="18" t="s">
        <v>1293</v>
      </c>
      <c r="Z4" s="10" t="s">
        <v>35</v>
      </c>
      <c r="AA4" s="10" t="s">
        <v>35</v>
      </c>
      <c r="AB4" s="10" t="s">
        <v>1294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1294</v>
      </c>
      <c r="B5" s="19" t="s">
        <v>1291</v>
      </c>
      <c r="C5" s="19" t="s">
        <v>1292</v>
      </c>
      <c r="D5" s="20">
        <v>45260</v>
      </c>
      <c r="E5" s="21">
        <v>147500</v>
      </c>
      <c r="F5" s="19" t="s">
        <v>32</v>
      </c>
      <c r="G5" s="19" t="s">
        <v>33</v>
      </c>
      <c r="H5" s="21">
        <v>147500</v>
      </c>
      <c r="I5" s="21">
        <v>57800</v>
      </c>
      <c r="J5" s="22">
        <f t="shared" si="0"/>
        <v>39.186440677966097</v>
      </c>
      <c r="K5" s="21">
        <v>143233</v>
      </c>
      <c r="L5" s="21">
        <f>H5-135387</f>
        <v>12113</v>
      </c>
      <c r="M5" s="21">
        <v>7846</v>
      </c>
      <c r="N5" s="67">
        <f t="shared" si="1"/>
        <v>5.3193220338983049E-2</v>
      </c>
      <c r="O5" s="23">
        <v>50.95</v>
      </c>
      <c r="P5" s="24">
        <v>114.22</v>
      </c>
      <c r="Q5" s="25">
        <v>0.13100000000000001</v>
      </c>
      <c r="R5" s="25">
        <v>0.13100000000000001</v>
      </c>
      <c r="S5" s="21">
        <f t="shared" si="2"/>
        <v>237.74288518155052</v>
      </c>
      <c r="T5" s="21">
        <f t="shared" si="3"/>
        <v>92465.648854961823</v>
      </c>
      <c r="U5" s="26">
        <f t="shared" si="4"/>
        <v>2.1227192115464146</v>
      </c>
      <c r="V5" s="25">
        <v>50</v>
      </c>
      <c r="W5" s="25">
        <f t="shared" si="5"/>
        <v>29500</v>
      </c>
      <c r="X5" s="25">
        <f t="shared" si="6"/>
        <v>590</v>
      </c>
      <c r="Y5" s="27" t="s">
        <v>1293</v>
      </c>
      <c r="Z5" s="19" t="s">
        <v>35</v>
      </c>
      <c r="AA5" s="19" t="s">
        <v>35</v>
      </c>
      <c r="AB5" s="19" t="s">
        <v>1294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1294</v>
      </c>
      <c r="B6" s="19" t="s">
        <v>1315</v>
      </c>
      <c r="C6" s="19" t="s">
        <v>1316</v>
      </c>
      <c r="D6" s="20">
        <v>45373</v>
      </c>
      <c r="E6" s="21">
        <v>180000</v>
      </c>
      <c r="F6" s="19" t="s">
        <v>32</v>
      </c>
      <c r="G6" s="19" t="s">
        <v>33</v>
      </c>
      <c r="H6" s="21">
        <v>180000</v>
      </c>
      <c r="I6" s="21">
        <v>67000</v>
      </c>
      <c r="J6" s="22">
        <f t="shared" si="0"/>
        <v>37.222222222222221</v>
      </c>
      <c r="K6" s="21">
        <v>167384</v>
      </c>
      <c r="L6" s="21">
        <f>H6-159669</f>
        <v>20331</v>
      </c>
      <c r="M6" s="21">
        <v>7715</v>
      </c>
      <c r="N6" s="67">
        <f t="shared" si="1"/>
        <v>4.2861111111111114E-2</v>
      </c>
      <c r="O6" s="23">
        <v>50.09</v>
      </c>
      <c r="P6" s="24">
        <v>109.77</v>
      </c>
      <c r="Q6" s="25">
        <v>0.127</v>
      </c>
      <c r="R6" s="25">
        <v>0.127</v>
      </c>
      <c r="S6" s="21">
        <f t="shared" si="2"/>
        <v>405.88939908165298</v>
      </c>
      <c r="T6" s="21">
        <f t="shared" si="3"/>
        <v>160086.61417322836</v>
      </c>
      <c r="U6" s="26">
        <f t="shared" si="4"/>
        <v>3.6750829700006511</v>
      </c>
      <c r="V6" s="25">
        <v>50</v>
      </c>
      <c r="W6" s="25">
        <f t="shared" si="5"/>
        <v>36000</v>
      </c>
      <c r="X6" s="25">
        <f t="shared" si="6"/>
        <v>720</v>
      </c>
      <c r="Y6" s="27" t="s">
        <v>1293</v>
      </c>
      <c r="Z6" s="19" t="s">
        <v>35</v>
      </c>
      <c r="AA6" s="19" t="s">
        <v>35</v>
      </c>
      <c r="AB6" s="19" t="s">
        <v>1294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1294</v>
      </c>
      <c r="B7" s="10" t="s">
        <v>1317</v>
      </c>
      <c r="C7" s="10" t="s">
        <v>1318</v>
      </c>
      <c r="D7" s="11">
        <v>45442</v>
      </c>
      <c r="E7" s="12">
        <v>168000</v>
      </c>
      <c r="F7" s="10" t="s">
        <v>32</v>
      </c>
      <c r="G7" s="10" t="s">
        <v>33</v>
      </c>
      <c r="H7" s="12">
        <v>168000</v>
      </c>
      <c r="I7" s="12">
        <v>69700</v>
      </c>
      <c r="J7" s="13">
        <f t="shared" si="0"/>
        <v>41.488095238095241</v>
      </c>
      <c r="K7" s="12">
        <v>151286</v>
      </c>
      <c r="L7" s="12">
        <f>H7-142698</f>
        <v>25302</v>
      </c>
      <c r="M7" s="12">
        <v>8588</v>
      </c>
      <c r="N7" s="66">
        <f t="shared" si="1"/>
        <v>5.111904761904762E-2</v>
      </c>
      <c r="O7" s="14">
        <v>55.76</v>
      </c>
      <c r="P7" s="15">
        <v>114.69</v>
      </c>
      <c r="Q7" s="16">
        <v>0.154</v>
      </c>
      <c r="R7" s="16">
        <v>0.154</v>
      </c>
      <c r="S7" s="12">
        <f t="shared" si="2"/>
        <v>453.76614060258254</v>
      </c>
      <c r="T7" s="12">
        <f t="shared" si="3"/>
        <v>164298.70129870131</v>
      </c>
      <c r="U7" s="17">
        <f t="shared" si="4"/>
        <v>3.7717791850023259</v>
      </c>
      <c r="V7" s="16">
        <v>47</v>
      </c>
      <c r="W7" s="16">
        <f t="shared" si="5"/>
        <v>33600</v>
      </c>
      <c r="X7" s="16">
        <f t="shared" si="6"/>
        <v>714.89361702127655</v>
      </c>
      <c r="Y7" s="18" t="s">
        <v>1293</v>
      </c>
      <c r="Z7" s="10" t="s">
        <v>35</v>
      </c>
      <c r="AA7" s="10" t="s">
        <v>35</v>
      </c>
      <c r="AB7" s="10" t="s">
        <v>1294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1294</v>
      </c>
      <c r="B8" s="10" t="s">
        <v>1311</v>
      </c>
      <c r="C8" s="10" t="s">
        <v>1312</v>
      </c>
      <c r="D8" s="11">
        <v>45740</v>
      </c>
      <c r="E8" s="12">
        <v>171000</v>
      </c>
      <c r="F8" s="10" t="s">
        <v>32</v>
      </c>
      <c r="G8" s="10" t="s">
        <v>33</v>
      </c>
      <c r="H8" s="12">
        <v>171000</v>
      </c>
      <c r="I8" s="12">
        <v>71000</v>
      </c>
      <c r="J8" s="13">
        <f t="shared" si="0"/>
        <v>41.520467836257311</v>
      </c>
      <c r="K8" s="12">
        <v>154247</v>
      </c>
      <c r="L8" s="12">
        <f>H8-146547</f>
        <v>24453</v>
      </c>
      <c r="M8" s="12">
        <v>7700</v>
      </c>
      <c r="N8" s="66">
        <f t="shared" si="1"/>
        <v>4.502923976608187E-2</v>
      </c>
      <c r="O8" s="14">
        <v>50</v>
      </c>
      <c r="P8" s="15">
        <v>110</v>
      </c>
      <c r="Q8" s="16">
        <v>0.126</v>
      </c>
      <c r="R8" s="16">
        <v>0.126</v>
      </c>
      <c r="S8" s="12">
        <f t="shared" si="2"/>
        <v>489.06</v>
      </c>
      <c r="T8" s="12">
        <f t="shared" si="3"/>
        <v>194071.42857142858</v>
      </c>
      <c r="U8" s="17">
        <f t="shared" si="4"/>
        <v>4.4552669552669553</v>
      </c>
      <c r="V8" s="16">
        <v>50</v>
      </c>
      <c r="W8" s="16">
        <f t="shared" si="5"/>
        <v>34200</v>
      </c>
      <c r="X8" s="16">
        <f t="shared" si="6"/>
        <v>684</v>
      </c>
      <c r="Y8" s="18" t="s">
        <v>1293</v>
      </c>
      <c r="Z8" s="10" t="s">
        <v>35</v>
      </c>
      <c r="AA8" s="10" t="s">
        <v>35</v>
      </c>
      <c r="AB8" s="10" t="s">
        <v>1294</v>
      </c>
      <c r="AC8" s="10">
        <v>0</v>
      </c>
      <c r="AD8" s="10">
        <v>1</v>
      </c>
      <c r="AE8" s="10" t="s">
        <v>37</v>
      </c>
      <c r="AF8" s="10" t="s">
        <v>35</v>
      </c>
      <c r="AG8" s="10" t="s">
        <v>38</v>
      </c>
      <c r="AH8" s="10" t="s">
        <v>92</v>
      </c>
    </row>
    <row r="9" spans="1:34" x14ac:dyDescent="0.3">
      <c r="A9" s="75" t="s">
        <v>1294</v>
      </c>
      <c r="B9" s="19" t="s">
        <v>1307</v>
      </c>
      <c r="C9" s="19" t="s">
        <v>1308</v>
      </c>
      <c r="D9" s="20">
        <v>45638</v>
      </c>
      <c r="E9" s="21">
        <v>170000</v>
      </c>
      <c r="F9" s="19" t="s">
        <v>32</v>
      </c>
      <c r="G9" s="19" t="s">
        <v>33</v>
      </c>
      <c r="H9" s="21">
        <v>170000</v>
      </c>
      <c r="I9" s="21">
        <v>67600</v>
      </c>
      <c r="J9" s="22">
        <f t="shared" si="0"/>
        <v>39.764705882352942</v>
      </c>
      <c r="K9" s="21">
        <v>147022</v>
      </c>
      <c r="L9" s="21">
        <f>H9-139499</f>
        <v>30501</v>
      </c>
      <c r="M9" s="21">
        <v>7523</v>
      </c>
      <c r="N9" s="67">
        <f t="shared" si="1"/>
        <v>4.4252941176470585E-2</v>
      </c>
      <c r="O9" s="23">
        <v>48.85</v>
      </c>
      <c r="P9" s="24">
        <v>105</v>
      </c>
      <c r="Q9" s="25">
        <v>0.121</v>
      </c>
      <c r="R9" s="25">
        <v>0.121</v>
      </c>
      <c r="S9" s="21">
        <f t="shared" si="2"/>
        <v>624.38075742067554</v>
      </c>
      <c r="T9" s="21">
        <f t="shared" si="3"/>
        <v>252074.38016528927</v>
      </c>
      <c r="U9" s="26">
        <f t="shared" si="4"/>
        <v>5.7868315005805622</v>
      </c>
      <c r="V9" s="25">
        <v>50</v>
      </c>
      <c r="W9" s="25">
        <f t="shared" si="5"/>
        <v>34000</v>
      </c>
      <c r="X9" s="25">
        <f t="shared" si="6"/>
        <v>680</v>
      </c>
      <c r="Y9" s="27" t="s">
        <v>1293</v>
      </c>
      <c r="Z9" s="19" t="s">
        <v>35</v>
      </c>
      <c r="AA9" s="19" t="s">
        <v>35</v>
      </c>
      <c r="AB9" s="19" t="s">
        <v>1294</v>
      </c>
      <c r="AC9" s="19">
        <v>0</v>
      </c>
      <c r="AD9" s="19">
        <v>1</v>
      </c>
      <c r="AE9" s="19" t="s">
        <v>412</v>
      </c>
      <c r="AF9" s="19" t="s">
        <v>35</v>
      </c>
      <c r="AG9" s="19" t="s">
        <v>38</v>
      </c>
      <c r="AH9" s="19" t="s">
        <v>92</v>
      </c>
    </row>
    <row r="10" spans="1:34" x14ac:dyDescent="0.3">
      <c r="A10" s="74" t="s">
        <v>1294</v>
      </c>
      <c r="B10" s="10" t="s">
        <v>1297</v>
      </c>
      <c r="C10" s="10" t="s">
        <v>1298</v>
      </c>
      <c r="D10" s="11">
        <v>45454</v>
      </c>
      <c r="E10" s="12">
        <v>166250</v>
      </c>
      <c r="F10" s="10" t="s">
        <v>32</v>
      </c>
      <c r="G10" s="10" t="s">
        <v>33</v>
      </c>
      <c r="H10" s="12">
        <v>166250</v>
      </c>
      <c r="I10" s="12">
        <v>60800</v>
      </c>
      <c r="J10" s="13">
        <f t="shared" si="0"/>
        <v>36.571428571428569</v>
      </c>
      <c r="K10" s="12">
        <v>136245</v>
      </c>
      <c r="L10" s="12">
        <f>H10-128545</f>
        <v>37705</v>
      </c>
      <c r="M10" s="12">
        <v>7700</v>
      </c>
      <c r="N10" s="66">
        <f t="shared" si="1"/>
        <v>4.6315789473684213E-2</v>
      </c>
      <c r="O10" s="14">
        <v>50</v>
      </c>
      <c r="P10" s="15">
        <v>110</v>
      </c>
      <c r="Q10" s="16">
        <v>0.126</v>
      </c>
      <c r="R10" s="16">
        <v>0.126</v>
      </c>
      <c r="S10" s="12">
        <f t="shared" si="2"/>
        <v>754.1</v>
      </c>
      <c r="T10" s="12">
        <f t="shared" si="3"/>
        <v>299246.03174603172</v>
      </c>
      <c r="U10" s="17">
        <f t="shared" si="4"/>
        <v>6.8697436121678539</v>
      </c>
      <c r="V10" s="16">
        <v>50</v>
      </c>
      <c r="W10" s="16">
        <f t="shared" si="5"/>
        <v>33250</v>
      </c>
      <c r="X10" s="16">
        <f t="shared" si="6"/>
        <v>665</v>
      </c>
      <c r="Y10" s="18" t="s">
        <v>1293</v>
      </c>
      <c r="Z10" s="10" t="s">
        <v>35</v>
      </c>
      <c r="AA10" s="10" t="s">
        <v>35</v>
      </c>
      <c r="AB10" s="10" t="s">
        <v>1294</v>
      </c>
      <c r="AC10" s="10">
        <v>0</v>
      </c>
      <c r="AD10" s="10">
        <v>1</v>
      </c>
      <c r="AE10" s="10" t="s">
        <v>37</v>
      </c>
      <c r="AF10" s="10" t="s">
        <v>43</v>
      </c>
      <c r="AG10" s="10" t="s">
        <v>38</v>
      </c>
      <c r="AH10" s="10" t="s">
        <v>92</v>
      </c>
    </row>
    <row r="11" spans="1:34" ht="15" thickBot="1" x14ac:dyDescent="0.35">
      <c r="A11" s="75" t="s">
        <v>1294</v>
      </c>
      <c r="B11" s="19" t="s">
        <v>1301</v>
      </c>
      <c r="C11" s="19" t="s">
        <v>1302</v>
      </c>
      <c r="D11" s="20">
        <v>45464</v>
      </c>
      <c r="E11" s="21">
        <v>165000</v>
      </c>
      <c r="F11" s="19" t="s">
        <v>32</v>
      </c>
      <c r="G11" s="19" t="s">
        <v>33</v>
      </c>
      <c r="H11" s="21">
        <v>165000</v>
      </c>
      <c r="I11" s="21">
        <v>60800</v>
      </c>
      <c r="J11" s="22">
        <f t="shared" si="0"/>
        <v>36.848484848484844</v>
      </c>
      <c r="K11" s="21">
        <v>133178</v>
      </c>
      <c r="L11" s="21">
        <f>H11-125478</f>
        <v>39522</v>
      </c>
      <c r="M11" s="21">
        <v>7700</v>
      </c>
      <c r="N11" s="67">
        <f t="shared" si="1"/>
        <v>4.6666666666666669E-2</v>
      </c>
      <c r="O11" s="23">
        <v>50</v>
      </c>
      <c r="P11" s="24">
        <v>110</v>
      </c>
      <c r="Q11" s="25">
        <v>0.126</v>
      </c>
      <c r="R11" s="25">
        <v>0.126</v>
      </c>
      <c r="S11" s="21">
        <f t="shared" si="2"/>
        <v>790.44</v>
      </c>
      <c r="T11" s="21">
        <f t="shared" si="3"/>
        <v>313666.66666666669</v>
      </c>
      <c r="U11" s="26">
        <f t="shared" si="4"/>
        <v>7.2007958371594736</v>
      </c>
      <c r="V11" s="25">
        <v>50</v>
      </c>
      <c r="W11" s="25">
        <f t="shared" si="5"/>
        <v>33000</v>
      </c>
      <c r="X11" s="25">
        <f t="shared" si="6"/>
        <v>660</v>
      </c>
      <c r="Y11" s="27" t="s">
        <v>1293</v>
      </c>
      <c r="Z11" s="19" t="s">
        <v>35</v>
      </c>
      <c r="AA11" s="19" t="s">
        <v>35</v>
      </c>
      <c r="AB11" s="19" t="s">
        <v>1294</v>
      </c>
      <c r="AC11" s="19">
        <v>0</v>
      </c>
      <c r="AD11" s="19">
        <v>1</v>
      </c>
      <c r="AE11" s="19" t="s">
        <v>37</v>
      </c>
      <c r="AF11" s="19" t="s">
        <v>43</v>
      </c>
      <c r="AG11" s="19" t="s">
        <v>38</v>
      </c>
      <c r="AH11" s="19" t="s">
        <v>92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1673750</v>
      </c>
      <c r="F12" s="37"/>
      <c r="G12" s="37"/>
      <c r="H12" s="39">
        <f>+SUM(H2:H11)</f>
        <v>1673750</v>
      </c>
      <c r="I12" s="39">
        <f>+SUM(I2:I11)</f>
        <v>672200</v>
      </c>
      <c r="J12" s="40"/>
      <c r="K12" s="39">
        <f>+SUM(K2:K11)</f>
        <v>1552202</v>
      </c>
      <c r="L12" s="39">
        <f>+SUM(L2:L11)</f>
        <v>202113</v>
      </c>
      <c r="M12" s="39">
        <f>+SUM(M2:M11)</f>
        <v>80565</v>
      </c>
      <c r="N12" s="81">
        <f>AVERAGE(N2:N11)</f>
        <v>4.8212746526502363E-2</v>
      </c>
      <c r="O12" s="41">
        <f>+SUM(O2:O11)</f>
        <v>523.13</v>
      </c>
      <c r="P12" s="42"/>
      <c r="Q12" s="43">
        <f>+SUM(Q2:Q11)</f>
        <v>1.3639999999999999</v>
      </c>
      <c r="R12" s="43">
        <f>+SUM(R2:R11)</f>
        <v>1.355</v>
      </c>
      <c r="S12" s="39">
        <f>AVERAGE(S2:S11)</f>
        <v>397.84709486896838</v>
      </c>
      <c r="T12" s="39"/>
      <c r="U12" s="44"/>
      <c r="V12" s="43"/>
      <c r="W12" s="82">
        <f>AVERAGE(W2:W11)</f>
        <v>33475</v>
      </c>
      <c r="X12" s="83">
        <f>AVERAGE(X2:X11)</f>
        <v>671.63887814313352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40.1613144137416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3.3390265698225181</v>
      </c>
      <c r="K14" s="48"/>
      <c r="L14" s="48"/>
      <c r="M14" s="48" t="s">
        <v>2880</v>
      </c>
      <c r="N14" s="80"/>
      <c r="O14" s="54">
        <f>L12/O12</f>
        <v>386.35329650373711</v>
      </c>
      <c r="P14" s="50"/>
      <c r="Q14" s="51" t="s">
        <v>2881</v>
      </c>
      <c r="R14" s="51">
        <f>L12/Q12</f>
        <v>148176.6862170088</v>
      </c>
      <c r="S14" s="48"/>
      <c r="T14" s="48" t="s">
        <v>2882</v>
      </c>
      <c r="U14" s="52">
        <f>L12/Q12/43560</f>
        <v>3.4016686459368413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34" x14ac:dyDescent="0.3">
      <c r="E20" s="383" t="s">
        <v>3167</v>
      </c>
      <c r="F20" s="383"/>
      <c r="G20" s="383"/>
      <c r="H20" s="383"/>
      <c r="I20" s="383"/>
      <c r="L20" s="95"/>
    </row>
    <row r="21" spans="1:34" x14ac:dyDescent="0.3">
      <c r="E21" s="383" t="s">
        <v>3100</v>
      </c>
      <c r="F21" s="383"/>
      <c r="G21" s="383"/>
      <c r="H21" s="383"/>
      <c r="I21" s="383"/>
      <c r="L21" s="95"/>
    </row>
    <row r="22" spans="1:34" x14ac:dyDescent="0.3">
      <c r="E22" s="96"/>
      <c r="F22" s="96"/>
      <c r="G22" s="96"/>
      <c r="H22" s="96"/>
      <c r="I22" s="96"/>
      <c r="L22" s="95"/>
    </row>
    <row r="23" spans="1:34" x14ac:dyDescent="0.3">
      <c r="A23" s="55" t="s">
        <v>3092</v>
      </c>
      <c r="E23" s="96"/>
      <c r="F23" s="96"/>
      <c r="G23" s="96"/>
      <c r="H23" s="96"/>
      <c r="I23" s="96"/>
      <c r="L23" s="95"/>
    </row>
    <row r="24" spans="1:34" x14ac:dyDescent="0.3">
      <c r="A24" s="75" t="s">
        <v>1294</v>
      </c>
      <c r="B24" s="19" t="s">
        <v>1309</v>
      </c>
      <c r="C24" s="19" t="s">
        <v>1310</v>
      </c>
      <c r="D24" s="20">
        <v>45443</v>
      </c>
      <c r="E24" s="21">
        <v>125000</v>
      </c>
      <c r="F24" s="19" t="s">
        <v>32</v>
      </c>
      <c r="G24" s="19" t="s">
        <v>33</v>
      </c>
      <c r="H24" s="21">
        <v>125000</v>
      </c>
      <c r="I24" s="21">
        <v>80100</v>
      </c>
      <c r="J24" s="22">
        <f>I24/H24*100</f>
        <v>64.08</v>
      </c>
      <c r="K24" s="21">
        <v>180364</v>
      </c>
      <c r="L24" s="21">
        <f>H24-172664</f>
        <v>-47664</v>
      </c>
      <c r="M24" s="21">
        <v>7700</v>
      </c>
      <c r="N24" s="67">
        <f>M24/E24</f>
        <v>6.1600000000000002E-2</v>
      </c>
      <c r="O24" s="23">
        <v>50</v>
      </c>
      <c r="P24" s="24">
        <v>110</v>
      </c>
      <c r="Q24" s="25">
        <v>0.126</v>
      </c>
      <c r="R24" s="25">
        <v>0.126</v>
      </c>
      <c r="S24" s="21">
        <f>L24/O24</f>
        <v>-953.28</v>
      </c>
      <c r="T24" s="21">
        <f>L24/Q24</f>
        <v>-378285.71428571426</v>
      </c>
      <c r="U24" s="26">
        <f>L24/Q24/43560</f>
        <v>-8.6842450478814115</v>
      </c>
      <c r="V24" s="25">
        <v>50</v>
      </c>
      <c r="W24" s="25">
        <f>0.2*E24</f>
        <v>25000</v>
      </c>
      <c r="X24" s="25">
        <f>W24/V24</f>
        <v>500</v>
      </c>
      <c r="Y24" s="27" t="s">
        <v>1293</v>
      </c>
      <c r="Z24" s="19" t="s">
        <v>35</v>
      </c>
      <c r="AA24" s="19" t="s">
        <v>35</v>
      </c>
      <c r="AB24" s="19" t="s">
        <v>1294</v>
      </c>
      <c r="AC24" s="19">
        <v>0</v>
      </c>
      <c r="AD24" s="19">
        <v>1</v>
      </c>
      <c r="AE24" s="19" t="s">
        <v>37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74" t="s">
        <v>1294</v>
      </c>
      <c r="B25" s="10" t="s">
        <v>1311</v>
      </c>
      <c r="C25" s="10" t="s">
        <v>1312</v>
      </c>
      <c r="D25" s="11">
        <v>45679</v>
      </c>
      <c r="E25" s="12">
        <v>131000</v>
      </c>
      <c r="F25" s="10" t="s">
        <v>32</v>
      </c>
      <c r="G25" s="10" t="s">
        <v>33</v>
      </c>
      <c r="H25" s="12">
        <v>131000</v>
      </c>
      <c r="I25" s="12">
        <v>71000</v>
      </c>
      <c r="J25" s="13">
        <f t="shared" ref="J25:J28" si="7">I25/H25*100</f>
        <v>54.198473282442748</v>
      </c>
      <c r="K25" s="12">
        <v>154247</v>
      </c>
      <c r="L25" s="12">
        <f>H25-146547</f>
        <v>-15547</v>
      </c>
      <c r="M25" s="12">
        <v>7700</v>
      </c>
      <c r="N25" s="66">
        <f t="shared" ref="N25:N28" si="8">M25/E25</f>
        <v>5.8778625954198471E-2</v>
      </c>
      <c r="O25" s="14">
        <v>50</v>
      </c>
      <c r="P25" s="15">
        <v>110</v>
      </c>
      <c r="Q25" s="16">
        <v>0.126</v>
      </c>
      <c r="R25" s="16">
        <v>0.126</v>
      </c>
      <c r="S25" s="12">
        <f t="shared" ref="S25:S28" si="9">L25/O25</f>
        <v>-310.94</v>
      </c>
      <c r="T25" s="12">
        <f t="shared" ref="T25:T28" si="10">L25/Q25</f>
        <v>-123388.88888888889</v>
      </c>
      <c r="U25" s="17">
        <f t="shared" ref="U25:U28" si="11">L25/Q25/43560</f>
        <v>-2.8326191204979083</v>
      </c>
      <c r="V25" s="16">
        <v>50</v>
      </c>
      <c r="W25" s="16">
        <f t="shared" ref="W25:W28" si="12">0.2*E25</f>
        <v>26200</v>
      </c>
      <c r="X25" s="16">
        <f>W25/V25</f>
        <v>524</v>
      </c>
      <c r="Y25" s="18" t="s">
        <v>1293</v>
      </c>
      <c r="Z25" s="10" t="s">
        <v>35</v>
      </c>
      <c r="AA25" s="10" t="s">
        <v>35</v>
      </c>
      <c r="AB25" s="10" t="s">
        <v>1294</v>
      </c>
      <c r="AC25" s="10">
        <v>0</v>
      </c>
      <c r="AD25" s="10">
        <v>1</v>
      </c>
      <c r="AE25" s="10" t="s">
        <v>37</v>
      </c>
      <c r="AF25" s="10" t="s">
        <v>35</v>
      </c>
      <c r="AG25" s="10" t="s">
        <v>38</v>
      </c>
      <c r="AH25" s="10" t="s">
        <v>92</v>
      </c>
    </row>
    <row r="26" spans="1:34" x14ac:dyDescent="0.3">
      <c r="A26" s="74" t="s">
        <v>1294</v>
      </c>
      <c r="B26" s="10" t="s">
        <v>1295</v>
      </c>
      <c r="C26" s="10" t="s">
        <v>1296</v>
      </c>
      <c r="D26" s="11">
        <v>45693</v>
      </c>
      <c r="E26" s="12">
        <v>140000</v>
      </c>
      <c r="F26" s="10" t="s">
        <v>32</v>
      </c>
      <c r="G26" s="10" t="s">
        <v>33</v>
      </c>
      <c r="H26" s="12">
        <v>140000</v>
      </c>
      <c r="I26" s="12">
        <v>73500</v>
      </c>
      <c r="J26" s="13">
        <f t="shared" si="7"/>
        <v>52.5</v>
      </c>
      <c r="K26" s="12">
        <v>160514</v>
      </c>
      <c r="L26" s="12">
        <f>H26-151371</f>
        <v>-11371</v>
      </c>
      <c r="M26" s="12">
        <v>9143</v>
      </c>
      <c r="N26" s="66">
        <f t="shared" si="8"/>
        <v>6.5307142857142855E-2</v>
      </c>
      <c r="O26" s="14">
        <v>59.37</v>
      </c>
      <c r="P26" s="15">
        <v>105</v>
      </c>
      <c r="Q26" s="16">
        <v>0.14599999999999999</v>
      </c>
      <c r="R26" s="16">
        <v>0.14599999999999999</v>
      </c>
      <c r="S26" s="12">
        <f t="shared" si="9"/>
        <v>-191.5277075964292</v>
      </c>
      <c r="T26" s="12">
        <f t="shared" si="10"/>
        <v>-77883.561643835623</v>
      </c>
      <c r="U26" s="17">
        <f t="shared" si="11"/>
        <v>-1.7879605519705148</v>
      </c>
      <c r="V26" s="16">
        <v>60.77</v>
      </c>
      <c r="W26" s="16">
        <f t="shared" si="12"/>
        <v>28000</v>
      </c>
      <c r="X26" s="16">
        <f t="shared" ref="X26:X28" si="13">W26/V26</f>
        <v>460.75366134605889</v>
      </c>
      <c r="Y26" s="18" t="s">
        <v>1293</v>
      </c>
      <c r="Z26" s="10" t="s">
        <v>35</v>
      </c>
      <c r="AA26" s="10" t="s">
        <v>35</v>
      </c>
      <c r="AB26" s="10" t="s">
        <v>1294</v>
      </c>
      <c r="AC26" s="10">
        <v>0</v>
      </c>
      <c r="AD26" s="10">
        <v>1</v>
      </c>
      <c r="AE26" s="10" t="s">
        <v>42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4" t="s">
        <v>1294</v>
      </c>
      <c r="B27" s="10" t="s">
        <v>1303</v>
      </c>
      <c r="C27" s="10" t="s">
        <v>1304</v>
      </c>
      <c r="D27" s="11">
        <v>45294</v>
      </c>
      <c r="E27" s="12">
        <v>164000</v>
      </c>
      <c r="F27" s="10" t="s">
        <v>32</v>
      </c>
      <c r="G27" s="10" t="s">
        <v>33</v>
      </c>
      <c r="H27" s="12">
        <v>164000</v>
      </c>
      <c r="I27" s="12">
        <v>74300</v>
      </c>
      <c r="J27" s="13">
        <f t="shared" si="7"/>
        <v>45.304878048780488</v>
      </c>
      <c r="K27" s="12">
        <v>184722</v>
      </c>
      <c r="L27" s="12">
        <f>H27-174762</f>
        <v>-10762</v>
      </c>
      <c r="M27" s="12">
        <v>9960</v>
      </c>
      <c r="N27" s="66">
        <f t="shared" si="8"/>
        <v>6.0731707317073169E-2</v>
      </c>
      <c r="O27" s="14">
        <v>64.67</v>
      </c>
      <c r="P27" s="15">
        <v>106.07</v>
      </c>
      <c r="Q27" s="16">
        <v>0.17399999999999999</v>
      </c>
      <c r="R27" s="16">
        <v>0.17399999999999999</v>
      </c>
      <c r="S27" s="12">
        <f t="shared" si="9"/>
        <v>-166.41410236585742</v>
      </c>
      <c r="T27" s="12">
        <f t="shared" si="10"/>
        <v>-61850.574712643684</v>
      </c>
      <c r="U27" s="17">
        <f t="shared" si="11"/>
        <v>-1.4198938180129403</v>
      </c>
      <c r="V27" s="16">
        <v>55</v>
      </c>
      <c r="W27" s="16">
        <f t="shared" si="12"/>
        <v>32800</v>
      </c>
      <c r="X27" s="16">
        <f t="shared" si="13"/>
        <v>596.36363636363637</v>
      </c>
      <c r="Y27" s="18" t="s">
        <v>1293</v>
      </c>
      <c r="Z27" s="10" t="s">
        <v>35</v>
      </c>
      <c r="AA27" s="10" t="s">
        <v>35</v>
      </c>
      <c r="AB27" s="10" t="s">
        <v>1294</v>
      </c>
      <c r="AC27" s="10">
        <v>0</v>
      </c>
      <c r="AD27" s="10">
        <v>1</v>
      </c>
      <c r="AE27" s="10" t="s">
        <v>42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4" t="s">
        <v>1294</v>
      </c>
      <c r="B28" s="10" t="s">
        <v>1305</v>
      </c>
      <c r="C28" s="10" t="s">
        <v>1306</v>
      </c>
      <c r="D28" s="11">
        <v>45064</v>
      </c>
      <c r="E28" s="12">
        <v>165000</v>
      </c>
      <c r="F28" s="10" t="s">
        <v>32</v>
      </c>
      <c r="G28" s="10" t="s">
        <v>33</v>
      </c>
      <c r="H28" s="12">
        <v>165000</v>
      </c>
      <c r="I28" s="12">
        <v>72200</v>
      </c>
      <c r="J28" s="13">
        <f t="shared" si="7"/>
        <v>43.757575757575758</v>
      </c>
      <c r="K28" s="12">
        <v>176289</v>
      </c>
      <c r="L28" s="12">
        <f>H28-168589</f>
        <v>-3589</v>
      </c>
      <c r="M28" s="12">
        <v>7700</v>
      </c>
      <c r="N28" s="66">
        <f t="shared" si="8"/>
        <v>4.6666666666666669E-2</v>
      </c>
      <c r="O28" s="14">
        <v>50</v>
      </c>
      <c r="P28" s="15">
        <v>110</v>
      </c>
      <c r="Q28" s="16">
        <v>0.126</v>
      </c>
      <c r="R28" s="16">
        <v>0.126</v>
      </c>
      <c r="S28" s="12">
        <f t="shared" si="9"/>
        <v>-71.78</v>
      </c>
      <c r="T28" s="12">
        <f t="shared" si="10"/>
        <v>-28484.126984126982</v>
      </c>
      <c r="U28" s="17">
        <f t="shared" si="11"/>
        <v>-0.65390557814800232</v>
      </c>
      <c r="V28" s="16">
        <v>50</v>
      </c>
      <c r="W28" s="16">
        <f t="shared" si="12"/>
        <v>33000</v>
      </c>
      <c r="X28" s="16">
        <f t="shared" si="13"/>
        <v>660</v>
      </c>
      <c r="Y28" s="18" t="s">
        <v>1293</v>
      </c>
      <c r="Z28" s="10" t="s">
        <v>35</v>
      </c>
      <c r="AA28" s="10" t="s">
        <v>35</v>
      </c>
      <c r="AB28" s="10" t="s">
        <v>1294</v>
      </c>
      <c r="AC28" s="10">
        <v>0</v>
      </c>
      <c r="AD28" s="10">
        <v>1</v>
      </c>
      <c r="AE28" s="10" t="s">
        <v>42</v>
      </c>
      <c r="AF28" s="10" t="s">
        <v>43</v>
      </c>
      <c r="AG28" s="10" t="s">
        <v>38</v>
      </c>
      <c r="AH28" s="10" t="s">
        <v>92</v>
      </c>
    </row>
  </sheetData>
  <sortState xmlns:xlrd2="http://schemas.microsoft.com/office/spreadsheetml/2017/richdata2" ref="A2:AH16">
    <sortCondition ref="S2:S16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00B050"/>
  </sheetPr>
  <dimension ref="A1:AH26"/>
  <sheetViews>
    <sheetView workbookViewId="0">
      <selection activeCell="E14" sqref="E14:M20"/>
    </sheetView>
  </sheetViews>
  <sheetFormatPr defaultRowHeight="14.4" x14ac:dyDescent="0.3"/>
  <cols>
    <col min="1" max="1" width="10.44140625" style="55" customWidth="1" collapsed="1"/>
    <col min="2" max="2" width="16.88671875" bestFit="1" customWidth="1" collapsed="1"/>
    <col min="3" max="3" width="15.44140625" bestFit="1" customWidth="1" collapsed="1"/>
    <col min="4" max="4" width="10.664062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10.33203125" style="55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2.109375" style="65" customWidth="1"/>
    <col min="24" max="24" width="10.8867187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1259</v>
      </c>
      <c r="B2" s="19" t="s">
        <v>1283</v>
      </c>
      <c r="C2" s="19" t="s">
        <v>1284</v>
      </c>
      <c r="D2" s="20">
        <v>45686</v>
      </c>
      <c r="E2" s="21">
        <v>179000</v>
      </c>
      <c r="F2" s="19" t="s">
        <v>32</v>
      </c>
      <c r="G2" s="19" t="s">
        <v>33</v>
      </c>
      <c r="H2" s="21">
        <v>179000</v>
      </c>
      <c r="I2" s="21">
        <v>79000</v>
      </c>
      <c r="J2" s="22">
        <f t="shared" ref="J2:J10" si="0">I2/H2*100</f>
        <v>44.134078212290504</v>
      </c>
      <c r="K2" s="21">
        <v>177278</v>
      </c>
      <c r="L2" s="21">
        <f>H2-165900</f>
        <v>13100</v>
      </c>
      <c r="M2" s="21">
        <v>11378</v>
      </c>
      <c r="N2" s="67">
        <f t="shared" ref="N2:N10" si="1">M2/E2</f>
        <v>6.3564245810055861E-2</v>
      </c>
      <c r="O2" s="23">
        <v>81.260000000000005</v>
      </c>
      <c r="P2" s="24">
        <v>129</v>
      </c>
      <c r="Q2" s="25">
        <v>0.23699999999999999</v>
      </c>
      <c r="R2" s="25">
        <v>0.23699999999999999</v>
      </c>
      <c r="S2" s="21">
        <f t="shared" ref="S2:S10" si="2">L2/O2</f>
        <v>161.21092788579867</v>
      </c>
      <c r="T2" s="21">
        <f t="shared" ref="T2:T10" si="3">L2/Q2</f>
        <v>55274.261603375533</v>
      </c>
      <c r="U2" s="26">
        <f t="shared" ref="U2:U10" si="4">L2/Q2/43560</f>
        <v>1.2689224426853887</v>
      </c>
      <c r="V2" s="25">
        <v>80</v>
      </c>
      <c r="W2" s="25">
        <f t="shared" ref="W2:W10" si="5">0.2*E2</f>
        <v>35800</v>
      </c>
      <c r="X2" s="25">
        <f t="shared" ref="X2:X10" si="6">W2/V2</f>
        <v>447.5</v>
      </c>
      <c r="Y2" s="27" t="s">
        <v>1258</v>
      </c>
      <c r="Z2" s="19" t="s">
        <v>35</v>
      </c>
      <c r="AA2" s="19" t="s">
        <v>35</v>
      </c>
      <c r="AB2" s="19" t="s">
        <v>1259</v>
      </c>
      <c r="AC2" s="19">
        <v>0</v>
      </c>
      <c r="AD2" s="19">
        <v>1</v>
      </c>
      <c r="AE2" s="19" t="s">
        <v>912</v>
      </c>
      <c r="AF2" s="19" t="s">
        <v>35</v>
      </c>
      <c r="AG2" s="19" t="s">
        <v>38</v>
      </c>
      <c r="AH2" s="19" t="s">
        <v>92</v>
      </c>
    </row>
    <row r="3" spans="1:34" x14ac:dyDescent="0.3">
      <c r="A3" s="75" t="s">
        <v>1259</v>
      </c>
      <c r="B3" s="19" t="s">
        <v>1285</v>
      </c>
      <c r="C3" s="19" t="s">
        <v>1286</v>
      </c>
      <c r="D3" s="20">
        <v>45050</v>
      </c>
      <c r="E3" s="21">
        <v>130000</v>
      </c>
      <c r="F3" s="19" t="s">
        <v>32</v>
      </c>
      <c r="G3" s="19" t="s">
        <v>33</v>
      </c>
      <c r="H3" s="21">
        <v>130000</v>
      </c>
      <c r="I3" s="21">
        <v>45700</v>
      </c>
      <c r="J3" s="22">
        <f t="shared" si="0"/>
        <v>35.153846153846153</v>
      </c>
      <c r="K3" s="21">
        <v>128645</v>
      </c>
      <c r="L3" s="21">
        <f>H3-122672</f>
        <v>7328</v>
      </c>
      <c r="M3" s="21">
        <v>5973</v>
      </c>
      <c r="N3" s="67">
        <f t="shared" si="1"/>
        <v>4.5946153846153845E-2</v>
      </c>
      <c r="O3" s="23">
        <v>42.66</v>
      </c>
      <c r="P3" s="24">
        <v>129</v>
      </c>
      <c r="Q3" s="25">
        <v>0.124</v>
      </c>
      <c r="R3" s="25">
        <v>0.124</v>
      </c>
      <c r="S3" s="21">
        <f t="shared" si="2"/>
        <v>171.77684013127052</v>
      </c>
      <c r="T3" s="21">
        <f t="shared" si="3"/>
        <v>59096.774193548386</v>
      </c>
      <c r="U3" s="26">
        <f t="shared" si="4"/>
        <v>1.3566752569685121</v>
      </c>
      <c r="V3" s="25">
        <v>42</v>
      </c>
      <c r="W3" s="25">
        <f t="shared" si="5"/>
        <v>26000</v>
      </c>
      <c r="X3" s="25">
        <f t="shared" si="6"/>
        <v>619.04761904761904</v>
      </c>
      <c r="Y3" s="27" t="s">
        <v>1258</v>
      </c>
      <c r="Z3" s="19" t="s">
        <v>35</v>
      </c>
      <c r="AA3" s="19" t="s">
        <v>35</v>
      </c>
      <c r="AB3" s="19" t="s">
        <v>1259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1259</v>
      </c>
      <c r="B4" s="19" t="s">
        <v>1260</v>
      </c>
      <c r="C4" s="19" t="s">
        <v>1261</v>
      </c>
      <c r="D4" s="20">
        <v>45097</v>
      </c>
      <c r="E4" s="21">
        <v>102500</v>
      </c>
      <c r="F4" s="19" t="s">
        <v>32</v>
      </c>
      <c r="G4" s="19" t="s">
        <v>33</v>
      </c>
      <c r="H4" s="21">
        <v>102500</v>
      </c>
      <c r="I4" s="21">
        <v>35200</v>
      </c>
      <c r="J4" s="22">
        <f t="shared" si="0"/>
        <v>34.341463414634148</v>
      </c>
      <c r="K4" s="21">
        <v>99491</v>
      </c>
      <c r="L4" s="21">
        <f>H4-94238</f>
        <v>8262</v>
      </c>
      <c r="M4" s="21">
        <v>5253</v>
      </c>
      <c r="N4" s="67">
        <f t="shared" si="1"/>
        <v>5.1248780487804881E-2</v>
      </c>
      <c r="O4" s="23">
        <v>37.520000000000003</v>
      </c>
      <c r="P4" s="24">
        <v>110</v>
      </c>
      <c r="Q4" s="25">
        <v>0.10100000000000001</v>
      </c>
      <c r="R4" s="25">
        <v>0.10100000000000001</v>
      </c>
      <c r="S4" s="21">
        <f t="shared" si="2"/>
        <v>220.20255863539444</v>
      </c>
      <c r="T4" s="21">
        <f t="shared" si="3"/>
        <v>81801.980198019795</v>
      </c>
      <c r="U4" s="26">
        <f t="shared" si="4"/>
        <v>1.8779150642336959</v>
      </c>
      <c r="V4" s="25">
        <v>40</v>
      </c>
      <c r="W4" s="25">
        <f t="shared" si="5"/>
        <v>20500</v>
      </c>
      <c r="X4" s="25">
        <f t="shared" si="6"/>
        <v>512.5</v>
      </c>
      <c r="Y4" s="27" t="s">
        <v>1258</v>
      </c>
      <c r="Z4" s="19" t="s">
        <v>35</v>
      </c>
      <c r="AA4" s="19" t="s">
        <v>35</v>
      </c>
      <c r="AB4" s="19" t="s">
        <v>1259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1259</v>
      </c>
      <c r="B5" s="19" t="s">
        <v>1268</v>
      </c>
      <c r="C5" s="19" t="s">
        <v>1269</v>
      </c>
      <c r="D5" s="20">
        <v>45065</v>
      </c>
      <c r="E5" s="21">
        <v>100000</v>
      </c>
      <c r="F5" s="19" t="s">
        <v>32</v>
      </c>
      <c r="G5" s="19" t="s">
        <v>33</v>
      </c>
      <c r="H5" s="21">
        <v>100000</v>
      </c>
      <c r="I5" s="21">
        <v>33700</v>
      </c>
      <c r="J5" s="22">
        <f t="shared" si="0"/>
        <v>33.700000000000003</v>
      </c>
      <c r="K5" s="21">
        <v>94958</v>
      </c>
      <c r="L5" s="21">
        <f>H5-88960</f>
        <v>11040</v>
      </c>
      <c r="M5" s="21">
        <v>5998</v>
      </c>
      <c r="N5" s="67">
        <f t="shared" si="1"/>
        <v>5.9979999999999999E-2</v>
      </c>
      <c r="O5" s="23">
        <v>42.83</v>
      </c>
      <c r="P5" s="24">
        <v>143.38</v>
      </c>
      <c r="Q5" s="25">
        <v>0.13200000000000001</v>
      </c>
      <c r="R5" s="25">
        <v>0.13200000000000001</v>
      </c>
      <c r="S5" s="21">
        <f t="shared" si="2"/>
        <v>257.76325005837032</v>
      </c>
      <c r="T5" s="21">
        <f t="shared" si="3"/>
        <v>83636.363636363632</v>
      </c>
      <c r="U5" s="26">
        <f t="shared" si="4"/>
        <v>1.920026713415143</v>
      </c>
      <c r="V5" s="25">
        <v>40</v>
      </c>
      <c r="W5" s="25">
        <f t="shared" si="5"/>
        <v>20000</v>
      </c>
      <c r="X5" s="25">
        <f t="shared" si="6"/>
        <v>500</v>
      </c>
      <c r="Y5" s="27" t="s">
        <v>1258</v>
      </c>
      <c r="Z5" s="19" t="s">
        <v>35</v>
      </c>
      <c r="AA5" s="19" t="s">
        <v>35</v>
      </c>
      <c r="AB5" s="19" t="s">
        <v>1259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1259</v>
      </c>
      <c r="B6" s="19" t="s">
        <v>1270</v>
      </c>
      <c r="C6" s="19" t="s">
        <v>1271</v>
      </c>
      <c r="D6" s="20">
        <v>45511</v>
      </c>
      <c r="E6" s="21">
        <v>210000</v>
      </c>
      <c r="F6" s="19" t="s">
        <v>32</v>
      </c>
      <c r="G6" s="19" t="s">
        <v>33</v>
      </c>
      <c r="H6" s="21">
        <v>210000</v>
      </c>
      <c r="I6" s="21">
        <v>67000</v>
      </c>
      <c r="J6" s="22">
        <f>I6/H6*100</f>
        <v>31.904761904761902</v>
      </c>
      <c r="K6" s="21">
        <v>144162</v>
      </c>
      <c r="L6" s="21">
        <f>H6-135792</f>
        <v>74208</v>
      </c>
      <c r="M6" s="21">
        <v>8370</v>
      </c>
      <c r="N6" s="67">
        <f>M6/E6</f>
        <v>3.9857142857142855E-2</v>
      </c>
      <c r="O6" s="23">
        <v>59.78</v>
      </c>
      <c r="P6" s="24">
        <v>143.5</v>
      </c>
      <c r="Q6" s="25">
        <v>0.185</v>
      </c>
      <c r="R6" s="25">
        <v>0.185</v>
      </c>
      <c r="S6" s="21">
        <f>L6/O6</f>
        <v>1241.3516226162596</v>
      </c>
      <c r="T6" s="21">
        <f>L6/Q6</f>
        <v>401124.32432432432</v>
      </c>
      <c r="U6" s="26">
        <f>L6/Q6/43560</f>
        <v>9.2085473903655721</v>
      </c>
      <c r="V6" s="25">
        <v>54.93</v>
      </c>
      <c r="W6" s="25">
        <f>0.2*E6</f>
        <v>42000</v>
      </c>
      <c r="X6" s="25">
        <f>W6/V6</f>
        <v>764.60950300382308</v>
      </c>
      <c r="Y6" s="27" t="s">
        <v>1258</v>
      </c>
      <c r="Z6" s="19" t="s">
        <v>35</v>
      </c>
      <c r="AA6" s="19" t="s">
        <v>35</v>
      </c>
      <c r="AB6" s="19" t="s">
        <v>1259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1259</v>
      </c>
      <c r="B7" s="19" t="s">
        <v>1276</v>
      </c>
      <c r="C7" s="19" t="s">
        <v>1277</v>
      </c>
      <c r="D7" s="20">
        <v>45243</v>
      </c>
      <c r="E7" s="21">
        <v>170000</v>
      </c>
      <c r="F7" s="19" t="s">
        <v>32</v>
      </c>
      <c r="G7" s="19" t="s">
        <v>33</v>
      </c>
      <c r="H7" s="21">
        <v>170000</v>
      </c>
      <c r="I7" s="21">
        <v>58400</v>
      </c>
      <c r="J7" s="22">
        <f t="shared" si="0"/>
        <v>34.352941176470587</v>
      </c>
      <c r="K7" s="21">
        <v>155091</v>
      </c>
      <c r="L7" s="21">
        <f>H7-143154</f>
        <v>26846</v>
      </c>
      <c r="M7" s="21">
        <v>11937</v>
      </c>
      <c r="N7" s="67">
        <f t="shared" si="1"/>
        <v>7.0217647058823524E-2</v>
      </c>
      <c r="O7" s="23">
        <v>85.26</v>
      </c>
      <c r="P7" s="24">
        <v>142</v>
      </c>
      <c r="Q7" s="25">
        <v>0.26100000000000001</v>
      </c>
      <c r="R7" s="25">
        <v>0.26100000000000001</v>
      </c>
      <c r="S7" s="21">
        <f t="shared" si="2"/>
        <v>314.87215575885523</v>
      </c>
      <c r="T7" s="21">
        <f t="shared" si="3"/>
        <v>102858.23754789271</v>
      </c>
      <c r="U7" s="26">
        <f t="shared" si="4"/>
        <v>2.3613002191894563</v>
      </c>
      <c r="V7" s="25">
        <v>80</v>
      </c>
      <c r="W7" s="25">
        <f t="shared" si="5"/>
        <v>34000</v>
      </c>
      <c r="X7" s="25">
        <f t="shared" si="6"/>
        <v>425</v>
      </c>
      <c r="Y7" s="27" t="s">
        <v>1258</v>
      </c>
      <c r="Z7" s="19" t="s">
        <v>35</v>
      </c>
      <c r="AA7" s="19" t="s">
        <v>35</v>
      </c>
      <c r="AB7" s="19" t="s">
        <v>1259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1259</v>
      </c>
      <c r="B8" s="10" t="s">
        <v>1274</v>
      </c>
      <c r="C8" s="10" t="s">
        <v>1275</v>
      </c>
      <c r="D8" s="11">
        <v>45631</v>
      </c>
      <c r="E8" s="12">
        <v>165000</v>
      </c>
      <c r="F8" s="10" t="s">
        <v>32</v>
      </c>
      <c r="G8" s="10" t="s">
        <v>33</v>
      </c>
      <c r="H8" s="12">
        <v>165000</v>
      </c>
      <c r="I8" s="12">
        <v>64800</v>
      </c>
      <c r="J8" s="13">
        <f t="shared" si="0"/>
        <v>39.272727272727273</v>
      </c>
      <c r="K8" s="12">
        <v>149434</v>
      </c>
      <c r="L8" s="12">
        <f>H8-140794</f>
        <v>24206</v>
      </c>
      <c r="M8" s="12">
        <v>8640</v>
      </c>
      <c r="N8" s="66">
        <f t="shared" si="1"/>
        <v>5.2363636363636362E-2</v>
      </c>
      <c r="O8" s="14">
        <v>61.71</v>
      </c>
      <c r="P8" s="15">
        <v>142</v>
      </c>
      <c r="Q8" s="16">
        <v>0.189</v>
      </c>
      <c r="R8" s="16">
        <v>0.189</v>
      </c>
      <c r="S8" s="12">
        <f t="shared" si="2"/>
        <v>392.25409171933234</v>
      </c>
      <c r="T8" s="12">
        <f t="shared" si="3"/>
        <v>128074.07407407407</v>
      </c>
      <c r="U8" s="17">
        <f t="shared" si="4"/>
        <v>2.9401761724994047</v>
      </c>
      <c r="V8" s="16">
        <v>57.9</v>
      </c>
      <c r="W8" s="16">
        <f t="shared" si="5"/>
        <v>33000</v>
      </c>
      <c r="X8" s="16">
        <f t="shared" si="6"/>
        <v>569.94818652849744</v>
      </c>
      <c r="Y8" s="18" t="s">
        <v>1258</v>
      </c>
      <c r="Z8" s="10" t="s">
        <v>35</v>
      </c>
      <c r="AA8" s="10" t="s">
        <v>35</v>
      </c>
      <c r="AB8" s="10" t="s">
        <v>1259</v>
      </c>
      <c r="AC8" s="10">
        <v>0</v>
      </c>
      <c r="AD8" s="10">
        <v>1</v>
      </c>
      <c r="AE8" s="10" t="s">
        <v>42</v>
      </c>
      <c r="AF8" s="10" t="s">
        <v>35</v>
      </c>
      <c r="AG8" s="10" t="s">
        <v>38</v>
      </c>
      <c r="AH8" s="10" t="s">
        <v>92</v>
      </c>
    </row>
    <row r="9" spans="1:34" x14ac:dyDescent="0.3">
      <c r="A9" s="74" t="s">
        <v>1259</v>
      </c>
      <c r="B9" s="10" t="s">
        <v>1264</v>
      </c>
      <c r="C9" s="10" t="s">
        <v>1265</v>
      </c>
      <c r="D9" s="11">
        <v>45419</v>
      </c>
      <c r="E9" s="12">
        <v>112000</v>
      </c>
      <c r="F9" s="10" t="s">
        <v>32</v>
      </c>
      <c r="G9" s="10" t="s">
        <v>33</v>
      </c>
      <c r="H9" s="12">
        <v>112000</v>
      </c>
      <c r="I9" s="12">
        <v>44000</v>
      </c>
      <c r="J9" s="13">
        <f t="shared" si="0"/>
        <v>39.285714285714285</v>
      </c>
      <c r="K9" s="12">
        <v>99491</v>
      </c>
      <c r="L9" s="12">
        <f>H9-94238</f>
        <v>17762</v>
      </c>
      <c r="M9" s="12">
        <v>5253</v>
      </c>
      <c r="N9" s="66">
        <f t="shared" si="1"/>
        <v>4.6901785714285715E-2</v>
      </c>
      <c r="O9" s="14">
        <v>37.520000000000003</v>
      </c>
      <c r="P9" s="15">
        <v>110</v>
      </c>
      <c r="Q9" s="16">
        <v>0.10100000000000001</v>
      </c>
      <c r="R9" s="16">
        <v>0.10100000000000001</v>
      </c>
      <c r="S9" s="12">
        <f t="shared" si="2"/>
        <v>473.40085287846478</v>
      </c>
      <c r="T9" s="12">
        <f t="shared" si="3"/>
        <v>175861.38613861386</v>
      </c>
      <c r="U9" s="17">
        <f t="shared" si="4"/>
        <v>4.0372219040085824</v>
      </c>
      <c r="V9" s="16">
        <v>40</v>
      </c>
      <c r="W9" s="16">
        <f t="shared" si="5"/>
        <v>22400</v>
      </c>
      <c r="X9" s="16">
        <f t="shared" si="6"/>
        <v>560</v>
      </c>
      <c r="Y9" s="18" t="s">
        <v>1258</v>
      </c>
      <c r="Z9" s="10" t="s">
        <v>35</v>
      </c>
      <c r="AA9" s="10" t="s">
        <v>35</v>
      </c>
      <c r="AB9" s="10" t="s">
        <v>1259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ht="15" thickBot="1" x14ac:dyDescent="0.35">
      <c r="A10" s="75" t="s">
        <v>1259</v>
      </c>
      <c r="B10" s="19" t="s">
        <v>1278</v>
      </c>
      <c r="C10" s="19" t="s">
        <v>1279</v>
      </c>
      <c r="D10" s="20">
        <v>45414</v>
      </c>
      <c r="E10" s="21">
        <v>190000</v>
      </c>
      <c r="F10" s="19" t="s">
        <v>32</v>
      </c>
      <c r="G10" s="19" t="s">
        <v>33</v>
      </c>
      <c r="H10" s="21">
        <v>190000</v>
      </c>
      <c r="I10" s="21">
        <v>71000</v>
      </c>
      <c r="J10" s="22">
        <f t="shared" si="0"/>
        <v>37.368421052631575</v>
      </c>
      <c r="K10" s="21">
        <v>158923</v>
      </c>
      <c r="L10" s="21">
        <f>H10-146986</f>
        <v>43014</v>
      </c>
      <c r="M10" s="21">
        <v>11937</v>
      </c>
      <c r="N10" s="67">
        <f t="shared" si="1"/>
        <v>6.2826315789473688E-2</v>
      </c>
      <c r="O10" s="23">
        <v>85.26</v>
      </c>
      <c r="P10" s="24">
        <v>142</v>
      </c>
      <c r="Q10" s="25">
        <v>0.26100000000000001</v>
      </c>
      <c r="R10" s="25">
        <v>0.26100000000000001</v>
      </c>
      <c r="S10" s="21">
        <f t="shared" si="2"/>
        <v>504.50387051372269</v>
      </c>
      <c r="T10" s="21">
        <f t="shared" si="3"/>
        <v>164804.59770114941</v>
      </c>
      <c r="U10" s="26">
        <f t="shared" si="4"/>
        <v>3.7833929683459462</v>
      </c>
      <c r="V10" s="25">
        <v>80</v>
      </c>
      <c r="W10" s="25">
        <f t="shared" si="5"/>
        <v>38000</v>
      </c>
      <c r="X10" s="25">
        <f t="shared" si="6"/>
        <v>475</v>
      </c>
      <c r="Y10" s="27" t="s">
        <v>1258</v>
      </c>
      <c r="Z10" s="19" t="s">
        <v>35</v>
      </c>
      <c r="AA10" s="19" t="s">
        <v>35</v>
      </c>
      <c r="AB10" s="19" t="s">
        <v>1259</v>
      </c>
      <c r="AC10" s="19">
        <v>0</v>
      </c>
      <c r="AD10" s="19">
        <v>1</v>
      </c>
      <c r="AE10" s="19" t="s">
        <v>42</v>
      </c>
      <c r="AF10" s="19" t="s">
        <v>1280</v>
      </c>
      <c r="AG10" s="19" t="s">
        <v>38</v>
      </c>
      <c r="AH10" s="19" t="s">
        <v>92</v>
      </c>
    </row>
    <row r="11" spans="1:34" ht="15" thickTop="1" x14ac:dyDescent="0.3">
      <c r="A11" s="76"/>
      <c r="B11" s="37"/>
      <c r="C11" s="37"/>
      <c r="D11" s="38" t="s">
        <v>2876</v>
      </c>
      <c r="E11" s="39">
        <f>+SUM(E2:E10)</f>
        <v>1358500</v>
      </c>
      <c r="F11" s="37"/>
      <c r="G11" s="37"/>
      <c r="H11" s="39">
        <f>+SUM(H2:H10)</f>
        <v>1358500</v>
      </c>
      <c r="I11" s="39">
        <f>+SUM(I2:I10)</f>
        <v>498800</v>
      </c>
      <c r="J11" s="40"/>
      <c r="K11" s="39">
        <f>+SUM(K2:K10)</f>
        <v>1207473</v>
      </c>
      <c r="L11" s="39">
        <f>+SUM(L2:L10)</f>
        <v>225766</v>
      </c>
      <c r="M11" s="39">
        <f>+SUM(M2:M10)</f>
        <v>74739</v>
      </c>
      <c r="N11" s="81">
        <f>AVERAGE(N2:N10)</f>
        <v>5.476730088081963E-2</v>
      </c>
      <c r="O11" s="41">
        <f>+SUM(O2:O10)</f>
        <v>533.79999999999995</v>
      </c>
      <c r="P11" s="42"/>
      <c r="Q11" s="43">
        <f>+SUM(Q2:Q10)</f>
        <v>1.5910000000000002</v>
      </c>
      <c r="R11" s="43">
        <f>+SUM(R2:R10)</f>
        <v>1.5910000000000002</v>
      </c>
      <c r="S11" s="39"/>
      <c r="T11" s="39"/>
      <c r="U11" s="44"/>
      <c r="V11" s="43"/>
      <c r="W11" s="82">
        <f>AVERAGE(W2:W10)</f>
        <v>30188.888888888891</v>
      </c>
      <c r="X11" s="83">
        <f>AVERAGE(X2:X10)</f>
        <v>541.51170095332657</v>
      </c>
      <c r="Y11" s="45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 x14ac:dyDescent="0.3">
      <c r="A12" s="77"/>
      <c r="B12" s="28"/>
      <c r="C12" s="28"/>
      <c r="D12" s="29"/>
      <c r="E12" s="30"/>
      <c r="F12" s="28"/>
      <c r="G12" s="28"/>
      <c r="H12" s="30"/>
      <c r="I12" s="30" t="s">
        <v>2877</v>
      </c>
      <c r="J12" s="31">
        <f>I11/H11*100</f>
        <v>36.71696724328303</v>
      </c>
      <c r="K12" s="30"/>
      <c r="L12" s="30"/>
      <c r="M12" s="30" t="s">
        <v>2879</v>
      </c>
      <c r="N12" s="79"/>
      <c r="O12" s="32"/>
      <c r="P12" s="33"/>
      <c r="Q12" s="34" t="s">
        <v>2879</v>
      </c>
      <c r="R12" s="34"/>
      <c r="S12" s="30"/>
      <c r="T12" s="30" t="s">
        <v>2879</v>
      </c>
      <c r="U12" s="35"/>
      <c r="V12" s="34"/>
      <c r="W12" s="63"/>
      <c r="X12" s="68"/>
      <c r="Y12" s="36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x14ac:dyDescent="0.3">
      <c r="A13" s="78"/>
      <c r="B13" s="46"/>
      <c r="C13" s="46"/>
      <c r="D13" s="47"/>
      <c r="E13" s="48"/>
      <c r="F13" s="46"/>
      <c r="G13" s="46"/>
      <c r="H13" s="48"/>
      <c r="I13" s="48" t="s">
        <v>2878</v>
      </c>
      <c r="J13" s="49">
        <f>STDEV(J2:J10)</f>
        <v>3.7816130401243369</v>
      </c>
      <c r="K13" s="48"/>
      <c r="L13" s="48"/>
      <c r="M13" s="48" t="s">
        <v>2880</v>
      </c>
      <c r="N13" s="80"/>
      <c r="O13" s="54">
        <f>L11/O11</f>
        <v>422.94117647058829</v>
      </c>
      <c r="P13" s="50"/>
      <c r="Q13" s="51" t="s">
        <v>2881</v>
      </c>
      <c r="R13" s="51">
        <f>L11/Q11</f>
        <v>141901.94846008797</v>
      </c>
      <c r="S13" s="48"/>
      <c r="T13" s="48" t="s">
        <v>2882</v>
      </c>
      <c r="U13" s="52">
        <f>L11/Q11/43560</f>
        <v>3.2576204880644619</v>
      </c>
      <c r="V13" s="51"/>
      <c r="W13" s="64"/>
      <c r="X13" s="69"/>
      <c r="Y13" s="53"/>
      <c r="Z13" s="46"/>
      <c r="AA13" s="46"/>
      <c r="AB13" s="46"/>
      <c r="AC13" s="46"/>
      <c r="AD13" s="46"/>
      <c r="AE13" s="46"/>
      <c r="AF13" s="46"/>
      <c r="AG13" s="46"/>
      <c r="AH13" s="46"/>
    </row>
    <row r="14" spans="1:34" x14ac:dyDescent="0.3">
      <c r="E14" s="94" t="s">
        <v>3099</v>
      </c>
      <c r="L14" s="95"/>
    </row>
    <row r="15" spans="1:34" x14ac:dyDescent="0.3">
      <c r="E15" s="383" t="s">
        <v>3163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3164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3165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3166</v>
      </c>
      <c r="F18" s="383"/>
      <c r="G18" s="383"/>
      <c r="H18" s="383"/>
      <c r="I18" s="383"/>
      <c r="J18" s="96"/>
      <c r="K18" s="96"/>
      <c r="L18" s="96"/>
    </row>
    <row r="19" spans="1:34" x14ac:dyDescent="0.3">
      <c r="E19" s="383" t="s">
        <v>3167</v>
      </c>
      <c r="F19" s="383"/>
      <c r="G19" s="383"/>
      <c r="H19" s="383"/>
      <c r="I19" s="383"/>
      <c r="L19" s="95"/>
    </row>
    <row r="20" spans="1:34" x14ac:dyDescent="0.3">
      <c r="E20" s="383" t="s">
        <v>3100</v>
      </c>
      <c r="F20" s="383"/>
      <c r="G20" s="383"/>
      <c r="H20" s="383"/>
      <c r="I20" s="383"/>
      <c r="L20" s="95"/>
    </row>
    <row r="21" spans="1:34" x14ac:dyDescent="0.3">
      <c r="E21" s="96"/>
      <c r="F21" s="96"/>
      <c r="G21" s="96"/>
      <c r="H21" s="96"/>
      <c r="I21" s="96"/>
      <c r="L21" s="95"/>
    </row>
    <row r="22" spans="1:34" x14ac:dyDescent="0.3">
      <c r="A22" s="55" t="s">
        <v>3092</v>
      </c>
      <c r="E22" s="96"/>
      <c r="F22" s="96"/>
      <c r="G22" s="96"/>
      <c r="H22" s="96"/>
      <c r="I22" s="96"/>
      <c r="L22" s="95"/>
    </row>
    <row r="23" spans="1:34" x14ac:dyDescent="0.3">
      <c r="A23" s="74" t="s">
        <v>1259</v>
      </c>
      <c r="B23" s="10" t="s">
        <v>1281</v>
      </c>
      <c r="C23" s="10" t="s">
        <v>1282</v>
      </c>
      <c r="D23" s="11">
        <v>45574</v>
      </c>
      <c r="E23" s="12">
        <v>165500</v>
      </c>
      <c r="F23" s="10" t="s">
        <v>32</v>
      </c>
      <c r="G23" s="10" t="s">
        <v>33</v>
      </c>
      <c r="H23" s="12">
        <v>165500</v>
      </c>
      <c r="I23" s="12">
        <v>108100</v>
      </c>
      <c r="J23" s="13">
        <f>I23/H23*100</f>
        <v>65.317220543806641</v>
      </c>
      <c r="K23" s="12">
        <v>236282</v>
      </c>
      <c r="L23" s="12">
        <f>H23-230480</f>
        <v>-64980</v>
      </c>
      <c r="M23" s="12">
        <v>5802</v>
      </c>
      <c r="N23" s="66">
        <f>M23/E23</f>
        <v>3.5057401812688821E-2</v>
      </c>
      <c r="O23" s="14">
        <v>41.44</v>
      </c>
      <c r="P23" s="15">
        <v>134.19999999999999</v>
      </c>
      <c r="Q23" s="16">
        <v>0.123</v>
      </c>
      <c r="R23" s="16">
        <v>0.123</v>
      </c>
      <c r="S23" s="12">
        <f>L23/O23</f>
        <v>-1568.0501930501932</v>
      </c>
      <c r="T23" s="12">
        <f>L23/Q23</f>
        <v>-528292.68292682932</v>
      </c>
      <c r="U23" s="17">
        <f>L23/Q23/43560</f>
        <v>-12.12793119666734</v>
      </c>
      <c r="V23" s="16">
        <v>40</v>
      </c>
      <c r="W23" s="16">
        <f>0.2*E23</f>
        <v>33100</v>
      </c>
      <c r="X23" s="16">
        <f>W23/V23</f>
        <v>827.5</v>
      </c>
      <c r="Y23" s="18" t="s">
        <v>1258</v>
      </c>
      <c r="Z23" s="10" t="s">
        <v>35</v>
      </c>
      <c r="AA23" s="10" t="s">
        <v>35</v>
      </c>
      <c r="AB23" s="10" t="s">
        <v>1259</v>
      </c>
      <c r="AC23" s="10">
        <v>0</v>
      </c>
      <c r="AD23" s="10">
        <v>1</v>
      </c>
      <c r="AE23" s="10" t="s">
        <v>42</v>
      </c>
      <c r="AF23" s="10" t="s">
        <v>35</v>
      </c>
      <c r="AG23" s="10" t="s">
        <v>38</v>
      </c>
      <c r="AH23" s="10" t="s">
        <v>92</v>
      </c>
    </row>
    <row r="24" spans="1:34" x14ac:dyDescent="0.3">
      <c r="A24" s="74" t="s">
        <v>1259</v>
      </c>
      <c r="B24" s="10" t="s">
        <v>1281</v>
      </c>
      <c r="C24" s="10" t="s">
        <v>1282</v>
      </c>
      <c r="D24" s="11">
        <v>45637</v>
      </c>
      <c r="E24" s="12">
        <v>194000</v>
      </c>
      <c r="F24" s="10" t="s">
        <v>32</v>
      </c>
      <c r="G24" s="10" t="s">
        <v>33</v>
      </c>
      <c r="H24" s="12">
        <v>194000</v>
      </c>
      <c r="I24" s="12">
        <v>108100</v>
      </c>
      <c r="J24" s="13">
        <f>I24/H24*100</f>
        <v>55.721649484536087</v>
      </c>
      <c r="K24" s="12">
        <v>236282</v>
      </c>
      <c r="L24" s="12">
        <f>H24-230480</f>
        <v>-36480</v>
      </c>
      <c r="M24" s="12">
        <v>5802</v>
      </c>
      <c r="N24" s="66">
        <f>M24/E24</f>
        <v>2.9907216494845359E-2</v>
      </c>
      <c r="O24" s="14">
        <v>41.44</v>
      </c>
      <c r="P24" s="15">
        <v>134.19999999999999</v>
      </c>
      <c r="Q24" s="16">
        <v>0.123</v>
      </c>
      <c r="R24" s="16">
        <v>0.123</v>
      </c>
      <c r="S24" s="12">
        <f>L24/O24</f>
        <v>-880.30888030888036</v>
      </c>
      <c r="T24" s="12">
        <f>L24/Q24</f>
        <v>-296585.36585365853</v>
      </c>
      <c r="U24" s="17">
        <f>L24/Q24/43560</f>
        <v>-6.8086631279535936</v>
      </c>
      <c r="V24" s="16">
        <v>40</v>
      </c>
      <c r="W24" s="16">
        <f>0.2*E24</f>
        <v>38800</v>
      </c>
      <c r="X24" s="16">
        <f>W24/V24</f>
        <v>970</v>
      </c>
      <c r="Y24" s="18" t="s">
        <v>1258</v>
      </c>
      <c r="Z24" s="10" t="s">
        <v>35</v>
      </c>
      <c r="AA24" s="10" t="s">
        <v>35</v>
      </c>
      <c r="AB24" s="10" t="s">
        <v>1259</v>
      </c>
      <c r="AC24" s="10">
        <v>0</v>
      </c>
      <c r="AD24" s="10">
        <v>1</v>
      </c>
      <c r="AE24" s="10" t="s">
        <v>42</v>
      </c>
      <c r="AF24" s="10" t="s">
        <v>35</v>
      </c>
      <c r="AG24" s="10" t="s">
        <v>38</v>
      </c>
      <c r="AH24" s="10" t="s">
        <v>92</v>
      </c>
    </row>
    <row r="25" spans="1:34" x14ac:dyDescent="0.3">
      <c r="A25" s="74" t="s">
        <v>1259</v>
      </c>
      <c r="B25" s="10" t="s">
        <v>1256</v>
      </c>
      <c r="C25" s="10" t="s">
        <v>1257</v>
      </c>
      <c r="D25" s="11">
        <v>45492</v>
      </c>
      <c r="E25" s="12">
        <v>115000</v>
      </c>
      <c r="F25" s="10" t="s">
        <v>32</v>
      </c>
      <c r="G25" s="10" t="s">
        <v>33</v>
      </c>
      <c r="H25" s="12">
        <v>115000</v>
      </c>
      <c r="I25" s="12">
        <v>64200</v>
      </c>
      <c r="J25" s="13">
        <f>I25/H25*100</f>
        <v>55.826086956521735</v>
      </c>
      <c r="K25" s="12">
        <v>138747</v>
      </c>
      <c r="L25" s="12">
        <f>H25-133362</f>
        <v>-18362</v>
      </c>
      <c r="M25" s="12">
        <v>5385</v>
      </c>
      <c r="N25" s="66">
        <f>M25/E25</f>
        <v>4.682608695652174E-2</v>
      </c>
      <c r="O25" s="14">
        <v>38.46</v>
      </c>
      <c r="P25" s="15">
        <v>110</v>
      </c>
      <c r="Q25" s="16">
        <v>0.104</v>
      </c>
      <c r="R25" s="16">
        <v>0.104</v>
      </c>
      <c r="S25" s="12">
        <f>L25/O25</f>
        <v>-477.43109724388972</v>
      </c>
      <c r="T25" s="12">
        <f>L25/Q25</f>
        <v>-176557.69230769231</v>
      </c>
      <c r="U25" s="17">
        <f>L25/Q25/43560</f>
        <v>-4.0532068941159851</v>
      </c>
      <c r="V25" s="16">
        <v>41</v>
      </c>
      <c r="W25" s="16">
        <f>0.2*E25</f>
        <v>23000</v>
      </c>
      <c r="X25" s="16">
        <f>W25/V25</f>
        <v>560.97560975609758</v>
      </c>
      <c r="Y25" s="18" t="s">
        <v>1258</v>
      </c>
      <c r="Z25" s="10" t="s">
        <v>35</v>
      </c>
      <c r="AA25" s="10" t="s">
        <v>35</v>
      </c>
      <c r="AB25" s="10" t="s">
        <v>1259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4" t="s">
        <v>1259</v>
      </c>
      <c r="B26" s="10" t="s">
        <v>1256</v>
      </c>
      <c r="C26" s="10" t="s">
        <v>1257</v>
      </c>
      <c r="D26" s="11">
        <v>45492</v>
      </c>
      <c r="E26" s="12">
        <v>115000</v>
      </c>
      <c r="F26" s="10" t="s">
        <v>32</v>
      </c>
      <c r="G26" s="10" t="s">
        <v>33</v>
      </c>
      <c r="H26" s="12">
        <v>115000</v>
      </c>
      <c r="I26" s="12">
        <v>64200</v>
      </c>
      <c r="J26" s="13">
        <f>I26/H26*100</f>
        <v>55.826086956521735</v>
      </c>
      <c r="K26" s="12">
        <v>138747</v>
      </c>
      <c r="L26" s="12">
        <f>H26-133362</f>
        <v>-18362</v>
      </c>
      <c r="M26" s="12">
        <v>5385</v>
      </c>
      <c r="N26" s="66">
        <f>M26/E26</f>
        <v>4.682608695652174E-2</v>
      </c>
      <c r="O26" s="14">
        <v>38.46</v>
      </c>
      <c r="P26" s="15">
        <v>110</v>
      </c>
      <c r="Q26" s="16">
        <v>0.104</v>
      </c>
      <c r="R26" s="16">
        <v>0.104</v>
      </c>
      <c r="S26" s="12">
        <f>L26/O26</f>
        <v>-477.43109724388972</v>
      </c>
      <c r="T26" s="12">
        <f>L26/Q26</f>
        <v>-176557.69230769231</v>
      </c>
      <c r="U26" s="17">
        <f>L26/Q26/43560</f>
        <v>-4.0532068941159851</v>
      </c>
      <c r="V26" s="16">
        <v>41</v>
      </c>
      <c r="W26" s="16">
        <f>0.2*E26</f>
        <v>23000</v>
      </c>
      <c r="X26" s="16">
        <f>W26/V26</f>
        <v>560.97560975609758</v>
      </c>
      <c r="Y26" s="18" t="s">
        <v>1258</v>
      </c>
      <c r="Z26" s="10" t="s">
        <v>35</v>
      </c>
      <c r="AA26" s="10" t="s">
        <v>35</v>
      </c>
      <c r="AB26" s="10" t="s">
        <v>1259</v>
      </c>
      <c r="AC26" s="10">
        <v>0</v>
      </c>
      <c r="AD26" s="10">
        <v>1</v>
      </c>
      <c r="AE26" s="10" t="s">
        <v>37</v>
      </c>
      <c r="AF26" s="10" t="s">
        <v>43</v>
      </c>
      <c r="AG26" s="10" t="s">
        <v>38</v>
      </c>
      <c r="AH26" s="10" t="s">
        <v>92</v>
      </c>
    </row>
  </sheetData>
  <sortState xmlns:xlrd2="http://schemas.microsoft.com/office/spreadsheetml/2017/richdata2" ref="A2:AH16">
    <sortCondition ref="S2:S16"/>
  </sortState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50"/>
  </sheetPr>
  <dimension ref="A1:AH29"/>
  <sheetViews>
    <sheetView topLeftCell="A4" workbookViewId="0">
      <selection activeCell="E14" sqref="E14:L20"/>
    </sheetView>
  </sheetViews>
  <sheetFormatPr defaultRowHeight="14.4" x14ac:dyDescent="0.3"/>
  <cols>
    <col min="1" max="1" width="10.44140625" style="55" bestFit="1" customWidth="1" collapsed="1"/>
    <col min="2" max="2" width="16.88671875" bestFit="1" customWidth="1" collapsed="1"/>
    <col min="3" max="3" width="14.109375" bestFit="1" customWidth="1" collapsed="1"/>
    <col min="4" max="4" width="10.6640625" bestFit="1" customWidth="1" collapsed="1"/>
    <col min="5" max="5" width="13.4414062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1160</v>
      </c>
      <c r="B2" s="19" t="s">
        <v>1175</v>
      </c>
      <c r="C2" s="19" t="s">
        <v>1176</v>
      </c>
      <c r="D2" s="20">
        <v>45433</v>
      </c>
      <c r="E2" s="21">
        <v>180000</v>
      </c>
      <c r="F2" s="19" t="s">
        <v>32</v>
      </c>
      <c r="G2" s="19" t="s">
        <v>33</v>
      </c>
      <c r="H2" s="21">
        <v>180000</v>
      </c>
      <c r="I2" s="21">
        <v>79200</v>
      </c>
      <c r="J2" s="22">
        <f t="shared" ref="J2:J10" si="0">I2/H2*100</f>
        <v>44</v>
      </c>
      <c r="K2" s="21">
        <v>181791</v>
      </c>
      <c r="L2" s="21">
        <f>H2-170457</f>
        <v>9543</v>
      </c>
      <c r="M2" s="21">
        <v>11334</v>
      </c>
      <c r="N2" s="67">
        <f t="shared" ref="N2:N10" si="1">M2/E2</f>
        <v>6.2966666666666671E-2</v>
      </c>
      <c r="O2" s="23">
        <v>52.22</v>
      </c>
      <c r="P2" s="24">
        <v>123.38</v>
      </c>
      <c r="Q2" s="25">
        <v>0.13600000000000001</v>
      </c>
      <c r="R2" s="25">
        <v>0.13600000000000001</v>
      </c>
      <c r="S2" s="21">
        <f t="shared" ref="S2:S10" si="2">L2/O2</f>
        <v>182.7460743010341</v>
      </c>
      <c r="T2" s="21">
        <f t="shared" ref="T2:T10" si="3">L2/Q2</f>
        <v>70169.117647058825</v>
      </c>
      <c r="U2" s="26">
        <f t="shared" ref="U2:U10" si="4">L2/Q2/43560</f>
        <v>1.6108612866634258</v>
      </c>
      <c r="V2" s="25">
        <v>63</v>
      </c>
      <c r="W2" s="25">
        <f t="shared" ref="W2:W10" si="5">0.2*E2</f>
        <v>36000</v>
      </c>
      <c r="X2" s="25">
        <f t="shared" ref="X2:X10" si="6">W2/V2</f>
        <v>571.42857142857144</v>
      </c>
      <c r="Y2" s="27" t="s">
        <v>1159</v>
      </c>
      <c r="Z2" s="19" t="s">
        <v>35</v>
      </c>
      <c r="AA2" s="19" t="s">
        <v>35</v>
      </c>
      <c r="AB2" s="19" t="s">
        <v>1160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1160</v>
      </c>
      <c r="B3" s="19" t="s">
        <v>1173</v>
      </c>
      <c r="C3" s="19" t="s">
        <v>1174</v>
      </c>
      <c r="D3" s="20">
        <v>45307</v>
      </c>
      <c r="E3" s="21">
        <v>169000</v>
      </c>
      <c r="F3" s="19" t="s">
        <v>32</v>
      </c>
      <c r="G3" s="19" t="s">
        <v>33</v>
      </c>
      <c r="H3" s="21">
        <v>169000</v>
      </c>
      <c r="I3" s="21">
        <v>67600</v>
      </c>
      <c r="J3" s="22">
        <f t="shared" si="0"/>
        <v>40</v>
      </c>
      <c r="K3" s="21">
        <v>165935</v>
      </c>
      <c r="L3" s="21">
        <f>H3-155085</f>
        <v>13915</v>
      </c>
      <c r="M3" s="21">
        <v>10850</v>
      </c>
      <c r="N3" s="67">
        <f t="shared" si="1"/>
        <v>6.4201183431952663E-2</v>
      </c>
      <c r="O3" s="23">
        <v>50</v>
      </c>
      <c r="P3" s="24">
        <v>127</v>
      </c>
      <c r="Q3" s="25">
        <v>0.14599999999999999</v>
      </c>
      <c r="R3" s="25">
        <v>0.14599999999999999</v>
      </c>
      <c r="S3" s="21">
        <f t="shared" si="2"/>
        <v>278.3</v>
      </c>
      <c r="T3" s="21">
        <f t="shared" si="3"/>
        <v>95308.219178082203</v>
      </c>
      <c r="U3" s="26">
        <f t="shared" si="4"/>
        <v>2.1879756468797567</v>
      </c>
      <c r="V3" s="25">
        <v>50</v>
      </c>
      <c r="W3" s="25">
        <f t="shared" si="5"/>
        <v>33800</v>
      </c>
      <c r="X3" s="25">
        <f t="shared" si="6"/>
        <v>676</v>
      </c>
      <c r="Y3" s="27" t="s">
        <v>1159</v>
      </c>
      <c r="Z3" s="19" t="s">
        <v>35</v>
      </c>
      <c r="AA3" s="19" t="s">
        <v>35</v>
      </c>
      <c r="AB3" s="19" t="s">
        <v>1160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1160</v>
      </c>
      <c r="B4" s="10" t="s">
        <v>1169</v>
      </c>
      <c r="C4" s="10" t="s">
        <v>1170</v>
      </c>
      <c r="D4" s="11">
        <v>45250</v>
      </c>
      <c r="E4" s="12">
        <v>220000</v>
      </c>
      <c r="F4" s="10" t="s">
        <v>32</v>
      </c>
      <c r="G4" s="10" t="s">
        <v>33</v>
      </c>
      <c r="H4" s="12">
        <v>220000</v>
      </c>
      <c r="I4" s="12">
        <v>78400</v>
      </c>
      <c r="J4" s="13">
        <f t="shared" si="0"/>
        <v>35.63636363636364</v>
      </c>
      <c r="K4" s="12">
        <v>190881</v>
      </c>
      <c r="L4" s="12">
        <f>H4-173281</f>
        <v>46719</v>
      </c>
      <c r="M4" s="12">
        <v>17600</v>
      </c>
      <c r="N4" s="66">
        <f t="shared" si="1"/>
        <v>0.08</v>
      </c>
      <c r="O4" s="14">
        <v>81.099999999999994</v>
      </c>
      <c r="P4" s="15">
        <v>176.04</v>
      </c>
      <c r="Q4" s="16">
        <v>0.33300000000000002</v>
      </c>
      <c r="R4" s="16">
        <v>0.33300000000000002</v>
      </c>
      <c r="S4" s="12">
        <f t="shared" si="2"/>
        <v>576.06658446362519</v>
      </c>
      <c r="T4" s="12">
        <f t="shared" si="3"/>
        <v>140297.29729729728</v>
      </c>
      <c r="U4" s="17">
        <f t="shared" si="4"/>
        <v>3.2207827662373112</v>
      </c>
      <c r="V4" s="16">
        <v>42</v>
      </c>
      <c r="W4" s="16">
        <f t="shared" si="5"/>
        <v>44000</v>
      </c>
      <c r="X4" s="16">
        <f t="shared" si="6"/>
        <v>1047.6190476190477</v>
      </c>
      <c r="Y4" s="18" t="s">
        <v>1159</v>
      </c>
      <c r="Z4" s="10" t="s">
        <v>35</v>
      </c>
      <c r="AA4" s="10" t="s">
        <v>35</v>
      </c>
      <c r="AB4" s="10" t="s">
        <v>1160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1160</v>
      </c>
      <c r="B5" s="10" t="s">
        <v>1163</v>
      </c>
      <c r="C5" s="10" t="s">
        <v>1164</v>
      </c>
      <c r="D5" s="11">
        <v>45432</v>
      </c>
      <c r="E5" s="12">
        <v>212500</v>
      </c>
      <c r="F5" s="10" t="s">
        <v>32</v>
      </c>
      <c r="G5" s="10" t="s">
        <v>33</v>
      </c>
      <c r="H5" s="12">
        <v>212500</v>
      </c>
      <c r="I5" s="12">
        <v>83600</v>
      </c>
      <c r="J5" s="13">
        <f t="shared" si="0"/>
        <v>39.341176470588238</v>
      </c>
      <c r="K5" s="12">
        <v>192631</v>
      </c>
      <c r="L5" s="12">
        <f>H5-181639</f>
        <v>30861</v>
      </c>
      <c r="M5" s="12">
        <v>10992</v>
      </c>
      <c r="N5" s="66">
        <f t="shared" si="1"/>
        <v>5.1727058823529411E-2</v>
      </c>
      <c r="O5" s="14">
        <v>50.65</v>
      </c>
      <c r="P5" s="15">
        <v>130.34</v>
      </c>
      <c r="Q5" s="16">
        <v>0.15</v>
      </c>
      <c r="R5" s="16">
        <v>0.15</v>
      </c>
      <c r="S5" s="12">
        <f t="shared" si="2"/>
        <v>609.29911154985189</v>
      </c>
      <c r="T5" s="12">
        <f t="shared" si="3"/>
        <v>205740</v>
      </c>
      <c r="U5" s="17">
        <f t="shared" si="4"/>
        <v>4.723140495867769</v>
      </c>
      <c r="V5" s="16">
        <v>50</v>
      </c>
      <c r="W5" s="16">
        <f t="shared" si="5"/>
        <v>42500</v>
      </c>
      <c r="X5" s="16">
        <f t="shared" si="6"/>
        <v>850</v>
      </c>
      <c r="Y5" s="18" t="s">
        <v>1159</v>
      </c>
      <c r="Z5" s="10" t="s">
        <v>35</v>
      </c>
      <c r="AA5" s="10" t="s">
        <v>35</v>
      </c>
      <c r="AB5" s="10" t="s">
        <v>1160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1160</v>
      </c>
      <c r="B6" s="19" t="s">
        <v>1181</v>
      </c>
      <c r="C6" s="19" t="s">
        <v>1182</v>
      </c>
      <c r="D6" s="20">
        <v>45145</v>
      </c>
      <c r="E6" s="21">
        <v>200000</v>
      </c>
      <c r="F6" s="19" t="s">
        <v>32</v>
      </c>
      <c r="G6" s="19" t="s">
        <v>33</v>
      </c>
      <c r="H6" s="21">
        <v>200000</v>
      </c>
      <c r="I6" s="21">
        <v>72300</v>
      </c>
      <c r="J6" s="22">
        <f t="shared" si="0"/>
        <v>36.15</v>
      </c>
      <c r="K6" s="21">
        <v>178131</v>
      </c>
      <c r="L6" s="21">
        <f>H6-166739</f>
        <v>33261</v>
      </c>
      <c r="M6" s="21">
        <v>11392</v>
      </c>
      <c r="N6" s="67">
        <f t="shared" si="1"/>
        <v>5.6959999999999997E-2</v>
      </c>
      <c r="O6" s="23">
        <v>52.49</v>
      </c>
      <c r="P6" s="24">
        <v>140</v>
      </c>
      <c r="Q6" s="25">
        <v>0.161</v>
      </c>
      <c r="R6" s="25">
        <v>0.161</v>
      </c>
      <c r="S6" s="21">
        <f t="shared" si="2"/>
        <v>633.66355496285007</v>
      </c>
      <c r="T6" s="21">
        <f t="shared" si="3"/>
        <v>206590.06211180124</v>
      </c>
      <c r="U6" s="26">
        <f t="shared" si="4"/>
        <v>4.7426552367263826</v>
      </c>
      <c r="V6" s="25">
        <v>50</v>
      </c>
      <c r="W6" s="25">
        <f t="shared" si="5"/>
        <v>40000</v>
      </c>
      <c r="X6" s="25">
        <f t="shared" si="6"/>
        <v>800</v>
      </c>
      <c r="Y6" s="27" t="s">
        <v>1159</v>
      </c>
      <c r="Z6" s="19" t="s">
        <v>35</v>
      </c>
      <c r="AA6" s="19" t="s">
        <v>35</v>
      </c>
      <c r="AB6" s="19" t="s">
        <v>1160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1160</v>
      </c>
      <c r="B7" s="19" t="s">
        <v>1161</v>
      </c>
      <c r="C7" s="19" t="s">
        <v>1162</v>
      </c>
      <c r="D7" s="20">
        <v>45646</v>
      </c>
      <c r="E7" s="21">
        <v>220000</v>
      </c>
      <c r="F7" s="19" t="s">
        <v>32</v>
      </c>
      <c r="G7" s="19" t="s">
        <v>33</v>
      </c>
      <c r="H7" s="21">
        <v>220000</v>
      </c>
      <c r="I7" s="21">
        <v>84100</v>
      </c>
      <c r="J7" s="22">
        <f t="shared" si="0"/>
        <v>38.227272727272727</v>
      </c>
      <c r="K7" s="21">
        <v>192600</v>
      </c>
      <c r="L7" s="21">
        <f>H7-179812</f>
        <v>40188</v>
      </c>
      <c r="M7" s="21">
        <v>12788</v>
      </c>
      <c r="N7" s="67">
        <f t="shared" si="1"/>
        <v>5.8127272727272729E-2</v>
      </c>
      <c r="O7" s="23">
        <v>58.92</v>
      </c>
      <c r="P7" s="24">
        <v>105</v>
      </c>
      <c r="Q7" s="25">
        <v>0.157</v>
      </c>
      <c r="R7" s="25">
        <v>0.157</v>
      </c>
      <c r="S7" s="21">
        <f t="shared" si="2"/>
        <v>682.07739307535644</v>
      </c>
      <c r="T7" s="21">
        <f t="shared" si="3"/>
        <v>255974.52229299364</v>
      </c>
      <c r="U7" s="26">
        <f t="shared" si="4"/>
        <v>5.8763664438244634</v>
      </c>
      <c r="V7" s="25">
        <v>64.55</v>
      </c>
      <c r="W7" s="25">
        <f t="shared" si="5"/>
        <v>44000</v>
      </c>
      <c r="X7" s="25">
        <f t="shared" si="6"/>
        <v>681.64213787761423</v>
      </c>
      <c r="Y7" s="27" t="s">
        <v>1159</v>
      </c>
      <c r="Z7" s="19" t="s">
        <v>35</v>
      </c>
      <c r="AA7" s="19" t="s">
        <v>35</v>
      </c>
      <c r="AB7" s="19" t="s">
        <v>1160</v>
      </c>
      <c r="AC7" s="19">
        <v>0</v>
      </c>
      <c r="AD7" s="19">
        <v>1</v>
      </c>
      <c r="AE7" s="19" t="s">
        <v>42</v>
      </c>
      <c r="AF7" s="19" t="s">
        <v>35</v>
      </c>
      <c r="AG7" s="19" t="s">
        <v>38</v>
      </c>
      <c r="AH7" s="19" t="s">
        <v>92</v>
      </c>
    </row>
    <row r="8" spans="1:34" x14ac:dyDescent="0.3">
      <c r="A8" s="74" t="s">
        <v>1160</v>
      </c>
      <c r="B8" s="10" t="s">
        <v>1177</v>
      </c>
      <c r="C8" s="10" t="s">
        <v>1178</v>
      </c>
      <c r="D8" s="11">
        <v>45553</v>
      </c>
      <c r="E8" s="12">
        <v>240000</v>
      </c>
      <c r="F8" s="10" t="s">
        <v>32</v>
      </c>
      <c r="G8" s="10" t="s">
        <v>33</v>
      </c>
      <c r="H8" s="12">
        <v>240000</v>
      </c>
      <c r="I8" s="12">
        <v>91500</v>
      </c>
      <c r="J8" s="13">
        <f t="shared" si="0"/>
        <v>38.125</v>
      </c>
      <c r="K8" s="12">
        <v>216202</v>
      </c>
      <c r="L8" s="12">
        <f>H8-205225</f>
        <v>34775</v>
      </c>
      <c r="M8" s="12">
        <v>10977</v>
      </c>
      <c r="N8" s="66">
        <f t="shared" si="1"/>
        <v>4.57375E-2</v>
      </c>
      <c r="O8" s="14">
        <v>50.58</v>
      </c>
      <c r="P8" s="15">
        <v>130</v>
      </c>
      <c r="Q8" s="16">
        <v>0.14899999999999999</v>
      </c>
      <c r="R8" s="16">
        <v>0.14899999999999999</v>
      </c>
      <c r="S8" s="12">
        <f t="shared" si="2"/>
        <v>687.52471332542507</v>
      </c>
      <c r="T8" s="12">
        <f t="shared" si="3"/>
        <v>233389.26174496644</v>
      </c>
      <c r="U8" s="17">
        <f t="shared" si="4"/>
        <v>5.3578802053481738</v>
      </c>
      <c r="V8" s="16">
        <v>50</v>
      </c>
      <c r="W8" s="16">
        <f t="shared" si="5"/>
        <v>48000</v>
      </c>
      <c r="X8" s="16">
        <f t="shared" si="6"/>
        <v>960</v>
      </c>
      <c r="Y8" s="18" t="s">
        <v>1159</v>
      </c>
      <c r="Z8" s="10" t="s">
        <v>35</v>
      </c>
      <c r="AA8" s="10" t="s">
        <v>35</v>
      </c>
      <c r="AB8" s="10" t="s">
        <v>1160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4" t="s">
        <v>1160</v>
      </c>
      <c r="B9" s="10" t="s">
        <v>1185</v>
      </c>
      <c r="C9" s="10" t="s">
        <v>1186</v>
      </c>
      <c r="D9" s="11">
        <v>45735</v>
      </c>
      <c r="E9" s="12">
        <v>260000</v>
      </c>
      <c r="F9" s="10" t="s">
        <v>32</v>
      </c>
      <c r="G9" s="10" t="s">
        <v>33</v>
      </c>
      <c r="H9" s="12">
        <v>260000</v>
      </c>
      <c r="I9" s="12">
        <v>100800</v>
      </c>
      <c r="J9" s="13">
        <f t="shared" si="0"/>
        <v>38.769230769230766</v>
      </c>
      <c r="K9" s="12">
        <v>232843</v>
      </c>
      <c r="L9" s="12">
        <f>H9-220726</f>
        <v>39274</v>
      </c>
      <c r="M9" s="12">
        <v>12117</v>
      </c>
      <c r="N9" s="66">
        <f t="shared" si="1"/>
        <v>4.6603846153846155E-2</v>
      </c>
      <c r="O9" s="14">
        <v>55.84</v>
      </c>
      <c r="P9" s="15">
        <v>110</v>
      </c>
      <c r="Q9" s="16">
        <v>0.152</v>
      </c>
      <c r="R9" s="16">
        <v>0.152</v>
      </c>
      <c r="S9" s="12">
        <f t="shared" si="2"/>
        <v>703.33094555873924</v>
      </c>
      <c r="T9" s="12">
        <f t="shared" si="3"/>
        <v>258381.57894736843</v>
      </c>
      <c r="U9" s="17">
        <f t="shared" si="4"/>
        <v>5.9316248610506985</v>
      </c>
      <c r="V9" s="16">
        <v>60</v>
      </c>
      <c r="W9" s="16">
        <f t="shared" si="5"/>
        <v>52000</v>
      </c>
      <c r="X9" s="16">
        <f t="shared" si="6"/>
        <v>866.66666666666663</v>
      </c>
      <c r="Y9" s="18" t="s">
        <v>1159</v>
      </c>
      <c r="Z9" s="10" t="s">
        <v>35</v>
      </c>
      <c r="AA9" s="10" t="s">
        <v>35</v>
      </c>
      <c r="AB9" s="10" t="s">
        <v>1160</v>
      </c>
      <c r="AC9" s="10">
        <v>0</v>
      </c>
      <c r="AD9" s="10">
        <v>1</v>
      </c>
      <c r="AE9" s="10" t="s">
        <v>42</v>
      </c>
      <c r="AF9" s="10" t="s">
        <v>35</v>
      </c>
      <c r="AG9" s="10" t="s">
        <v>38</v>
      </c>
      <c r="AH9" s="10" t="s">
        <v>92</v>
      </c>
    </row>
    <row r="10" spans="1:34" ht="15" thickBot="1" x14ac:dyDescent="0.35">
      <c r="A10" s="74" t="s">
        <v>1160</v>
      </c>
      <c r="B10" s="10" t="s">
        <v>1171</v>
      </c>
      <c r="C10" s="10" t="s">
        <v>1172</v>
      </c>
      <c r="D10" s="11">
        <v>45257</v>
      </c>
      <c r="E10" s="12">
        <v>215000</v>
      </c>
      <c r="F10" s="10" t="s">
        <v>32</v>
      </c>
      <c r="G10" s="10" t="s">
        <v>33</v>
      </c>
      <c r="H10" s="12">
        <v>215000</v>
      </c>
      <c r="I10" s="12">
        <v>76800</v>
      </c>
      <c r="J10" s="13">
        <f t="shared" si="0"/>
        <v>35.720930232558139</v>
      </c>
      <c r="K10" s="12">
        <v>188304</v>
      </c>
      <c r="L10" s="12">
        <f>H10-177454</f>
        <v>37546</v>
      </c>
      <c r="M10" s="12">
        <v>10850</v>
      </c>
      <c r="N10" s="66">
        <f t="shared" si="1"/>
        <v>5.0465116279069765E-2</v>
      </c>
      <c r="O10" s="14">
        <v>50</v>
      </c>
      <c r="P10" s="15">
        <v>127</v>
      </c>
      <c r="Q10" s="16">
        <v>0.14599999999999999</v>
      </c>
      <c r="R10" s="16">
        <v>0.14599999999999999</v>
      </c>
      <c r="S10" s="12">
        <f t="shared" si="2"/>
        <v>750.92</v>
      </c>
      <c r="T10" s="12">
        <f t="shared" si="3"/>
        <v>257164.38356164386</v>
      </c>
      <c r="U10" s="17">
        <f t="shared" si="4"/>
        <v>5.9036818999459104</v>
      </c>
      <c r="V10" s="16">
        <v>50</v>
      </c>
      <c r="W10" s="16">
        <f t="shared" si="5"/>
        <v>43000</v>
      </c>
      <c r="X10" s="16">
        <f t="shared" si="6"/>
        <v>860</v>
      </c>
      <c r="Y10" s="18" t="s">
        <v>1159</v>
      </c>
      <c r="Z10" s="10" t="s">
        <v>35</v>
      </c>
      <c r="AA10" s="10" t="s">
        <v>35</v>
      </c>
      <c r="AB10" s="10" t="s">
        <v>1160</v>
      </c>
      <c r="AC10" s="10">
        <v>0</v>
      </c>
      <c r="AD10" s="10">
        <v>1</v>
      </c>
      <c r="AE10" s="10" t="s">
        <v>37</v>
      </c>
      <c r="AF10" s="10" t="s">
        <v>43</v>
      </c>
      <c r="AG10" s="10" t="s">
        <v>38</v>
      </c>
      <c r="AH10" s="10" t="s">
        <v>92</v>
      </c>
    </row>
    <row r="11" spans="1:34" ht="15" thickTop="1" x14ac:dyDescent="0.3">
      <c r="A11" s="76"/>
      <c r="B11" s="37"/>
      <c r="C11" s="37"/>
      <c r="D11" s="38" t="s">
        <v>2876</v>
      </c>
      <c r="E11" s="39">
        <f>+SUM(E2:E10)</f>
        <v>1916500</v>
      </c>
      <c r="F11" s="37"/>
      <c r="G11" s="37"/>
      <c r="H11" s="39">
        <f>+SUM(H2:H10)</f>
        <v>1916500</v>
      </c>
      <c r="I11" s="39">
        <f>+SUM(I2:I10)</f>
        <v>734300</v>
      </c>
      <c r="J11" s="40"/>
      <c r="K11" s="39">
        <f>+SUM(K2:K10)</f>
        <v>1739318</v>
      </c>
      <c r="L11" s="39">
        <f>+SUM(L2:L10)</f>
        <v>286082</v>
      </c>
      <c r="M11" s="39">
        <f>+SUM(M2:M10)</f>
        <v>108900</v>
      </c>
      <c r="N11" s="81">
        <f>AVERAGE(N2:N10)</f>
        <v>5.7420960453593045E-2</v>
      </c>
      <c r="O11" s="41">
        <f>+SUM(O2:O10)</f>
        <v>501.79999999999995</v>
      </c>
      <c r="P11" s="42"/>
      <c r="Q11" s="43">
        <f>+SUM(Q2:Q10)</f>
        <v>1.5299999999999998</v>
      </c>
      <c r="R11" s="43">
        <f>+SUM(R2:R10)</f>
        <v>1.5299999999999998</v>
      </c>
      <c r="S11" s="39"/>
      <c r="T11" s="39"/>
      <c r="U11" s="44"/>
      <c r="V11" s="43"/>
      <c r="W11" s="82">
        <f>AVERAGE(W2:W10)</f>
        <v>42588.888888888891</v>
      </c>
      <c r="X11" s="83">
        <f>AVERAGE(X2:X10)</f>
        <v>812.59515817687782</v>
      </c>
      <c r="Y11" s="45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 x14ac:dyDescent="0.3">
      <c r="A12" s="77"/>
      <c r="B12" s="28"/>
      <c r="C12" s="28"/>
      <c r="D12" s="29"/>
      <c r="E12" s="30"/>
      <c r="F12" s="28"/>
      <c r="G12" s="28"/>
      <c r="H12" s="30"/>
      <c r="I12" s="30" t="s">
        <v>2877</v>
      </c>
      <c r="J12" s="31">
        <f>I11/H11*100</f>
        <v>38.314636055309158</v>
      </c>
      <c r="K12" s="30"/>
      <c r="L12" s="30"/>
      <c r="M12" s="30" t="s">
        <v>2879</v>
      </c>
      <c r="N12" s="79"/>
      <c r="O12" s="32"/>
      <c r="P12" s="33"/>
      <c r="Q12" s="34" t="s">
        <v>2879</v>
      </c>
      <c r="R12" s="34"/>
      <c r="S12" s="30"/>
      <c r="T12" s="30" t="s">
        <v>2879</v>
      </c>
      <c r="U12" s="35"/>
      <c r="V12" s="34"/>
      <c r="W12" s="63"/>
      <c r="X12" s="68"/>
      <c r="Y12" s="36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x14ac:dyDescent="0.3">
      <c r="A13" s="78"/>
      <c r="B13" s="46"/>
      <c r="C13" s="46"/>
      <c r="D13" s="47"/>
      <c r="E13" s="48"/>
      <c r="F13" s="46"/>
      <c r="G13" s="46"/>
      <c r="H13" s="48"/>
      <c r="I13" s="48" t="s">
        <v>2878</v>
      </c>
      <c r="J13" s="49">
        <f>STDEV(J2:J10)</f>
        <v>2.619875856548064</v>
      </c>
      <c r="K13" s="48"/>
      <c r="L13" s="48"/>
      <c r="M13" s="48" t="s">
        <v>2880</v>
      </c>
      <c r="N13" s="80"/>
      <c r="O13" s="54">
        <f>L11/O11</f>
        <v>570.11159824631329</v>
      </c>
      <c r="P13" s="50"/>
      <c r="Q13" s="51" t="s">
        <v>2881</v>
      </c>
      <c r="R13" s="51">
        <f>L11/Q11</f>
        <v>186981.69934640525</v>
      </c>
      <c r="S13" s="48"/>
      <c r="T13" s="48" t="s">
        <v>2882</v>
      </c>
      <c r="U13" s="52">
        <f>L11/Q11/43560</f>
        <v>4.2925091677319847</v>
      </c>
      <c r="V13" s="51"/>
      <c r="W13" s="64"/>
      <c r="X13" s="69"/>
      <c r="Y13" s="53"/>
      <c r="Z13" s="46"/>
      <c r="AA13" s="46"/>
      <c r="AB13" s="46"/>
      <c r="AC13" s="46"/>
      <c r="AD13" s="46"/>
      <c r="AE13" s="46"/>
      <c r="AF13" s="46"/>
      <c r="AG13" s="46"/>
      <c r="AH13" s="46"/>
    </row>
    <row r="14" spans="1:34" x14ac:dyDescent="0.3">
      <c r="E14" s="94" t="s">
        <v>3099</v>
      </c>
      <c r="L14" s="95"/>
    </row>
    <row r="15" spans="1:34" x14ac:dyDescent="0.3">
      <c r="E15" s="383" t="s">
        <v>3163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3164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3165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3166</v>
      </c>
      <c r="F18" s="383"/>
      <c r="G18" s="383"/>
      <c r="H18" s="383"/>
      <c r="I18" s="383"/>
      <c r="J18" s="96"/>
      <c r="K18" s="96"/>
      <c r="L18" s="96"/>
    </row>
    <row r="19" spans="1:34" x14ac:dyDescent="0.3">
      <c r="E19" s="383" t="s">
        <v>3167</v>
      </c>
      <c r="F19" s="383"/>
      <c r="G19" s="383"/>
      <c r="H19" s="383"/>
      <c r="I19" s="383"/>
      <c r="L19" s="95"/>
    </row>
    <row r="20" spans="1:34" x14ac:dyDescent="0.3">
      <c r="E20" s="383" t="s">
        <v>3100</v>
      </c>
      <c r="F20" s="383"/>
      <c r="G20" s="383"/>
      <c r="H20" s="383"/>
      <c r="I20" s="383"/>
      <c r="L20" s="95"/>
    </row>
    <row r="21" spans="1:34" x14ac:dyDescent="0.3">
      <c r="E21" s="96"/>
      <c r="F21" s="96"/>
      <c r="G21" s="96"/>
      <c r="H21" s="96"/>
      <c r="I21" s="96"/>
      <c r="L21" s="95"/>
    </row>
    <row r="22" spans="1:34" x14ac:dyDescent="0.3">
      <c r="A22" s="55" t="s">
        <v>3092</v>
      </c>
      <c r="E22" s="96"/>
      <c r="F22" s="96"/>
      <c r="G22" s="96"/>
      <c r="H22" s="96"/>
      <c r="I22" s="96"/>
      <c r="L22" s="95"/>
    </row>
    <row r="23" spans="1:34" x14ac:dyDescent="0.3">
      <c r="A23" s="74" t="s">
        <v>1160</v>
      </c>
      <c r="B23" s="10" t="s">
        <v>1177</v>
      </c>
      <c r="C23" s="10" t="s">
        <v>1178</v>
      </c>
      <c r="D23" s="11">
        <v>45415</v>
      </c>
      <c r="E23" s="12">
        <v>125000</v>
      </c>
      <c r="F23" s="10" t="s">
        <v>32</v>
      </c>
      <c r="G23" s="10" t="s">
        <v>33</v>
      </c>
      <c r="H23" s="12">
        <v>125000</v>
      </c>
      <c r="I23" s="12">
        <v>91500</v>
      </c>
      <c r="J23" s="13">
        <f>I23/H23*100</f>
        <v>73.2</v>
      </c>
      <c r="K23" s="12">
        <v>216202</v>
      </c>
      <c r="L23" s="12">
        <f>H23-205225</f>
        <v>-80225</v>
      </c>
      <c r="M23" s="12">
        <v>10977</v>
      </c>
      <c r="N23" s="66">
        <f>M23/E23</f>
        <v>8.7816000000000005E-2</v>
      </c>
      <c r="O23" s="14">
        <v>50.58</v>
      </c>
      <c r="P23" s="15">
        <v>130</v>
      </c>
      <c r="Q23" s="16">
        <v>0.14899999999999999</v>
      </c>
      <c r="R23" s="16">
        <v>0.14899999999999999</v>
      </c>
      <c r="S23" s="12">
        <f>L23/O23</f>
        <v>-1586.1012257809411</v>
      </c>
      <c r="T23" s="12">
        <f>L23/Q23</f>
        <v>-538422.81879194628</v>
      </c>
      <c r="U23" s="17">
        <f>L23/Q23/43560</f>
        <v>-12.360487116435865</v>
      </c>
      <c r="V23" s="16">
        <v>50</v>
      </c>
      <c r="W23" s="16">
        <f>0.2*E23</f>
        <v>25000</v>
      </c>
      <c r="X23" s="16">
        <f>W23/V23</f>
        <v>500</v>
      </c>
      <c r="Y23" s="18" t="s">
        <v>1159</v>
      </c>
      <c r="Z23" s="10" t="s">
        <v>35</v>
      </c>
      <c r="AA23" s="10" t="s">
        <v>35</v>
      </c>
      <c r="AB23" s="10" t="s">
        <v>1160</v>
      </c>
      <c r="AC23" s="10">
        <v>0</v>
      </c>
      <c r="AD23" s="10">
        <v>1</v>
      </c>
      <c r="AE23" s="10" t="s">
        <v>42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1160</v>
      </c>
      <c r="B24" s="19" t="s">
        <v>1179</v>
      </c>
      <c r="C24" s="19" t="s">
        <v>1180</v>
      </c>
      <c r="D24" s="20">
        <v>45495</v>
      </c>
      <c r="E24" s="21">
        <v>130000</v>
      </c>
      <c r="F24" s="19" t="s">
        <v>32</v>
      </c>
      <c r="G24" s="19" t="s">
        <v>33</v>
      </c>
      <c r="H24" s="21">
        <v>130000</v>
      </c>
      <c r="I24" s="21">
        <v>93900</v>
      </c>
      <c r="J24" s="22">
        <f>I24/H24*100</f>
        <v>72.230769230769226</v>
      </c>
      <c r="K24" s="21">
        <v>217322</v>
      </c>
      <c r="L24" s="21">
        <f>H24-203652</f>
        <v>-73652</v>
      </c>
      <c r="M24" s="21">
        <v>13670</v>
      </c>
      <c r="N24" s="67">
        <f>M24/E24</f>
        <v>0.10515384615384615</v>
      </c>
      <c r="O24" s="23">
        <v>62.99</v>
      </c>
      <c r="P24" s="24">
        <v>140</v>
      </c>
      <c r="Q24" s="25">
        <v>0.193</v>
      </c>
      <c r="R24" s="25">
        <v>0.193</v>
      </c>
      <c r="S24" s="21">
        <f>L24/O24</f>
        <v>-1169.2649626924908</v>
      </c>
      <c r="T24" s="21">
        <f>L24/Q24</f>
        <v>-381616.58031088085</v>
      </c>
      <c r="U24" s="26">
        <f>L24/Q24/43560</f>
        <v>-8.7607112100753177</v>
      </c>
      <c r="V24" s="25">
        <v>60</v>
      </c>
      <c r="W24" s="25">
        <f>0.2*E24</f>
        <v>26000</v>
      </c>
      <c r="X24" s="25">
        <f>W24/V24</f>
        <v>433.33333333333331</v>
      </c>
      <c r="Y24" s="27" t="s">
        <v>1159</v>
      </c>
      <c r="Z24" s="19" t="s">
        <v>35</v>
      </c>
      <c r="AA24" s="19" t="s">
        <v>35</v>
      </c>
      <c r="AB24" s="19" t="s">
        <v>1160</v>
      </c>
      <c r="AC24" s="19">
        <v>0</v>
      </c>
      <c r="AD24" s="19">
        <v>1</v>
      </c>
      <c r="AE24" s="19" t="s">
        <v>42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74" t="s">
        <v>1160</v>
      </c>
      <c r="B25" s="10" t="s">
        <v>1163</v>
      </c>
      <c r="C25" s="10" t="s">
        <v>1164</v>
      </c>
      <c r="D25" s="11">
        <v>45369</v>
      </c>
      <c r="E25" s="12">
        <v>174200</v>
      </c>
      <c r="F25" s="10" t="s">
        <v>32</v>
      </c>
      <c r="G25" s="10" t="s">
        <v>33</v>
      </c>
      <c r="H25" s="12">
        <v>174200</v>
      </c>
      <c r="I25" s="12">
        <v>78400</v>
      </c>
      <c r="J25" s="13">
        <f t="shared" ref="J25:J29" si="7">I25/H25*100</f>
        <v>45.005740528128591</v>
      </c>
      <c r="K25" s="12">
        <v>192631</v>
      </c>
      <c r="L25" s="12">
        <f>H25-181639</f>
        <v>-7439</v>
      </c>
      <c r="M25" s="12">
        <v>10992</v>
      </c>
      <c r="N25" s="66">
        <f t="shared" ref="N25:N29" si="8">M25/E25</f>
        <v>6.3099885189437432E-2</v>
      </c>
      <c r="O25" s="14">
        <v>50.65</v>
      </c>
      <c r="P25" s="15">
        <v>130.34</v>
      </c>
      <c r="Q25" s="16">
        <v>0.15</v>
      </c>
      <c r="R25" s="16">
        <v>0.15</v>
      </c>
      <c r="S25" s="12">
        <f t="shared" ref="S25:S29" si="9">L25/O25</f>
        <v>-146.87068114511354</v>
      </c>
      <c r="T25" s="12">
        <f t="shared" ref="T25:T29" si="10">L25/Q25</f>
        <v>-49593.333333333336</v>
      </c>
      <c r="U25" s="17">
        <f t="shared" ref="U25:U29" si="11">L25/Q25/43560</f>
        <v>-1.1385062748699113</v>
      </c>
      <c r="V25" s="16">
        <v>50</v>
      </c>
      <c r="W25" s="16">
        <f t="shared" ref="W25:W29" si="12">0.2*E25</f>
        <v>34840</v>
      </c>
      <c r="X25" s="16">
        <f t="shared" ref="X25:X29" si="13">W25/V25</f>
        <v>696.8</v>
      </c>
      <c r="Y25" s="18" t="s">
        <v>1159</v>
      </c>
      <c r="Z25" s="10" t="s">
        <v>35</v>
      </c>
      <c r="AA25" s="10" t="s">
        <v>35</v>
      </c>
      <c r="AB25" s="10" t="s">
        <v>1160</v>
      </c>
      <c r="AC25" s="10">
        <v>0</v>
      </c>
      <c r="AD25" s="10">
        <v>1</v>
      </c>
      <c r="AE25" s="10" t="s">
        <v>42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5" t="s">
        <v>1160</v>
      </c>
      <c r="B26" s="19" t="s">
        <v>1167</v>
      </c>
      <c r="C26" s="19" t="s">
        <v>1168</v>
      </c>
      <c r="D26" s="20">
        <v>45191</v>
      </c>
      <c r="E26" s="21">
        <v>175000</v>
      </c>
      <c r="F26" s="19" t="s">
        <v>32</v>
      </c>
      <c r="G26" s="19" t="s">
        <v>33</v>
      </c>
      <c r="H26" s="21">
        <v>175000</v>
      </c>
      <c r="I26" s="21">
        <v>78400</v>
      </c>
      <c r="J26" s="22">
        <f t="shared" si="7"/>
        <v>44.800000000000004</v>
      </c>
      <c r="K26" s="21">
        <v>192160</v>
      </c>
      <c r="L26" s="21">
        <f>H26-181183</f>
        <v>-6183</v>
      </c>
      <c r="M26" s="21">
        <v>10977</v>
      </c>
      <c r="N26" s="67">
        <f t="shared" si="8"/>
        <v>6.2725714285714287E-2</v>
      </c>
      <c r="O26" s="23">
        <v>50.58</v>
      </c>
      <c r="P26" s="24">
        <v>130</v>
      </c>
      <c r="Q26" s="25">
        <v>0.14899999999999999</v>
      </c>
      <c r="R26" s="25">
        <v>0.14899999999999999</v>
      </c>
      <c r="S26" s="21">
        <f t="shared" si="9"/>
        <v>-122.24199288256229</v>
      </c>
      <c r="T26" s="21">
        <f t="shared" si="10"/>
        <v>-41496.644295302016</v>
      </c>
      <c r="U26" s="26">
        <f t="shared" si="11"/>
        <v>-0.95263187087470191</v>
      </c>
      <c r="V26" s="25">
        <v>50</v>
      </c>
      <c r="W26" s="25">
        <f t="shared" si="12"/>
        <v>35000</v>
      </c>
      <c r="X26" s="25">
        <f t="shared" si="13"/>
        <v>700</v>
      </c>
      <c r="Y26" s="27" t="s">
        <v>1159</v>
      </c>
      <c r="Z26" s="19" t="s">
        <v>35</v>
      </c>
      <c r="AA26" s="19" t="s">
        <v>35</v>
      </c>
      <c r="AB26" s="19" t="s">
        <v>1160</v>
      </c>
      <c r="AC26" s="19">
        <v>0</v>
      </c>
      <c r="AD26" s="19">
        <v>1</v>
      </c>
      <c r="AE26" s="19" t="s">
        <v>42</v>
      </c>
      <c r="AF26" s="19" t="s">
        <v>43</v>
      </c>
      <c r="AG26" s="19" t="s">
        <v>38</v>
      </c>
      <c r="AH26" s="19" t="s">
        <v>92</v>
      </c>
    </row>
    <row r="27" spans="1:34" x14ac:dyDescent="0.3">
      <c r="A27" s="75" t="s">
        <v>1160</v>
      </c>
      <c r="B27" s="19" t="s">
        <v>1157</v>
      </c>
      <c r="C27" s="19" t="s">
        <v>1158</v>
      </c>
      <c r="D27" s="20">
        <v>45113</v>
      </c>
      <c r="E27" s="21">
        <v>192500</v>
      </c>
      <c r="F27" s="19" t="s">
        <v>32</v>
      </c>
      <c r="G27" s="19" t="s">
        <v>33</v>
      </c>
      <c r="H27" s="21">
        <v>192500</v>
      </c>
      <c r="I27" s="21">
        <v>84900</v>
      </c>
      <c r="J27" s="22">
        <f t="shared" si="7"/>
        <v>44.103896103896105</v>
      </c>
      <c r="K27" s="21">
        <v>209509</v>
      </c>
      <c r="L27" s="21">
        <f>H27-198569</f>
        <v>-6069</v>
      </c>
      <c r="M27" s="21">
        <v>10940</v>
      </c>
      <c r="N27" s="67">
        <f t="shared" si="8"/>
        <v>5.683116883116883E-2</v>
      </c>
      <c r="O27" s="23">
        <v>50.41</v>
      </c>
      <c r="P27" s="24">
        <v>129.11000000000001</v>
      </c>
      <c r="Q27" s="25">
        <v>0.14799999999999999</v>
      </c>
      <c r="R27" s="25">
        <v>0.14799999999999999</v>
      </c>
      <c r="S27" s="21">
        <f t="shared" si="9"/>
        <v>-120.39277921047412</v>
      </c>
      <c r="T27" s="21">
        <f t="shared" si="10"/>
        <v>-41006.75675675676</v>
      </c>
      <c r="U27" s="26">
        <f t="shared" si="11"/>
        <v>-0.94138560047650965</v>
      </c>
      <c r="V27" s="25">
        <v>50</v>
      </c>
      <c r="W27" s="25">
        <f t="shared" si="12"/>
        <v>38500</v>
      </c>
      <c r="X27" s="25">
        <f t="shared" si="13"/>
        <v>770</v>
      </c>
      <c r="Y27" s="27" t="s">
        <v>1159</v>
      </c>
      <c r="Z27" s="19" t="s">
        <v>35</v>
      </c>
      <c r="AA27" s="19" t="s">
        <v>35</v>
      </c>
      <c r="AB27" s="19" t="s">
        <v>1160</v>
      </c>
      <c r="AC27" s="19">
        <v>0</v>
      </c>
      <c r="AD27" s="19">
        <v>1</v>
      </c>
      <c r="AE27" s="19" t="s">
        <v>37</v>
      </c>
      <c r="AF27" s="19" t="s">
        <v>43</v>
      </c>
      <c r="AG27" s="19" t="s">
        <v>38</v>
      </c>
      <c r="AH27" s="19" t="s">
        <v>92</v>
      </c>
    </row>
    <row r="28" spans="1:34" x14ac:dyDescent="0.3">
      <c r="A28" s="74" t="s">
        <v>1160</v>
      </c>
      <c r="B28" s="10" t="s">
        <v>1183</v>
      </c>
      <c r="C28" s="10" t="s">
        <v>1184</v>
      </c>
      <c r="D28" s="11">
        <v>45182</v>
      </c>
      <c r="E28" s="12">
        <v>175000</v>
      </c>
      <c r="F28" s="10" t="s">
        <v>32</v>
      </c>
      <c r="G28" s="10" t="s">
        <v>33</v>
      </c>
      <c r="H28" s="12">
        <v>175000</v>
      </c>
      <c r="I28" s="12">
        <v>74900</v>
      </c>
      <c r="J28" s="13">
        <f t="shared" si="7"/>
        <v>42.8</v>
      </c>
      <c r="K28" s="12">
        <v>183407</v>
      </c>
      <c r="L28" s="12">
        <f>H28-172860</f>
        <v>2140</v>
      </c>
      <c r="M28" s="12">
        <v>10547</v>
      </c>
      <c r="N28" s="66">
        <f t="shared" si="8"/>
        <v>6.0268571428571428E-2</v>
      </c>
      <c r="O28" s="14">
        <v>48.6</v>
      </c>
      <c r="P28" s="15">
        <v>120</v>
      </c>
      <c r="Q28" s="16">
        <v>0.13800000000000001</v>
      </c>
      <c r="R28" s="16">
        <v>0.13800000000000001</v>
      </c>
      <c r="S28" s="12">
        <f t="shared" si="9"/>
        <v>44.032921810699584</v>
      </c>
      <c r="T28" s="12">
        <f t="shared" si="10"/>
        <v>15507.246376811592</v>
      </c>
      <c r="U28" s="17">
        <f t="shared" si="11"/>
        <v>0.35599739157051408</v>
      </c>
      <c r="V28" s="16">
        <v>50</v>
      </c>
      <c r="W28" s="16">
        <f t="shared" si="12"/>
        <v>35000</v>
      </c>
      <c r="X28" s="16">
        <f t="shared" si="13"/>
        <v>700</v>
      </c>
      <c r="Y28" s="18" t="s">
        <v>1159</v>
      </c>
      <c r="Z28" s="10" t="s">
        <v>35</v>
      </c>
      <c r="AA28" s="10" t="s">
        <v>35</v>
      </c>
      <c r="AB28" s="10" t="s">
        <v>1160</v>
      </c>
      <c r="AC28" s="10">
        <v>0</v>
      </c>
      <c r="AD28" s="10">
        <v>1</v>
      </c>
      <c r="AE28" s="10" t="s">
        <v>42</v>
      </c>
      <c r="AF28" s="10" t="s">
        <v>43</v>
      </c>
      <c r="AG28" s="10" t="s">
        <v>38</v>
      </c>
      <c r="AH28" s="10" t="s">
        <v>92</v>
      </c>
    </row>
    <row r="29" spans="1:34" x14ac:dyDescent="0.3">
      <c r="A29" s="75" t="s">
        <v>1160</v>
      </c>
      <c r="B29" s="19" t="s">
        <v>1165</v>
      </c>
      <c r="C29" s="19" t="s">
        <v>1166</v>
      </c>
      <c r="D29" s="20">
        <v>45408</v>
      </c>
      <c r="E29" s="21">
        <v>204000</v>
      </c>
      <c r="F29" s="19" t="s">
        <v>32</v>
      </c>
      <c r="G29" s="19" t="s">
        <v>33</v>
      </c>
      <c r="H29" s="21">
        <v>204000</v>
      </c>
      <c r="I29" s="21">
        <v>90000</v>
      </c>
      <c r="J29" s="22">
        <f t="shared" si="7"/>
        <v>44.117647058823529</v>
      </c>
      <c r="K29" s="21">
        <v>208467</v>
      </c>
      <c r="L29" s="21">
        <f>H29-197490</f>
        <v>6510</v>
      </c>
      <c r="M29" s="21">
        <v>10977</v>
      </c>
      <c r="N29" s="67">
        <f t="shared" si="8"/>
        <v>5.3808823529411763E-2</v>
      </c>
      <c r="O29" s="23">
        <v>50.58</v>
      </c>
      <c r="P29" s="24">
        <v>130</v>
      </c>
      <c r="Q29" s="25">
        <v>0.14899999999999999</v>
      </c>
      <c r="R29" s="25">
        <v>0.14899999999999999</v>
      </c>
      <c r="S29" s="21">
        <f t="shared" si="9"/>
        <v>128.70699881376038</v>
      </c>
      <c r="T29" s="21">
        <f t="shared" si="10"/>
        <v>43691.275167785236</v>
      </c>
      <c r="U29" s="26">
        <f t="shared" si="11"/>
        <v>1.0030136631722966</v>
      </c>
      <c r="V29" s="25">
        <v>50</v>
      </c>
      <c r="W29" s="25">
        <f t="shared" si="12"/>
        <v>40800</v>
      </c>
      <c r="X29" s="25">
        <f t="shared" si="13"/>
        <v>816</v>
      </c>
      <c r="Y29" s="27" t="s">
        <v>1159</v>
      </c>
      <c r="Z29" s="19" t="s">
        <v>35</v>
      </c>
      <c r="AA29" s="19" t="s">
        <v>35</v>
      </c>
      <c r="AB29" s="19" t="s">
        <v>1160</v>
      </c>
      <c r="AC29" s="19">
        <v>0</v>
      </c>
      <c r="AD29" s="19">
        <v>1</v>
      </c>
      <c r="AE29" s="19" t="s">
        <v>37</v>
      </c>
      <c r="AF29" s="19" t="s">
        <v>43</v>
      </c>
      <c r="AG29" s="19" t="s">
        <v>38</v>
      </c>
      <c r="AH29" s="19" t="s">
        <v>92</v>
      </c>
    </row>
  </sheetData>
  <sortState xmlns:xlrd2="http://schemas.microsoft.com/office/spreadsheetml/2017/richdata2" ref="G2:AN17">
    <sortCondition ref="Y2:Y17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50"/>
  </sheetPr>
  <dimension ref="A1:AH30"/>
  <sheetViews>
    <sheetView topLeftCell="A4" workbookViewId="0">
      <selection activeCell="E19" sqref="E19:L25"/>
    </sheetView>
  </sheetViews>
  <sheetFormatPr defaultRowHeight="14.4" x14ac:dyDescent="0.3"/>
  <cols>
    <col min="1" max="1" width="10.44140625" style="55" bestFit="1" customWidth="1" collapsed="1"/>
    <col min="2" max="2" width="17.5546875" customWidth="1" collapsed="1"/>
    <col min="3" max="3" width="18.44140625" customWidth="1" collapsed="1"/>
    <col min="4" max="4" width="10.88671875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1194</v>
      </c>
      <c r="B2" s="19" t="s">
        <v>1521</v>
      </c>
      <c r="C2" s="19" t="s">
        <v>1522</v>
      </c>
      <c r="D2" s="20">
        <v>45343</v>
      </c>
      <c r="E2" s="21">
        <v>135000</v>
      </c>
      <c r="F2" s="19" t="s">
        <v>32</v>
      </c>
      <c r="G2" s="19" t="s">
        <v>33</v>
      </c>
      <c r="H2" s="21">
        <v>135000</v>
      </c>
      <c r="I2" s="21">
        <v>69100</v>
      </c>
      <c r="J2" s="22">
        <f t="shared" ref="J2:J15" si="0">I2/H2*100</f>
        <v>51.18518518518519</v>
      </c>
      <c r="K2" s="21">
        <v>170838</v>
      </c>
      <c r="L2" s="21">
        <f>H2-158264</f>
        <v>-23264</v>
      </c>
      <c r="M2" s="21">
        <v>12574</v>
      </c>
      <c r="N2" s="67">
        <f t="shared" ref="N2:N15" si="1">M2/E2</f>
        <v>9.3140740740740746E-2</v>
      </c>
      <c r="O2" s="23">
        <v>69.849999999999994</v>
      </c>
      <c r="P2" s="24">
        <v>271.10000000000002</v>
      </c>
      <c r="Q2" s="25">
        <v>0.373</v>
      </c>
      <c r="R2" s="25">
        <v>0.373</v>
      </c>
      <c r="S2" s="21">
        <f t="shared" ref="S2:S15" si="2">L2/O2</f>
        <v>-333.05654974946316</v>
      </c>
      <c r="T2" s="21">
        <f t="shared" ref="T2:T15" si="3">L2/Q2</f>
        <v>-62369.973190348523</v>
      </c>
      <c r="U2" s="26">
        <f t="shared" ref="U2:U15" si="4">L2/Q2/43560</f>
        <v>-1.431817566353272</v>
      </c>
      <c r="V2" s="25">
        <v>60</v>
      </c>
      <c r="W2" s="25">
        <f t="shared" ref="W2:W15" si="5">0.2*E2</f>
        <v>27000</v>
      </c>
      <c r="X2" s="25">
        <f t="shared" ref="X2:X15" si="6">W2/V2</f>
        <v>450</v>
      </c>
      <c r="Y2" s="27" t="s">
        <v>1193</v>
      </c>
      <c r="Z2" s="19" t="s">
        <v>35</v>
      </c>
      <c r="AA2" s="19" t="s">
        <v>35</v>
      </c>
      <c r="AB2" s="19" t="s">
        <v>1194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1194</v>
      </c>
      <c r="B3" s="19" t="s">
        <v>1345</v>
      </c>
      <c r="C3" s="19" t="s">
        <v>1346</v>
      </c>
      <c r="D3" s="20">
        <v>45267</v>
      </c>
      <c r="E3" s="21">
        <v>141000</v>
      </c>
      <c r="F3" s="19" t="s">
        <v>32</v>
      </c>
      <c r="G3" s="19" t="s">
        <v>33</v>
      </c>
      <c r="H3" s="21">
        <v>141000</v>
      </c>
      <c r="I3" s="21">
        <v>76100</v>
      </c>
      <c r="J3" s="22">
        <f t="shared" si="0"/>
        <v>53.971631205673752</v>
      </c>
      <c r="K3" s="21">
        <v>172529</v>
      </c>
      <c r="L3" s="21">
        <f>H3-160641</f>
        <v>-19641</v>
      </c>
      <c r="M3" s="21">
        <v>11888</v>
      </c>
      <c r="N3" s="67">
        <f t="shared" si="1"/>
        <v>8.4312056737588653E-2</v>
      </c>
      <c r="O3" s="23">
        <v>66.040000000000006</v>
      </c>
      <c r="P3" s="24">
        <v>115.06</v>
      </c>
      <c r="Q3" s="25">
        <v>0.23</v>
      </c>
      <c r="R3" s="25">
        <v>0.23</v>
      </c>
      <c r="S3" s="21">
        <f t="shared" si="2"/>
        <v>-297.41066020593576</v>
      </c>
      <c r="T3" s="21">
        <f t="shared" si="3"/>
        <v>-85395.65217391304</v>
      </c>
      <c r="U3" s="26">
        <f t="shared" si="4"/>
        <v>-1.9604144208887291</v>
      </c>
      <c r="V3" s="25">
        <v>87.07</v>
      </c>
      <c r="W3" s="25">
        <f t="shared" si="5"/>
        <v>28200</v>
      </c>
      <c r="X3" s="25">
        <f t="shared" si="6"/>
        <v>323.87734007120707</v>
      </c>
      <c r="Y3" s="27" t="s">
        <v>1193</v>
      </c>
      <c r="Z3" s="19" t="s">
        <v>35</v>
      </c>
      <c r="AA3" s="19" t="s">
        <v>35</v>
      </c>
      <c r="AB3" s="19" t="s">
        <v>1194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1194</v>
      </c>
      <c r="B4" s="10" t="s">
        <v>1515</v>
      </c>
      <c r="C4" s="10" t="s">
        <v>1516</v>
      </c>
      <c r="D4" s="11">
        <v>45498</v>
      </c>
      <c r="E4" s="12">
        <v>275000</v>
      </c>
      <c r="F4" s="10" t="s">
        <v>32</v>
      </c>
      <c r="G4" s="10" t="s">
        <v>33</v>
      </c>
      <c r="H4" s="12">
        <v>275000</v>
      </c>
      <c r="I4" s="12">
        <v>131000</v>
      </c>
      <c r="J4" s="13">
        <f t="shared" si="0"/>
        <v>47.63636363636364</v>
      </c>
      <c r="K4" s="12">
        <v>305040</v>
      </c>
      <c r="L4" s="12">
        <f>H4-285128</f>
        <v>-10128</v>
      </c>
      <c r="M4" s="12">
        <v>19912</v>
      </c>
      <c r="N4" s="66">
        <f t="shared" si="1"/>
        <v>7.2407272727272723E-2</v>
      </c>
      <c r="O4" s="14">
        <v>110.62</v>
      </c>
      <c r="P4" s="15">
        <v>350.96</v>
      </c>
      <c r="Q4" s="16">
        <v>0.66600000000000004</v>
      </c>
      <c r="R4" s="16">
        <v>0.66600000000000004</v>
      </c>
      <c r="S4" s="12">
        <f t="shared" si="2"/>
        <v>-91.556680527933466</v>
      </c>
      <c r="T4" s="12">
        <f t="shared" si="3"/>
        <v>-15207.207207207206</v>
      </c>
      <c r="U4" s="17">
        <f t="shared" si="4"/>
        <v>-0.34910944001853089</v>
      </c>
      <c r="V4" s="16">
        <v>85.26</v>
      </c>
      <c r="W4" s="16">
        <f t="shared" si="5"/>
        <v>55000</v>
      </c>
      <c r="X4" s="16">
        <f t="shared" si="6"/>
        <v>645.08562045507858</v>
      </c>
      <c r="Y4" s="18" t="s">
        <v>1193</v>
      </c>
      <c r="Z4" s="10" t="s">
        <v>35</v>
      </c>
      <c r="AA4" s="10" t="s">
        <v>35</v>
      </c>
      <c r="AB4" s="10" t="s">
        <v>1194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1194</v>
      </c>
      <c r="B5" s="10" t="s">
        <v>1523</v>
      </c>
      <c r="C5" s="10" t="s">
        <v>1524</v>
      </c>
      <c r="D5" s="11">
        <v>45086</v>
      </c>
      <c r="E5" s="12">
        <v>178500</v>
      </c>
      <c r="F5" s="10" t="s">
        <v>32</v>
      </c>
      <c r="G5" s="10" t="s">
        <v>33</v>
      </c>
      <c r="H5" s="12">
        <v>178500</v>
      </c>
      <c r="I5" s="12">
        <v>75300</v>
      </c>
      <c r="J5" s="13">
        <f t="shared" si="0"/>
        <v>42.184873949579831</v>
      </c>
      <c r="K5" s="12">
        <v>189134</v>
      </c>
      <c r="L5" s="12">
        <f>H5-178572</f>
        <v>-72</v>
      </c>
      <c r="M5" s="12">
        <v>10562</v>
      </c>
      <c r="N5" s="66">
        <f t="shared" si="1"/>
        <v>5.9170868347338937E-2</v>
      </c>
      <c r="O5" s="14">
        <v>58.67</v>
      </c>
      <c r="P5" s="15">
        <v>191.28</v>
      </c>
      <c r="Q5" s="16">
        <v>0.26300000000000001</v>
      </c>
      <c r="R5" s="16">
        <v>0.26300000000000001</v>
      </c>
      <c r="S5" s="12">
        <f t="shared" si="2"/>
        <v>-1.2272029998295551</v>
      </c>
      <c r="T5" s="12">
        <f t="shared" si="3"/>
        <v>-273.76425855513304</v>
      </c>
      <c r="U5" s="17">
        <f t="shared" si="4"/>
        <v>-6.2847625930930453E-3</v>
      </c>
      <c r="V5" s="16">
        <v>60</v>
      </c>
      <c r="W5" s="16">
        <f t="shared" si="5"/>
        <v>35700</v>
      </c>
      <c r="X5" s="16">
        <f t="shared" si="6"/>
        <v>595</v>
      </c>
      <c r="Y5" s="18" t="s">
        <v>1193</v>
      </c>
      <c r="Z5" s="10" t="s">
        <v>35</v>
      </c>
      <c r="AA5" s="10" t="s">
        <v>35</v>
      </c>
      <c r="AB5" s="10" t="s">
        <v>1194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1194</v>
      </c>
      <c r="B6" s="19" t="s">
        <v>1525</v>
      </c>
      <c r="C6" s="19" t="s">
        <v>1526</v>
      </c>
      <c r="D6" s="20">
        <v>45474</v>
      </c>
      <c r="E6" s="21">
        <v>226000</v>
      </c>
      <c r="F6" s="19" t="s">
        <v>32</v>
      </c>
      <c r="G6" s="19" t="s">
        <v>33</v>
      </c>
      <c r="H6" s="21">
        <v>226000</v>
      </c>
      <c r="I6" s="21">
        <v>94200</v>
      </c>
      <c r="J6" s="22">
        <f t="shared" si="0"/>
        <v>41.681415929203538</v>
      </c>
      <c r="K6" s="21">
        <v>226041</v>
      </c>
      <c r="L6" s="21">
        <f>H6-208882</f>
        <v>17118</v>
      </c>
      <c r="M6" s="21">
        <v>17159</v>
      </c>
      <c r="N6" s="67">
        <f t="shared" si="1"/>
        <v>7.5924778761061948E-2</v>
      </c>
      <c r="O6" s="23">
        <v>95.32</v>
      </c>
      <c r="P6" s="24">
        <v>283.36</v>
      </c>
      <c r="Q6" s="25">
        <v>0.52100000000000002</v>
      </c>
      <c r="R6" s="25">
        <v>0.52100000000000002</v>
      </c>
      <c r="S6" s="21">
        <f t="shared" si="2"/>
        <v>179.58455728073858</v>
      </c>
      <c r="T6" s="21">
        <f t="shared" si="3"/>
        <v>32856.046065259114</v>
      </c>
      <c r="U6" s="26">
        <f t="shared" si="4"/>
        <v>0.75427102996462614</v>
      </c>
      <c r="V6" s="25">
        <v>80.13</v>
      </c>
      <c r="W6" s="25">
        <f t="shared" si="5"/>
        <v>45200</v>
      </c>
      <c r="X6" s="25">
        <f t="shared" si="6"/>
        <v>564.0833645326345</v>
      </c>
      <c r="Y6" s="27" t="s">
        <v>1193</v>
      </c>
      <c r="Z6" s="19" t="s">
        <v>35</v>
      </c>
      <c r="AA6" s="19" t="s">
        <v>35</v>
      </c>
      <c r="AB6" s="19" t="s">
        <v>1194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1194</v>
      </c>
      <c r="B7" s="19" t="s">
        <v>1519</v>
      </c>
      <c r="C7" s="19" t="s">
        <v>1520</v>
      </c>
      <c r="D7" s="20">
        <v>45351</v>
      </c>
      <c r="E7" s="21">
        <v>340000</v>
      </c>
      <c r="F7" s="19" t="s">
        <v>32</v>
      </c>
      <c r="G7" s="19" t="s">
        <v>33</v>
      </c>
      <c r="H7" s="21">
        <v>340000</v>
      </c>
      <c r="I7" s="21">
        <v>141900</v>
      </c>
      <c r="J7" s="22">
        <f t="shared" si="0"/>
        <v>41.735294117647058</v>
      </c>
      <c r="K7" s="21">
        <v>332811</v>
      </c>
      <c r="L7" s="21">
        <f>H7-306046</f>
        <v>33954</v>
      </c>
      <c r="M7" s="21">
        <v>26765</v>
      </c>
      <c r="N7" s="67">
        <f t="shared" si="1"/>
        <v>7.8720588235294112E-2</v>
      </c>
      <c r="O7" s="23">
        <v>148.69</v>
      </c>
      <c r="P7" s="24">
        <v>655.94</v>
      </c>
      <c r="Q7" s="25">
        <v>1.228</v>
      </c>
      <c r="R7" s="25">
        <v>1.228</v>
      </c>
      <c r="S7" s="21">
        <f t="shared" si="2"/>
        <v>228.35429416907661</v>
      </c>
      <c r="T7" s="21">
        <f t="shared" si="3"/>
        <v>27649.837133550489</v>
      </c>
      <c r="U7" s="26">
        <f t="shared" si="4"/>
        <v>0.63475291858472194</v>
      </c>
      <c r="V7" s="25">
        <v>83.16</v>
      </c>
      <c r="W7" s="25">
        <f t="shared" si="5"/>
        <v>68000</v>
      </c>
      <c r="X7" s="25">
        <f t="shared" si="6"/>
        <v>817.70081770081777</v>
      </c>
      <c r="Y7" s="27" t="s">
        <v>1193</v>
      </c>
      <c r="Z7" s="19" t="s">
        <v>35</v>
      </c>
      <c r="AA7" s="19" t="s">
        <v>35</v>
      </c>
      <c r="AB7" s="19" t="s">
        <v>1194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1194</v>
      </c>
      <c r="B8" s="10" t="s">
        <v>1287</v>
      </c>
      <c r="C8" s="10" t="s">
        <v>1288</v>
      </c>
      <c r="D8" s="11">
        <v>45588</v>
      </c>
      <c r="E8" s="12">
        <v>262500</v>
      </c>
      <c r="F8" s="10" t="s">
        <v>32</v>
      </c>
      <c r="G8" s="10" t="s">
        <v>33</v>
      </c>
      <c r="H8" s="12">
        <v>262500</v>
      </c>
      <c r="I8" s="12">
        <v>106600</v>
      </c>
      <c r="J8" s="13">
        <f t="shared" si="0"/>
        <v>40.609523809523814</v>
      </c>
      <c r="K8" s="12">
        <v>254408</v>
      </c>
      <c r="L8" s="12">
        <f>H8-239856</f>
        <v>22644</v>
      </c>
      <c r="M8" s="12">
        <v>14552</v>
      </c>
      <c r="N8" s="66">
        <f t="shared" si="1"/>
        <v>5.5436190476190479E-2</v>
      </c>
      <c r="O8" s="14">
        <v>80.84</v>
      </c>
      <c r="P8" s="15">
        <v>130.5</v>
      </c>
      <c r="Q8" s="16">
        <v>0.3</v>
      </c>
      <c r="R8" s="16">
        <v>0.3</v>
      </c>
      <c r="S8" s="12">
        <f t="shared" si="2"/>
        <v>280.10885700148441</v>
      </c>
      <c r="T8" s="12">
        <f t="shared" si="3"/>
        <v>75480</v>
      </c>
      <c r="U8" s="17">
        <f t="shared" si="4"/>
        <v>1.7327823691460056</v>
      </c>
      <c r="V8" s="16">
        <v>100</v>
      </c>
      <c r="W8" s="16">
        <f t="shared" si="5"/>
        <v>52500</v>
      </c>
      <c r="X8" s="16">
        <f t="shared" si="6"/>
        <v>525</v>
      </c>
      <c r="Y8" s="18" t="s">
        <v>1193</v>
      </c>
      <c r="Z8" s="10" t="s">
        <v>35</v>
      </c>
      <c r="AA8" s="10" t="s">
        <v>35</v>
      </c>
      <c r="AB8" s="10" t="s">
        <v>1194</v>
      </c>
      <c r="AC8" s="10">
        <v>0</v>
      </c>
      <c r="AD8" s="10">
        <v>1</v>
      </c>
      <c r="AE8" s="10" t="s">
        <v>42</v>
      </c>
      <c r="AF8" s="10" t="s">
        <v>35</v>
      </c>
      <c r="AG8" s="10" t="s">
        <v>38</v>
      </c>
      <c r="AH8" s="10" t="s">
        <v>92</v>
      </c>
    </row>
    <row r="9" spans="1:34" x14ac:dyDescent="0.3">
      <c r="A9" s="74" t="s">
        <v>1194</v>
      </c>
      <c r="B9" s="10" t="s">
        <v>1517</v>
      </c>
      <c r="C9" s="10" t="s">
        <v>1518</v>
      </c>
      <c r="D9" s="11">
        <v>45355</v>
      </c>
      <c r="E9" s="12">
        <v>338000</v>
      </c>
      <c r="F9" s="10" t="s">
        <v>32</v>
      </c>
      <c r="G9" s="10" t="s">
        <v>33</v>
      </c>
      <c r="H9" s="12">
        <v>338000</v>
      </c>
      <c r="I9" s="12">
        <v>122900</v>
      </c>
      <c r="J9" s="13">
        <f t="shared" si="0"/>
        <v>36.360946745562131</v>
      </c>
      <c r="K9" s="12">
        <v>284313</v>
      </c>
      <c r="L9" s="12">
        <f>H9-259721</f>
        <v>78279</v>
      </c>
      <c r="M9" s="12">
        <v>24592</v>
      </c>
      <c r="N9" s="66">
        <f t="shared" si="1"/>
        <v>7.2757396449704137E-2</v>
      </c>
      <c r="O9" s="14">
        <v>136.62</v>
      </c>
      <c r="P9" s="15">
        <v>582.54</v>
      </c>
      <c r="Q9" s="16">
        <v>1.0640000000000001</v>
      </c>
      <c r="R9" s="16">
        <v>1.0640000000000001</v>
      </c>
      <c r="S9" s="12">
        <f t="shared" si="2"/>
        <v>572.96881862099247</v>
      </c>
      <c r="T9" s="12">
        <f t="shared" si="3"/>
        <v>73570.488721804504</v>
      </c>
      <c r="U9" s="17">
        <f t="shared" si="4"/>
        <v>1.6889460220799932</v>
      </c>
      <c r="V9" s="16">
        <v>81.08</v>
      </c>
      <c r="W9" s="16">
        <f t="shared" si="5"/>
        <v>67600</v>
      </c>
      <c r="X9" s="16">
        <f t="shared" si="6"/>
        <v>833.74444992599899</v>
      </c>
      <c r="Y9" s="18" t="s">
        <v>1193</v>
      </c>
      <c r="Z9" s="10" t="s">
        <v>35</v>
      </c>
      <c r="AA9" s="10" t="s">
        <v>35</v>
      </c>
      <c r="AB9" s="10" t="s">
        <v>1194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1194</v>
      </c>
      <c r="B10" s="19" t="s">
        <v>1289</v>
      </c>
      <c r="C10" s="19" t="s">
        <v>1290</v>
      </c>
      <c r="D10" s="20">
        <v>45595</v>
      </c>
      <c r="E10" s="21">
        <v>345000</v>
      </c>
      <c r="F10" s="19" t="s">
        <v>32</v>
      </c>
      <c r="G10" s="19" t="s">
        <v>33</v>
      </c>
      <c r="H10" s="21">
        <v>345000</v>
      </c>
      <c r="I10" s="21">
        <v>136900</v>
      </c>
      <c r="J10" s="22">
        <f t="shared" si="0"/>
        <v>39.681159420289859</v>
      </c>
      <c r="K10" s="21">
        <v>304119</v>
      </c>
      <c r="L10" s="21">
        <f>H10-287887</f>
        <v>57113</v>
      </c>
      <c r="M10" s="21">
        <v>16232</v>
      </c>
      <c r="N10" s="67">
        <f t="shared" si="1"/>
        <v>4.7049275362318843E-2</v>
      </c>
      <c r="O10" s="23">
        <v>90.17</v>
      </c>
      <c r="P10" s="24">
        <v>254.12</v>
      </c>
      <c r="Q10" s="25">
        <v>0.46700000000000003</v>
      </c>
      <c r="R10" s="25">
        <v>0.46700000000000003</v>
      </c>
      <c r="S10" s="21">
        <f t="shared" si="2"/>
        <v>633.39248086946873</v>
      </c>
      <c r="T10" s="21">
        <f t="shared" si="3"/>
        <v>122297.64453961456</v>
      </c>
      <c r="U10" s="26">
        <f t="shared" si="4"/>
        <v>2.8075675973281577</v>
      </c>
      <c r="V10" s="25">
        <v>80</v>
      </c>
      <c r="W10" s="25">
        <f t="shared" si="5"/>
        <v>69000</v>
      </c>
      <c r="X10" s="25">
        <f t="shared" si="6"/>
        <v>862.5</v>
      </c>
      <c r="Y10" s="27" t="s">
        <v>1193</v>
      </c>
      <c r="Z10" s="19" t="s">
        <v>35</v>
      </c>
      <c r="AA10" s="19" t="s">
        <v>35</v>
      </c>
      <c r="AB10" s="19" t="s">
        <v>1194</v>
      </c>
      <c r="AC10" s="19">
        <v>0</v>
      </c>
      <c r="AD10" s="19">
        <v>1</v>
      </c>
      <c r="AE10" s="19" t="s">
        <v>464</v>
      </c>
      <c r="AF10" s="19" t="s">
        <v>35</v>
      </c>
      <c r="AG10" s="19" t="s">
        <v>38</v>
      </c>
      <c r="AH10" s="19" t="s">
        <v>92</v>
      </c>
    </row>
    <row r="11" spans="1:34" x14ac:dyDescent="0.3">
      <c r="A11" s="74" t="s">
        <v>1194</v>
      </c>
      <c r="B11" s="10" t="s">
        <v>1531</v>
      </c>
      <c r="C11" s="10" t="s">
        <v>1532</v>
      </c>
      <c r="D11" s="11">
        <v>45231</v>
      </c>
      <c r="E11" s="12">
        <v>439000</v>
      </c>
      <c r="F11" s="10" t="s">
        <v>32</v>
      </c>
      <c r="G11" s="10" t="s">
        <v>33</v>
      </c>
      <c r="H11" s="12">
        <v>439000</v>
      </c>
      <c r="I11" s="12">
        <v>158900</v>
      </c>
      <c r="J11" s="13">
        <f t="shared" si="0"/>
        <v>36.195899772209565</v>
      </c>
      <c r="K11" s="12">
        <v>378148</v>
      </c>
      <c r="L11" s="12">
        <f>H11-355912</f>
        <v>83088</v>
      </c>
      <c r="M11" s="12">
        <v>22236</v>
      </c>
      <c r="N11" s="66">
        <f t="shared" si="1"/>
        <v>5.0651480637813211E-2</v>
      </c>
      <c r="O11" s="14">
        <v>123.53</v>
      </c>
      <c r="P11" s="15">
        <v>453.47</v>
      </c>
      <c r="Q11" s="16">
        <v>0.84899999999999998</v>
      </c>
      <c r="R11" s="16">
        <v>0.84899999999999998</v>
      </c>
      <c r="S11" s="12">
        <f t="shared" si="2"/>
        <v>672.61393993361935</v>
      </c>
      <c r="T11" s="12">
        <f t="shared" si="3"/>
        <v>97865.724381625449</v>
      </c>
      <c r="U11" s="17">
        <f t="shared" si="4"/>
        <v>2.2466878875487937</v>
      </c>
      <c r="V11" s="16">
        <v>83.06</v>
      </c>
      <c r="W11" s="16">
        <f t="shared" si="5"/>
        <v>87800</v>
      </c>
      <c r="X11" s="16">
        <f t="shared" si="6"/>
        <v>1057.0671803515531</v>
      </c>
      <c r="Y11" s="18" t="s">
        <v>1193</v>
      </c>
      <c r="Z11" s="10" t="s">
        <v>35</v>
      </c>
      <c r="AA11" s="10" t="s">
        <v>35</v>
      </c>
      <c r="AB11" s="10" t="s">
        <v>1194</v>
      </c>
      <c r="AC11" s="10">
        <v>0</v>
      </c>
      <c r="AD11" s="10">
        <v>1</v>
      </c>
      <c r="AE11" s="10" t="s">
        <v>1533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1194</v>
      </c>
      <c r="B12" s="19" t="s">
        <v>1197</v>
      </c>
      <c r="C12" s="19" t="s">
        <v>1198</v>
      </c>
      <c r="D12" s="20">
        <v>45561</v>
      </c>
      <c r="E12" s="21">
        <v>275000</v>
      </c>
      <c r="F12" s="19" t="s">
        <v>32</v>
      </c>
      <c r="G12" s="19" t="s">
        <v>33</v>
      </c>
      <c r="H12" s="21">
        <v>275000</v>
      </c>
      <c r="I12" s="21">
        <v>95200</v>
      </c>
      <c r="J12" s="22">
        <f t="shared" si="0"/>
        <v>34.618181818181817</v>
      </c>
      <c r="K12" s="21">
        <v>227472</v>
      </c>
      <c r="L12" s="21">
        <f>H12-211453</f>
        <v>63547</v>
      </c>
      <c r="M12" s="21">
        <v>16019</v>
      </c>
      <c r="N12" s="67">
        <f t="shared" si="1"/>
        <v>5.8250909090909089E-2</v>
      </c>
      <c r="O12" s="23">
        <v>88.99</v>
      </c>
      <c r="P12" s="24">
        <v>110</v>
      </c>
      <c r="Q12" s="25">
        <v>0.30299999999999999</v>
      </c>
      <c r="R12" s="25">
        <v>0.30299999999999999</v>
      </c>
      <c r="S12" s="21">
        <f t="shared" si="2"/>
        <v>714.09147095179242</v>
      </c>
      <c r="T12" s="21">
        <f t="shared" si="3"/>
        <v>209726.07260726072</v>
      </c>
      <c r="U12" s="26">
        <f t="shared" si="4"/>
        <v>4.8146481314798146</v>
      </c>
      <c r="V12" s="25">
        <v>120</v>
      </c>
      <c r="W12" s="25">
        <f t="shared" si="5"/>
        <v>55000</v>
      </c>
      <c r="X12" s="25">
        <f t="shared" si="6"/>
        <v>458.33333333333331</v>
      </c>
      <c r="Y12" s="27" t="s">
        <v>1193</v>
      </c>
      <c r="Z12" s="19" t="s">
        <v>35</v>
      </c>
      <c r="AA12" s="19" t="s">
        <v>35</v>
      </c>
      <c r="AB12" s="19" t="s">
        <v>1194</v>
      </c>
      <c r="AC12" s="19">
        <v>0</v>
      </c>
      <c r="AD12" s="19">
        <v>1</v>
      </c>
      <c r="AE12" s="19" t="s">
        <v>37</v>
      </c>
      <c r="AF12" s="19" t="s">
        <v>35</v>
      </c>
      <c r="AG12" s="19" t="s">
        <v>38</v>
      </c>
      <c r="AH12" s="19" t="s">
        <v>92</v>
      </c>
    </row>
    <row r="13" spans="1:34" x14ac:dyDescent="0.3">
      <c r="A13" s="75" t="s">
        <v>1194</v>
      </c>
      <c r="B13" s="19" t="s">
        <v>1527</v>
      </c>
      <c r="C13" s="19" t="s">
        <v>1528</v>
      </c>
      <c r="D13" s="20">
        <v>45609</v>
      </c>
      <c r="E13" s="21">
        <v>255000</v>
      </c>
      <c r="F13" s="19" t="s">
        <v>32</v>
      </c>
      <c r="G13" s="19" t="s">
        <v>33</v>
      </c>
      <c r="H13" s="21">
        <v>255000</v>
      </c>
      <c r="I13" s="21">
        <v>85000</v>
      </c>
      <c r="J13" s="22">
        <f t="shared" si="0"/>
        <v>33.333333333333329</v>
      </c>
      <c r="K13" s="21">
        <v>201297</v>
      </c>
      <c r="L13" s="21">
        <f>H13-184577</f>
        <v>70423</v>
      </c>
      <c r="M13" s="21">
        <v>16720</v>
      </c>
      <c r="N13" s="67">
        <f t="shared" si="1"/>
        <v>6.5568627450980396E-2</v>
      </c>
      <c r="O13" s="23">
        <v>92.88</v>
      </c>
      <c r="P13" s="24">
        <v>250</v>
      </c>
      <c r="Q13" s="25">
        <v>0.47699999999999998</v>
      </c>
      <c r="R13" s="25">
        <v>0.47699999999999998</v>
      </c>
      <c r="S13" s="21">
        <f t="shared" si="2"/>
        <v>758.21490094745911</v>
      </c>
      <c r="T13" s="21">
        <f t="shared" si="3"/>
        <v>147637.31656184487</v>
      </c>
      <c r="U13" s="26">
        <f t="shared" si="4"/>
        <v>3.3892864224482295</v>
      </c>
      <c r="V13" s="25">
        <v>83.08</v>
      </c>
      <c r="W13" s="25">
        <f t="shared" si="5"/>
        <v>51000</v>
      </c>
      <c r="X13" s="25">
        <f t="shared" si="6"/>
        <v>613.8661531054405</v>
      </c>
      <c r="Y13" s="27" t="s">
        <v>1193</v>
      </c>
      <c r="Z13" s="19" t="s">
        <v>35</v>
      </c>
      <c r="AA13" s="19" t="s">
        <v>35</v>
      </c>
      <c r="AB13" s="19" t="s">
        <v>1194</v>
      </c>
      <c r="AC13" s="19">
        <v>0</v>
      </c>
      <c r="AD13" s="19">
        <v>1</v>
      </c>
      <c r="AE13" s="19" t="s">
        <v>42</v>
      </c>
      <c r="AF13" s="19" t="s">
        <v>35</v>
      </c>
      <c r="AG13" s="19" t="s">
        <v>38</v>
      </c>
      <c r="AH13" s="19" t="s">
        <v>92</v>
      </c>
    </row>
    <row r="14" spans="1:34" x14ac:dyDescent="0.3">
      <c r="A14" s="74" t="s">
        <v>1194</v>
      </c>
      <c r="B14" s="10" t="s">
        <v>1523</v>
      </c>
      <c r="C14" s="10" t="s">
        <v>1524</v>
      </c>
      <c r="D14" s="11">
        <v>45604</v>
      </c>
      <c r="E14" s="12">
        <v>225000</v>
      </c>
      <c r="F14" s="10" t="s">
        <v>32</v>
      </c>
      <c r="G14" s="10" t="s">
        <v>33</v>
      </c>
      <c r="H14" s="12">
        <v>225000</v>
      </c>
      <c r="I14" s="12">
        <v>78700</v>
      </c>
      <c r="J14" s="13">
        <f t="shared" si="0"/>
        <v>34.977777777777781</v>
      </c>
      <c r="K14" s="12">
        <v>189134</v>
      </c>
      <c r="L14" s="12">
        <f>H14-178572</f>
        <v>46428</v>
      </c>
      <c r="M14" s="12">
        <v>10562</v>
      </c>
      <c r="N14" s="66">
        <f t="shared" si="1"/>
        <v>4.6942222222222225E-2</v>
      </c>
      <c r="O14" s="14">
        <v>58.67</v>
      </c>
      <c r="P14" s="15">
        <v>191.28</v>
      </c>
      <c r="Q14" s="16">
        <v>0.26300000000000001</v>
      </c>
      <c r="R14" s="16">
        <v>0.26300000000000001</v>
      </c>
      <c r="S14" s="12">
        <f t="shared" si="2"/>
        <v>791.34140105675806</v>
      </c>
      <c r="T14" s="12">
        <f t="shared" si="3"/>
        <v>176532.31939163498</v>
      </c>
      <c r="U14" s="17">
        <f t="shared" si="4"/>
        <v>4.0526244121128325</v>
      </c>
      <c r="V14" s="16">
        <v>60</v>
      </c>
      <c r="W14" s="16">
        <f t="shared" si="5"/>
        <v>45000</v>
      </c>
      <c r="X14" s="16">
        <f t="shared" si="6"/>
        <v>750</v>
      </c>
      <c r="Y14" s="18" t="s">
        <v>1193</v>
      </c>
      <c r="Z14" s="10" t="s">
        <v>35</v>
      </c>
      <c r="AA14" s="10" t="s">
        <v>35</v>
      </c>
      <c r="AB14" s="10" t="s">
        <v>1194</v>
      </c>
      <c r="AC14" s="10">
        <v>0</v>
      </c>
      <c r="AD14" s="10">
        <v>1</v>
      </c>
      <c r="AE14" s="10" t="s">
        <v>37</v>
      </c>
      <c r="AF14" s="10" t="s">
        <v>35</v>
      </c>
      <c r="AG14" s="10" t="s">
        <v>38</v>
      </c>
      <c r="AH14" s="10" t="s">
        <v>92</v>
      </c>
    </row>
    <row r="15" spans="1:34" ht="15" thickBot="1" x14ac:dyDescent="0.35">
      <c r="A15" s="74" t="s">
        <v>1194</v>
      </c>
      <c r="B15" s="10" t="s">
        <v>1191</v>
      </c>
      <c r="C15" s="10" t="s">
        <v>1192</v>
      </c>
      <c r="D15" s="11">
        <v>45051</v>
      </c>
      <c r="E15" s="12">
        <v>175000</v>
      </c>
      <c r="F15" s="10" t="s">
        <v>32</v>
      </c>
      <c r="G15" s="10" t="s">
        <v>33</v>
      </c>
      <c r="H15" s="12">
        <v>175000</v>
      </c>
      <c r="I15" s="12">
        <v>62900</v>
      </c>
      <c r="J15" s="13">
        <f t="shared" si="0"/>
        <v>35.942857142857143</v>
      </c>
      <c r="K15" s="12">
        <v>152281</v>
      </c>
      <c r="L15" s="12">
        <f>H15-146941</f>
        <v>28059</v>
      </c>
      <c r="M15" s="12">
        <v>5340</v>
      </c>
      <c r="N15" s="66">
        <f t="shared" si="1"/>
        <v>3.0514285714285716E-2</v>
      </c>
      <c r="O15" s="14">
        <v>29.66</v>
      </c>
      <c r="P15" s="15">
        <v>110</v>
      </c>
      <c r="Q15" s="16">
        <v>0.10100000000000001</v>
      </c>
      <c r="R15" s="16">
        <v>0.10100000000000001</v>
      </c>
      <c r="S15" s="12">
        <f t="shared" si="2"/>
        <v>946.02157788267027</v>
      </c>
      <c r="T15" s="12">
        <f t="shared" si="3"/>
        <v>277811.88118811877</v>
      </c>
      <c r="U15" s="17">
        <f t="shared" si="4"/>
        <v>6.3776832228677405</v>
      </c>
      <c r="V15" s="16">
        <v>40</v>
      </c>
      <c r="W15" s="16">
        <f t="shared" si="5"/>
        <v>35000</v>
      </c>
      <c r="X15" s="16">
        <f t="shared" si="6"/>
        <v>875</v>
      </c>
      <c r="Y15" s="18" t="s">
        <v>1193</v>
      </c>
      <c r="Z15" s="10" t="s">
        <v>35</v>
      </c>
      <c r="AA15" s="10" t="s">
        <v>35</v>
      </c>
      <c r="AB15" s="10" t="s">
        <v>1194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ht="15" thickTop="1" x14ac:dyDescent="0.3">
      <c r="A16" s="76"/>
      <c r="B16" s="37"/>
      <c r="C16" s="37"/>
      <c r="D16" s="38" t="s">
        <v>2876</v>
      </c>
      <c r="E16" s="39">
        <f>+SUM(E2:E15)</f>
        <v>3610000</v>
      </c>
      <c r="F16" s="37"/>
      <c r="G16" s="37"/>
      <c r="H16" s="39">
        <f>+SUM(H2:H15)</f>
        <v>3610000</v>
      </c>
      <c r="I16" s="39">
        <f>+SUM(I2:I15)</f>
        <v>1434700</v>
      </c>
      <c r="J16" s="40"/>
      <c r="K16" s="39">
        <f>+SUM(K2:K15)</f>
        <v>3387565</v>
      </c>
      <c r="L16" s="39">
        <f>+SUM(L2:L15)</f>
        <v>447548</v>
      </c>
      <c r="M16" s="39">
        <f>+SUM(M2:M15)</f>
        <v>225113</v>
      </c>
      <c r="N16" s="81">
        <f>AVERAGE(N2:N15)</f>
        <v>6.3631906639551511E-2</v>
      </c>
      <c r="O16" s="41">
        <f>+SUM(O2:O15)</f>
        <v>1250.55</v>
      </c>
      <c r="P16" s="42"/>
      <c r="Q16" s="43">
        <f>+SUM(Q2:Q15)</f>
        <v>7.1049999999999995</v>
      </c>
      <c r="R16" s="43">
        <f>+SUM(R2:R15)</f>
        <v>7.1049999999999995</v>
      </c>
      <c r="S16" s="39"/>
      <c r="T16" s="39"/>
      <c r="U16" s="44"/>
      <c r="V16" s="43"/>
      <c r="W16" s="82">
        <f>AVERAGE(W2:W15)</f>
        <v>51571.428571428572</v>
      </c>
      <c r="X16" s="83">
        <f>AVERAGE(X2:X15)</f>
        <v>669.37558996257599</v>
      </c>
      <c r="Y16" s="45"/>
      <c r="Z16" s="37"/>
      <c r="AA16" s="37"/>
      <c r="AB16" s="37"/>
      <c r="AC16" s="37"/>
      <c r="AD16" s="37"/>
      <c r="AE16" s="37"/>
      <c r="AF16" s="37"/>
      <c r="AG16" s="37"/>
      <c r="AH16" s="37"/>
    </row>
    <row r="17" spans="1:34" x14ac:dyDescent="0.3">
      <c r="A17" s="77"/>
      <c r="B17" s="28"/>
      <c r="C17" s="28"/>
      <c r="D17" s="29"/>
      <c r="E17" s="30"/>
      <c r="F17" s="28"/>
      <c r="G17" s="28"/>
      <c r="H17" s="30"/>
      <c r="I17" s="30" t="s">
        <v>2877</v>
      </c>
      <c r="J17" s="31">
        <f>I16/H16*100</f>
        <v>39.742382271468145</v>
      </c>
      <c r="K17" s="30"/>
      <c r="L17" s="30"/>
      <c r="M17" s="30" t="s">
        <v>2879</v>
      </c>
      <c r="N17" s="79"/>
      <c r="O17" s="32"/>
      <c r="P17" s="33"/>
      <c r="Q17" s="34" t="s">
        <v>2879</v>
      </c>
      <c r="R17" s="34"/>
      <c r="S17" s="30"/>
      <c r="T17" s="30" t="s">
        <v>2879</v>
      </c>
      <c r="U17" s="35"/>
      <c r="V17" s="34"/>
      <c r="W17" s="63"/>
      <c r="X17" s="68"/>
      <c r="Y17" s="36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x14ac:dyDescent="0.3">
      <c r="A18" s="78"/>
      <c r="B18" s="46"/>
      <c r="C18" s="46"/>
      <c r="D18" s="47"/>
      <c r="E18" s="48"/>
      <c r="F18" s="46"/>
      <c r="G18" s="46"/>
      <c r="H18" s="48"/>
      <c r="I18" s="48" t="s">
        <v>2878</v>
      </c>
      <c r="J18" s="49">
        <f>STDEV(J2:J15)</f>
        <v>6.3561738163233885</v>
      </c>
      <c r="K18" s="48"/>
      <c r="L18" s="48"/>
      <c r="M18" s="48" t="s">
        <v>2880</v>
      </c>
      <c r="N18" s="80"/>
      <c r="O18" s="54">
        <f>L16/O16</f>
        <v>357.88093238974852</v>
      </c>
      <c r="P18" s="50"/>
      <c r="Q18" s="51" t="s">
        <v>2881</v>
      </c>
      <c r="R18" s="51">
        <f>L16/Q16</f>
        <v>62990.570021111896</v>
      </c>
      <c r="S18" s="48"/>
      <c r="T18" s="48" t="s">
        <v>2882</v>
      </c>
      <c r="U18" s="52">
        <f>L16/Q16/43560</f>
        <v>1.446064509208262</v>
      </c>
      <c r="V18" s="51"/>
      <c r="W18" s="64"/>
      <c r="X18" s="69"/>
      <c r="Y18" s="53"/>
      <c r="Z18" s="46"/>
      <c r="AA18" s="46"/>
      <c r="AB18" s="46"/>
      <c r="AC18" s="46"/>
      <c r="AD18" s="46"/>
      <c r="AE18" s="46"/>
      <c r="AF18" s="46"/>
      <c r="AG18" s="46"/>
      <c r="AH18" s="46"/>
    </row>
    <row r="19" spans="1:34" x14ac:dyDescent="0.3">
      <c r="E19" s="94" t="s">
        <v>3099</v>
      </c>
      <c r="L19" s="95"/>
    </row>
    <row r="20" spans="1:34" x14ac:dyDescent="0.3">
      <c r="E20" s="383" t="s">
        <v>3163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3164</v>
      </c>
      <c r="F21" s="383"/>
      <c r="G21" s="383"/>
      <c r="H21" s="383"/>
      <c r="I21" s="383"/>
      <c r="J21" s="383"/>
      <c r="K21" s="383"/>
      <c r="L21" s="383"/>
    </row>
    <row r="22" spans="1:34" x14ac:dyDescent="0.3">
      <c r="E22" s="383" t="s">
        <v>3165</v>
      </c>
      <c r="F22" s="383"/>
      <c r="G22" s="383"/>
      <c r="H22" s="383"/>
      <c r="I22" s="383"/>
      <c r="J22" s="383"/>
      <c r="K22" s="383"/>
      <c r="L22" s="383"/>
    </row>
    <row r="23" spans="1:34" x14ac:dyDescent="0.3">
      <c r="E23" s="383" t="s">
        <v>3166</v>
      </c>
      <c r="F23" s="383"/>
      <c r="G23" s="383"/>
      <c r="H23" s="383"/>
      <c r="I23" s="383"/>
      <c r="J23" s="96"/>
      <c r="K23" s="96"/>
      <c r="L23" s="96"/>
    </row>
    <row r="24" spans="1:34" x14ac:dyDescent="0.3">
      <c r="E24" s="383" t="s">
        <v>3167</v>
      </c>
      <c r="F24" s="383"/>
      <c r="G24" s="383"/>
      <c r="H24" s="383"/>
      <c r="I24" s="383"/>
      <c r="L24" s="95"/>
    </row>
    <row r="25" spans="1:34" x14ac:dyDescent="0.3">
      <c r="E25" s="383" t="s">
        <v>3100</v>
      </c>
      <c r="F25" s="383"/>
      <c r="G25" s="383"/>
      <c r="H25" s="383"/>
      <c r="I25" s="383"/>
      <c r="L25" s="95"/>
    </row>
    <row r="26" spans="1:34" x14ac:dyDescent="0.3">
      <c r="E26" s="96"/>
      <c r="F26" s="96"/>
      <c r="G26" s="96"/>
      <c r="H26" s="96"/>
      <c r="I26" s="96"/>
      <c r="L26" s="95"/>
    </row>
    <row r="27" spans="1:34" x14ac:dyDescent="0.3">
      <c r="A27" s="55" t="s">
        <v>3092</v>
      </c>
      <c r="E27" s="96"/>
      <c r="F27" s="96"/>
      <c r="G27" s="96"/>
      <c r="H27" s="96"/>
      <c r="I27" s="96"/>
      <c r="L27" s="95"/>
    </row>
    <row r="28" spans="1:34" x14ac:dyDescent="0.3">
      <c r="A28" s="74" t="s">
        <v>1194</v>
      </c>
      <c r="B28" s="10" t="s">
        <v>1287</v>
      </c>
      <c r="C28" s="10" t="s">
        <v>1288</v>
      </c>
      <c r="D28" s="11">
        <v>45443</v>
      </c>
      <c r="E28" s="12">
        <v>60000</v>
      </c>
      <c r="F28" s="10" t="s">
        <v>81</v>
      </c>
      <c r="G28" s="10" t="s">
        <v>33</v>
      </c>
      <c r="H28" s="12">
        <v>60000</v>
      </c>
      <c r="I28" s="12">
        <v>106600</v>
      </c>
      <c r="J28" s="13">
        <f>I28/H28*100</f>
        <v>177.66666666666666</v>
      </c>
      <c r="K28" s="12">
        <v>254408</v>
      </c>
      <c r="L28" s="12">
        <f>H28-239856</f>
        <v>-179856</v>
      </c>
      <c r="M28" s="12">
        <v>14552</v>
      </c>
      <c r="N28" s="66">
        <f>M28/E28</f>
        <v>0.24253333333333332</v>
      </c>
      <c r="O28" s="14">
        <v>80.84</v>
      </c>
      <c r="P28" s="15">
        <v>130.5</v>
      </c>
      <c r="Q28" s="16">
        <v>0.3</v>
      </c>
      <c r="R28" s="16">
        <v>0.3</v>
      </c>
      <c r="S28" s="12">
        <f>L28/O28</f>
        <v>-2224.8391885205342</v>
      </c>
      <c r="T28" s="12">
        <f>L28/Q28</f>
        <v>-599520</v>
      </c>
      <c r="U28" s="17">
        <f>L28/Q28/43560</f>
        <v>-13.763085399449036</v>
      </c>
      <c r="V28" s="16">
        <v>100</v>
      </c>
      <c r="W28" s="16">
        <f>0.2*E28</f>
        <v>12000</v>
      </c>
      <c r="X28" s="16">
        <f>W28/V28</f>
        <v>120</v>
      </c>
      <c r="Y28" s="18" t="s">
        <v>1193</v>
      </c>
      <c r="Z28" s="10" t="s">
        <v>35</v>
      </c>
      <c r="AA28" s="10" t="s">
        <v>35</v>
      </c>
      <c r="AB28" s="10" t="s">
        <v>1194</v>
      </c>
      <c r="AC28" s="10">
        <v>0</v>
      </c>
      <c r="AD28" s="10">
        <v>1</v>
      </c>
      <c r="AE28" s="10" t="s">
        <v>42</v>
      </c>
      <c r="AF28" s="10" t="s">
        <v>43</v>
      </c>
      <c r="AG28" s="10" t="s">
        <v>38</v>
      </c>
      <c r="AH28" s="10" t="s">
        <v>92</v>
      </c>
    </row>
    <row r="29" spans="1:34" x14ac:dyDescent="0.3">
      <c r="A29" s="74" t="s">
        <v>1194</v>
      </c>
      <c r="B29" s="10" t="s">
        <v>1195</v>
      </c>
      <c r="C29" s="10" t="s">
        <v>1196</v>
      </c>
      <c r="D29" s="11">
        <v>45497</v>
      </c>
      <c r="E29" s="12">
        <v>207000</v>
      </c>
      <c r="F29" s="10" t="s">
        <v>32</v>
      </c>
      <c r="G29" s="10" t="s">
        <v>33</v>
      </c>
      <c r="H29" s="12">
        <v>207000</v>
      </c>
      <c r="I29" s="12">
        <v>67000</v>
      </c>
      <c r="J29" s="13">
        <f>I29/H29*100</f>
        <v>32.367149758454104</v>
      </c>
      <c r="K29" s="12">
        <v>153208</v>
      </c>
      <c r="L29" s="12">
        <f>H29-147868</f>
        <v>59132</v>
      </c>
      <c r="M29" s="12">
        <v>5340</v>
      </c>
      <c r="N29" s="66">
        <f>M29/E29</f>
        <v>2.5797101449275363E-2</v>
      </c>
      <c r="O29" s="14">
        <v>29.66</v>
      </c>
      <c r="P29" s="15">
        <v>110</v>
      </c>
      <c r="Q29" s="16">
        <v>0.10100000000000001</v>
      </c>
      <c r="R29" s="16">
        <v>0.10100000000000001</v>
      </c>
      <c r="S29" s="12">
        <f>L29/O29</f>
        <v>1993.6614969656102</v>
      </c>
      <c r="T29" s="12">
        <f>L29/Q29</f>
        <v>585465.34653465345</v>
      </c>
      <c r="U29" s="17">
        <f>L29/Q29/43560</f>
        <v>13.440434952586168</v>
      </c>
      <c r="V29" s="16">
        <v>40</v>
      </c>
      <c r="W29" s="16">
        <f>0.2*E29</f>
        <v>41400</v>
      </c>
      <c r="X29" s="16">
        <f>W29/V29</f>
        <v>1035</v>
      </c>
      <c r="Y29" s="18" t="s">
        <v>1193</v>
      </c>
      <c r="Z29" s="10" t="s">
        <v>35</v>
      </c>
      <c r="AA29" s="10" t="s">
        <v>35</v>
      </c>
      <c r="AB29" s="10" t="s">
        <v>1194</v>
      </c>
      <c r="AC29" s="10">
        <v>0</v>
      </c>
      <c r="AD29" s="10">
        <v>1</v>
      </c>
      <c r="AE29" s="10" t="s">
        <v>42</v>
      </c>
      <c r="AF29" s="10" t="s">
        <v>43</v>
      </c>
      <c r="AG29" s="10" t="s">
        <v>38</v>
      </c>
      <c r="AH29" s="10" t="s">
        <v>92</v>
      </c>
    </row>
    <row r="30" spans="1:34" x14ac:dyDescent="0.3">
      <c r="A30" s="74" t="s">
        <v>1194</v>
      </c>
      <c r="B30" s="10" t="s">
        <v>1529</v>
      </c>
      <c r="C30" s="10" t="s">
        <v>1530</v>
      </c>
      <c r="D30" s="11">
        <v>45308</v>
      </c>
      <c r="E30" s="12">
        <v>120000</v>
      </c>
      <c r="F30" s="10" t="s">
        <v>81</v>
      </c>
      <c r="G30" s="10" t="s">
        <v>33</v>
      </c>
      <c r="H30" s="12">
        <v>120000</v>
      </c>
      <c r="I30" s="12">
        <v>93600</v>
      </c>
      <c r="J30" s="13">
        <f t="shared" ref="J30" si="7">I30/H30*100</f>
        <v>78</v>
      </c>
      <c r="K30" s="12">
        <v>232138</v>
      </c>
      <c r="L30" s="12">
        <f>H30-206968</f>
        <v>-86968</v>
      </c>
      <c r="M30" s="12">
        <v>25170</v>
      </c>
      <c r="N30" s="66">
        <f t="shared" ref="N30" si="8">M30/E30</f>
        <v>0.20974999999999999</v>
      </c>
      <c r="O30" s="14">
        <v>139.83000000000001</v>
      </c>
      <c r="P30" s="15">
        <v>580.82000000000005</v>
      </c>
      <c r="Q30" s="16">
        <v>1.087</v>
      </c>
      <c r="R30" s="16">
        <v>1.087</v>
      </c>
      <c r="S30" s="12">
        <f t="shared" ref="S30" si="9">L30/O30</f>
        <v>-621.95523135235635</v>
      </c>
      <c r="T30" s="12">
        <f t="shared" ref="T30" si="10">L30/Q30</f>
        <v>-80007.359705611772</v>
      </c>
      <c r="U30" s="17">
        <f t="shared" ref="U30" si="11">L30/Q30/43560</f>
        <v>-1.8367162466853024</v>
      </c>
      <c r="V30" s="16">
        <v>83.08</v>
      </c>
      <c r="W30" s="16">
        <f t="shared" ref="W30" si="12">0.2*E30</f>
        <v>24000</v>
      </c>
      <c r="X30" s="16">
        <f t="shared" ref="X30" si="13">W30/V30</f>
        <v>288.87818969667791</v>
      </c>
      <c r="Y30" s="18" t="s">
        <v>1193</v>
      </c>
      <c r="Z30" s="10" t="s">
        <v>35</v>
      </c>
      <c r="AA30" s="10" t="s">
        <v>35</v>
      </c>
      <c r="AB30" s="10" t="s">
        <v>1194</v>
      </c>
      <c r="AC30" s="10">
        <v>0</v>
      </c>
      <c r="AD30" s="10">
        <v>1</v>
      </c>
      <c r="AE30" s="10" t="s">
        <v>42</v>
      </c>
      <c r="AF30" s="10" t="s">
        <v>35</v>
      </c>
      <c r="AG30" s="10" t="s">
        <v>38</v>
      </c>
      <c r="AH30" s="10" t="s">
        <v>92</v>
      </c>
    </row>
  </sheetData>
  <sortState xmlns:xlrd2="http://schemas.microsoft.com/office/spreadsheetml/2017/richdata2" ref="A2:AH18">
    <sortCondition ref="S2:S18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  <pageSetUpPr fitToPage="1"/>
  </sheetPr>
  <dimension ref="A1:R123"/>
  <sheetViews>
    <sheetView workbookViewId="0">
      <pane ySplit="1" topLeftCell="A2" activePane="bottomLeft" state="frozen"/>
      <selection pane="bottomLeft" activeCell="O19" sqref="O19"/>
    </sheetView>
  </sheetViews>
  <sheetFormatPr defaultColWidth="9.109375" defaultRowHeight="14.4" x14ac:dyDescent="0.3"/>
  <cols>
    <col min="1" max="1" width="14.6640625" style="56" customWidth="1"/>
    <col min="2" max="2" width="24.88671875" style="56" customWidth="1"/>
    <col min="3" max="3" width="12.33203125" style="56" customWidth="1"/>
    <col min="4" max="4" width="8.44140625" style="56" customWidth="1"/>
    <col min="5" max="6" width="9.109375" style="56" customWidth="1"/>
    <col min="7" max="7" width="12.33203125" style="56" customWidth="1"/>
    <col min="8" max="8" width="12.109375" style="56" customWidth="1"/>
    <col min="9" max="9" width="14.5546875" style="56" customWidth="1"/>
    <col min="10" max="10" width="9.109375" style="57" customWidth="1"/>
    <col min="11" max="11" width="17.88671875" style="93" customWidth="1"/>
    <col min="12" max="12" width="10.33203125" style="56" customWidth="1"/>
    <col min="13" max="14" width="9.109375" style="56" customWidth="1"/>
    <col min="15" max="15" width="32.6640625" style="56" bestFit="1" customWidth="1"/>
    <col min="16" max="16" width="5.6640625" style="56" bestFit="1" customWidth="1"/>
    <col min="17" max="17" width="14.6640625" style="56" bestFit="1" customWidth="1"/>
    <col min="18" max="19" width="9.109375" style="56" customWidth="1"/>
    <col min="20" max="16384" width="9.109375" style="56"/>
  </cols>
  <sheetData>
    <row r="1" spans="1:17" ht="40.200000000000003" x14ac:dyDescent="0.3">
      <c r="A1" s="270" t="s">
        <v>3068</v>
      </c>
      <c r="B1" s="271" t="s">
        <v>3067</v>
      </c>
      <c r="C1" s="361" t="s">
        <v>3079</v>
      </c>
      <c r="D1" s="236" t="s">
        <v>3080</v>
      </c>
      <c r="E1" s="237" t="s">
        <v>3081</v>
      </c>
      <c r="F1" s="238" t="s">
        <v>3082</v>
      </c>
      <c r="G1" s="362" t="s">
        <v>3073</v>
      </c>
      <c r="H1" s="363" t="s">
        <v>3074</v>
      </c>
      <c r="I1" s="363" t="s">
        <v>3075</v>
      </c>
      <c r="J1" s="364" t="s">
        <v>3066</v>
      </c>
      <c r="K1" s="347" t="s">
        <v>3098</v>
      </c>
      <c r="L1" s="240" t="s">
        <v>3076</v>
      </c>
      <c r="M1" s="241" t="s">
        <v>3077</v>
      </c>
      <c r="N1" s="242" t="s">
        <v>3078</v>
      </c>
      <c r="O1" s="272" t="s">
        <v>3065</v>
      </c>
      <c r="P1" s="273" t="s">
        <v>3105</v>
      </c>
      <c r="Q1" s="274" t="s">
        <v>3068</v>
      </c>
    </row>
    <row r="2" spans="1:17" x14ac:dyDescent="0.3">
      <c r="A2" s="252" t="s">
        <v>3064</v>
      </c>
      <c r="B2" s="70" t="s">
        <v>3063</v>
      </c>
      <c r="C2" s="374">
        <v>491</v>
      </c>
      <c r="D2" s="234">
        <v>184.8</v>
      </c>
      <c r="E2" s="58" t="s">
        <v>2883</v>
      </c>
      <c r="F2" s="232" t="s">
        <v>2883</v>
      </c>
      <c r="G2" s="375">
        <v>513</v>
      </c>
      <c r="H2" s="376" t="s">
        <v>2883</v>
      </c>
      <c r="I2" s="376" t="s">
        <v>2883</v>
      </c>
      <c r="J2" s="370">
        <v>7.0000000000000007E-2</v>
      </c>
      <c r="K2" s="342">
        <f>(G2/C2)-1</f>
        <v>4.4806517311609007E-2</v>
      </c>
      <c r="L2" s="231">
        <v>205</v>
      </c>
      <c r="M2" s="58" t="s">
        <v>2883</v>
      </c>
      <c r="N2" s="232" t="s">
        <v>2883</v>
      </c>
      <c r="O2" s="277" t="s">
        <v>3102</v>
      </c>
      <c r="P2" s="348" t="s">
        <v>3161</v>
      </c>
      <c r="Q2" s="278" t="s">
        <v>3064</v>
      </c>
    </row>
    <row r="3" spans="1:17" x14ac:dyDescent="0.3">
      <c r="A3" s="252" t="s">
        <v>3062</v>
      </c>
      <c r="B3" s="70" t="s">
        <v>3061</v>
      </c>
      <c r="C3" s="374">
        <v>147</v>
      </c>
      <c r="D3" s="234">
        <v>130</v>
      </c>
      <c r="E3" s="58" t="s">
        <v>2883</v>
      </c>
      <c r="F3" s="232" t="s">
        <v>2883</v>
      </c>
      <c r="G3" s="375">
        <v>403</v>
      </c>
      <c r="H3" s="376" t="s">
        <v>2883</v>
      </c>
      <c r="I3" s="376" t="s">
        <v>2883</v>
      </c>
      <c r="J3" s="370">
        <v>0.04</v>
      </c>
      <c r="K3" s="342">
        <f t="shared" ref="K3:K66" si="0">(G3/C3)-1</f>
        <v>1.7414965986394559</v>
      </c>
      <c r="L3" s="231">
        <v>170</v>
      </c>
      <c r="M3" s="58" t="s">
        <v>2883</v>
      </c>
      <c r="N3" s="232" t="s">
        <v>2883</v>
      </c>
      <c r="O3" s="277" t="s">
        <v>3168</v>
      </c>
      <c r="P3" s="348" t="s">
        <v>3161</v>
      </c>
      <c r="Q3" s="278" t="s">
        <v>3062</v>
      </c>
    </row>
    <row r="4" spans="1:17" x14ac:dyDescent="0.3">
      <c r="A4" s="252" t="s">
        <v>3060</v>
      </c>
      <c r="B4" s="70" t="s">
        <v>3059</v>
      </c>
      <c r="C4" s="374">
        <v>297</v>
      </c>
      <c r="D4" s="234">
        <v>203.3</v>
      </c>
      <c r="E4" s="58" t="s">
        <v>2883</v>
      </c>
      <c r="F4" s="232" t="s">
        <v>2883</v>
      </c>
      <c r="G4" s="375">
        <v>302</v>
      </c>
      <c r="H4" s="376" t="s">
        <v>2883</v>
      </c>
      <c r="I4" s="376" t="s">
        <v>2883</v>
      </c>
      <c r="J4" s="370">
        <v>0.09</v>
      </c>
      <c r="K4" s="342">
        <f t="shared" si="0"/>
        <v>1.6835016835016869E-2</v>
      </c>
      <c r="L4" s="231">
        <v>225</v>
      </c>
      <c r="M4" s="58" t="s">
        <v>2883</v>
      </c>
      <c r="N4" s="232" t="s">
        <v>2883</v>
      </c>
      <c r="O4" s="277" t="s">
        <v>3102</v>
      </c>
      <c r="P4" s="348" t="s">
        <v>3161</v>
      </c>
      <c r="Q4" s="278" t="s">
        <v>3060</v>
      </c>
    </row>
    <row r="5" spans="1:17" x14ac:dyDescent="0.3">
      <c r="A5" s="252" t="s">
        <v>3058</v>
      </c>
      <c r="B5" s="70" t="s">
        <v>3057</v>
      </c>
      <c r="C5" s="374">
        <v>536</v>
      </c>
      <c r="D5" s="234">
        <v>197.95000000000002</v>
      </c>
      <c r="E5" s="58" t="s">
        <v>2883</v>
      </c>
      <c r="F5" s="232" t="s">
        <v>2883</v>
      </c>
      <c r="G5" s="375">
        <v>716</v>
      </c>
      <c r="H5" s="376" t="s">
        <v>2883</v>
      </c>
      <c r="I5" s="376" t="s">
        <v>2883</v>
      </c>
      <c r="J5" s="370">
        <v>0.06</v>
      </c>
      <c r="K5" s="342">
        <f t="shared" si="0"/>
        <v>0.33582089552238803</v>
      </c>
      <c r="L5" s="231">
        <v>240</v>
      </c>
      <c r="M5" s="58" t="s">
        <v>2883</v>
      </c>
      <c r="N5" s="232" t="s">
        <v>2883</v>
      </c>
      <c r="O5" s="277" t="s">
        <v>3169</v>
      </c>
      <c r="P5" s="348" t="s">
        <v>3161</v>
      </c>
      <c r="Q5" s="278" t="s">
        <v>3058</v>
      </c>
    </row>
    <row r="6" spans="1:17" x14ac:dyDescent="0.3">
      <c r="A6" s="252" t="s">
        <v>3056</v>
      </c>
      <c r="B6" s="71" t="s">
        <v>3055</v>
      </c>
      <c r="C6" s="374">
        <v>470</v>
      </c>
      <c r="D6" s="234">
        <v>214.7</v>
      </c>
      <c r="E6" s="58" t="s">
        <v>2883</v>
      </c>
      <c r="F6" s="232" t="s">
        <v>2883</v>
      </c>
      <c r="G6" s="375">
        <v>509</v>
      </c>
      <c r="H6" s="376" t="s">
        <v>2883</v>
      </c>
      <c r="I6" s="376" t="s">
        <v>2883</v>
      </c>
      <c r="J6" s="370">
        <v>0.05</v>
      </c>
      <c r="K6" s="342">
        <f t="shared" si="0"/>
        <v>8.2978723404255383E-2</v>
      </c>
      <c r="L6" s="231">
        <v>235</v>
      </c>
      <c r="M6" s="58" t="s">
        <v>2883</v>
      </c>
      <c r="N6" s="232" t="s">
        <v>2883</v>
      </c>
      <c r="O6" s="277" t="s">
        <v>3102</v>
      </c>
      <c r="P6" s="348" t="s">
        <v>3161</v>
      </c>
      <c r="Q6" s="278" t="s">
        <v>3056</v>
      </c>
    </row>
    <row r="7" spans="1:17" x14ac:dyDescent="0.3">
      <c r="A7" s="252" t="s">
        <v>3054</v>
      </c>
      <c r="B7" s="70" t="s">
        <v>3053</v>
      </c>
      <c r="C7" s="374">
        <v>562</v>
      </c>
      <c r="D7" s="234">
        <v>169.49999999999997</v>
      </c>
      <c r="E7" s="58" t="s">
        <v>2883</v>
      </c>
      <c r="F7" s="232" t="s">
        <v>2883</v>
      </c>
      <c r="G7" s="375">
        <v>723</v>
      </c>
      <c r="H7" s="376" t="s">
        <v>2883</v>
      </c>
      <c r="I7" s="376" t="s">
        <v>2883</v>
      </c>
      <c r="J7" s="370">
        <v>0.05</v>
      </c>
      <c r="K7" s="342">
        <f t="shared" si="0"/>
        <v>0.28647686832740216</v>
      </c>
      <c r="L7" s="231">
        <v>205</v>
      </c>
      <c r="M7" s="58" t="s">
        <v>2883</v>
      </c>
      <c r="N7" s="232" t="s">
        <v>2883</v>
      </c>
      <c r="O7" s="277" t="s">
        <v>3169</v>
      </c>
      <c r="P7" s="348" t="s">
        <v>3161</v>
      </c>
      <c r="Q7" s="278" t="s">
        <v>3054</v>
      </c>
    </row>
    <row r="8" spans="1:17" x14ac:dyDescent="0.3">
      <c r="A8" s="252" t="s">
        <v>3052</v>
      </c>
      <c r="B8" s="70" t="s">
        <v>3051</v>
      </c>
      <c r="C8" s="374">
        <v>297</v>
      </c>
      <c r="D8" s="234">
        <v>238.5</v>
      </c>
      <c r="E8" s="58" t="s">
        <v>2883</v>
      </c>
      <c r="F8" s="232" t="s">
        <v>2883</v>
      </c>
      <c r="G8" s="375">
        <v>517</v>
      </c>
      <c r="H8" s="376" t="s">
        <v>2883</v>
      </c>
      <c r="I8" s="376" t="s">
        <v>2883</v>
      </c>
      <c r="J8" s="370">
        <v>7.0000000000000007E-2</v>
      </c>
      <c r="K8" s="342">
        <f t="shared" si="0"/>
        <v>0.7407407407407407</v>
      </c>
      <c r="L8" s="231">
        <v>310</v>
      </c>
      <c r="M8" s="58" t="s">
        <v>2883</v>
      </c>
      <c r="N8" s="232" t="s">
        <v>2883</v>
      </c>
      <c r="O8" s="279" t="s">
        <v>3168</v>
      </c>
      <c r="P8" s="348" t="s">
        <v>3161</v>
      </c>
      <c r="Q8" s="278" t="s">
        <v>3052</v>
      </c>
    </row>
    <row r="9" spans="1:17" x14ac:dyDescent="0.3">
      <c r="A9" s="280" t="s">
        <v>3050</v>
      </c>
      <c r="B9" s="70" t="s">
        <v>3049</v>
      </c>
      <c r="C9" s="374">
        <v>239</v>
      </c>
      <c r="D9" s="234">
        <v>200</v>
      </c>
      <c r="E9" s="58" t="s">
        <v>2883</v>
      </c>
      <c r="F9" s="232" t="s">
        <v>2883</v>
      </c>
      <c r="G9" s="375">
        <v>358</v>
      </c>
      <c r="H9" s="376" t="s">
        <v>2883</v>
      </c>
      <c r="I9" s="376" t="s">
        <v>2883</v>
      </c>
      <c r="J9" s="370">
        <v>7.0000000000000007E-2</v>
      </c>
      <c r="K9" s="342">
        <f t="shared" si="0"/>
        <v>0.497907949790795</v>
      </c>
      <c r="L9" s="231">
        <v>240</v>
      </c>
      <c r="M9" s="58" t="s">
        <v>2883</v>
      </c>
      <c r="N9" s="232" t="s">
        <v>2883</v>
      </c>
      <c r="O9" s="281" t="s">
        <v>3170</v>
      </c>
      <c r="P9" s="348" t="s">
        <v>3161</v>
      </c>
      <c r="Q9" s="282" t="s">
        <v>3050</v>
      </c>
    </row>
    <row r="10" spans="1:17" x14ac:dyDescent="0.3">
      <c r="A10" s="283" t="s">
        <v>3048</v>
      </c>
      <c r="B10" s="61" t="s">
        <v>3047</v>
      </c>
      <c r="C10" s="374">
        <v>270</v>
      </c>
      <c r="D10" s="234">
        <v>153.70000000000002</v>
      </c>
      <c r="E10" s="58" t="s">
        <v>2883</v>
      </c>
      <c r="F10" s="232" t="s">
        <v>2883</v>
      </c>
      <c r="G10" s="375">
        <v>386</v>
      </c>
      <c r="H10" s="376" t="s">
        <v>2883</v>
      </c>
      <c r="I10" s="376" t="s">
        <v>2883</v>
      </c>
      <c r="J10" s="370">
        <v>0.05</v>
      </c>
      <c r="K10" s="342">
        <f t="shared" si="0"/>
        <v>0.42962962962962958</v>
      </c>
      <c r="L10" s="231">
        <v>185</v>
      </c>
      <c r="M10" s="58" t="s">
        <v>2883</v>
      </c>
      <c r="N10" s="232" t="s">
        <v>2883</v>
      </c>
      <c r="O10" s="281" t="s">
        <v>3169</v>
      </c>
      <c r="P10" s="348" t="s">
        <v>3161</v>
      </c>
      <c r="Q10" s="284" t="s">
        <v>3048</v>
      </c>
    </row>
    <row r="11" spans="1:17" x14ac:dyDescent="0.3">
      <c r="A11" s="252" t="s">
        <v>3046</v>
      </c>
      <c r="B11" s="70" t="s">
        <v>3045</v>
      </c>
      <c r="C11" s="374">
        <v>313</v>
      </c>
      <c r="D11" s="234">
        <v>140</v>
      </c>
      <c r="E11" s="58" t="s">
        <v>2883</v>
      </c>
      <c r="F11" s="232" t="s">
        <v>2883</v>
      </c>
      <c r="G11" s="375">
        <v>423</v>
      </c>
      <c r="H11" s="376" t="s">
        <v>2883</v>
      </c>
      <c r="I11" s="376" t="s">
        <v>2883</v>
      </c>
      <c r="J11" s="370">
        <v>0.05</v>
      </c>
      <c r="K11" s="342">
        <f t="shared" si="0"/>
        <v>0.35143769968051108</v>
      </c>
      <c r="L11" s="231">
        <v>170</v>
      </c>
      <c r="M11" s="58" t="s">
        <v>2883</v>
      </c>
      <c r="N11" s="232" t="s">
        <v>2883</v>
      </c>
      <c r="O11" s="281" t="s">
        <v>3169</v>
      </c>
      <c r="P11" s="348" t="s">
        <v>3161</v>
      </c>
      <c r="Q11" s="278" t="s">
        <v>3046</v>
      </c>
    </row>
    <row r="12" spans="1:17" x14ac:dyDescent="0.3">
      <c r="A12" s="252" t="s">
        <v>3044</v>
      </c>
      <c r="B12" s="71" t="s">
        <v>3043</v>
      </c>
      <c r="C12" s="374">
        <v>439</v>
      </c>
      <c r="D12" s="234">
        <v>217.3</v>
      </c>
      <c r="E12" s="58" t="s">
        <v>2883</v>
      </c>
      <c r="F12" s="232" t="s">
        <v>2883</v>
      </c>
      <c r="G12" s="375">
        <v>570</v>
      </c>
      <c r="H12" s="376" t="s">
        <v>2883</v>
      </c>
      <c r="I12" s="376" t="s">
        <v>2883</v>
      </c>
      <c r="J12" s="370">
        <v>0.06</v>
      </c>
      <c r="K12" s="342">
        <f t="shared" si="0"/>
        <v>0.29840546697038728</v>
      </c>
      <c r="L12" s="231">
        <v>260</v>
      </c>
      <c r="M12" s="58" t="s">
        <v>2883</v>
      </c>
      <c r="N12" s="232" t="s">
        <v>2883</v>
      </c>
      <c r="O12" s="281" t="s">
        <v>3169</v>
      </c>
      <c r="P12" s="348" t="s">
        <v>3161</v>
      </c>
      <c r="Q12" s="278" t="s">
        <v>3044</v>
      </c>
    </row>
    <row r="13" spans="1:17" x14ac:dyDescent="0.3">
      <c r="A13" s="280" t="s">
        <v>3042</v>
      </c>
      <c r="B13" s="70" t="s">
        <v>3041</v>
      </c>
      <c r="C13" s="374">
        <v>239</v>
      </c>
      <c r="D13" s="234">
        <v>180</v>
      </c>
      <c r="E13" s="58" t="s">
        <v>2883</v>
      </c>
      <c r="F13" s="232" t="s">
        <v>2883</v>
      </c>
      <c r="G13" s="375">
        <v>358</v>
      </c>
      <c r="H13" s="376" t="s">
        <v>2883</v>
      </c>
      <c r="I13" s="376" t="s">
        <v>2883</v>
      </c>
      <c r="J13" s="370">
        <v>7.0000000000000007E-2</v>
      </c>
      <c r="K13" s="342">
        <f t="shared" si="0"/>
        <v>0.497907949790795</v>
      </c>
      <c r="L13" s="231">
        <v>215</v>
      </c>
      <c r="M13" s="58" t="s">
        <v>2883</v>
      </c>
      <c r="N13" s="232" t="s">
        <v>2883</v>
      </c>
      <c r="O13" s="281" t="s">
        <v>3169</v>
      </c>
      <c r="P13" s="348" t="s">
        <v>3161</v>
      </c>
      <c r="Q13" s="282" t="s">
        <v>3042</v>
      </c>
    </row>
    <row r="14" spans="1:17" x14ac:dyDescent="0.3">
      <c r="A14" s="252" t="s">
        <v>3040</v>
      </c>
      <c r="B14" s="70" t="s">
        <v>3039</v>
      </c>
      <c r="C14" s="374">
        <v>358</v>
      </c>
      <c r="D14" s="234">
        <v>175</v>
      </c>
      <c r="E14" s="58" t="s">
        <v>2883</v>
      </c>
      <c r="F14" s="232" t="s">
        <v>2883</v>
      </c>
      <c r="G14" s="375">
        <v>565</v>
      </c>
      <c r="H14" s="376" t="s">
        <v>2883</v>
      </c>
      <c r="I14" s="376" t="s">
        <v>2883</v>
      </c>
      <c r="J14" s="370">
        <v>0.05</v>
      </c>
      <c r="K14" s="342">
        <f t="shared" si="0"/>
        <v>0.57821229050279332</v>
      </c>
      <c r="L14" s="231">
        <v>230</v>
      </c>
      <c r="M14" s="58" t="s">
        <v>2883</v>
      </c>
      <c r="N14" s="232" t="s">
        <v>2883</v>
      </c>
      <c r="O14" s="281" t="s">
        <v>3168</v>
      </c>
      <c r="P14" s="348" t="s">
        <v>3161</v>
      </c>
      <c r="Q14" s="278" t="s">
        <v>3040</v>
      </c>
    </row>
    <row r="15" spans="1:17" x14ac:dyDescent="0.3">
      <c r="A15" s="252" t="s">
        <v>3038</v>
      </c>
      <c r="B15" s="71" t="s">
        <v>3037</v>
      </c>
      <c r="C15" s="374">
        <v>346</v>
      </c>
      <c r="D15" s="234">
        <v>199.8</v>
      </c>
      <c r="E15" s="58" t="s">
        <v>2883</v>
      </c>
      <c r="F15" s="232" t="s">
        <v>2883</v>
      </c>
      <c r="G15" s="375">
        <v>454</v>
      </c>
      <c r="H15" s="376" t="s">
        <v>2883</v>
      </c>
      <c r="I15" s="376" t="s">
        <v>2883</v>
      </c>
      <c r="J15" s="370">
        <v>0.06</v>
      </c>
      <c r="K15" s="342">
        <f t="shared" si="0"/>
        <v>0.31213872832369938</v>
      </c>
      <c r="L15" s="231">
        <v>240</v>
      </c>
      <c r="M15" s="58" t="s">
        <v>2883</v>
      </c>
      <c r="N15" s="232" t="s">
        <v>2883</v>
      </c>
      <c r="O15" s="281" t="s">
        <v>3169</v>
      </c>
      <c r="P15" s="348" t="s">
        <v>3161</v>
      </c>
      <c r="Q15" s="278" t="s">
        <v>3038</v>
      </c>
    </row>
    <row r="16" spans="1:17" x14ac:dyDescent="0.3">
      <c r="A16" s="252" t="s">
        <v>3036</v>
      </c>
      <c r="B16" s="70" t="s">
        <v>3035</v>
      </c>
      <c r="C16" s="374">
        <v>340</v>
      </c>
      <c r="D16" s="234">
        <v>140</v>
      </c>
      <c r="E16" s="58" t="s">
        <v>2883</v>
      </c>
      <c r="F16" s="232" t="s">
        <v>2883</v>
      </c>
      <c r="G16" s="375">
        <v>520</v>
      </c>
      <c r="H16" s="376" t="s">
        <v>2883</v>
      </c>
      <c r="I16" s="376" t="s">
        <v>2883</v>
      </c>
      <c r="J16" s="370">
        <v>0.04</v>
      </c>
      <c r="K16" s="342">
        <f t="shared" si="0"/>
        <v>0.52941176470588225</v>
      </c>
      <c r="L16" s="231">
        <v>180</v>
      </c>
      <c r="M16" s="58" t="s">
        <v>2883</v>
      </c>
      <c r="N16" s="232" t="s">
        <v>2883</v>
      </c>
      <c r="O16" s="281" t="s">
        <v>3168</v>
      </c>
      <c r="P16" s="348" t="s">
        <v>3161</v>
      </c>
      <c r="Q16" s="278" t="s">
        <v>3036</v>
      </c>
    </row>
    <row r="17" spans="1:17" x14ac:dyDescent="0.3">
      <c r="A17" s="252" t="s">
        <v>3034</v>
      </c>
      <c r="B17" s="70" t="s">
        <v>3033</v>
      </c>
      <c r="C17" s="374">
        <v>165</v>
      </c>
      <c r="D17" s="234">
        <v>182</v>
      </c>
      <c r="E17" s="58" t="s">
        <v>2883</v>
      </c>
      <c r="F17" s="232" t="s">
        <v>2883</v>
      </c>
      <c r="G17" s="375">
        <v>258</v>
      </c>
      <c r="H17" s="376" t="s">
        <v>2883</v>
      </c>
      <c r="I17" s="376" t="s">
        <v>2883</v>
      </c>
      <c r="J17" s="370">
        <v>0.05</v>
      </c>
      <c r="K17" s="342">
        <f t="shared" si="0"/>
        <v>0.56363636363636371</v>
      </c>
      <c r="L17" s="231">
        <v>235</v>
      </c>
      <c r="M17" s="58" t="s">
        <v>2883</v>
      </c>
      <c r="N17" s="232" t="s">
        <v>2883</v>
      </c>
      <c r="O17" s="281" t="s">
        <v>3168</v>
      </c>
      <c r="P17" s="348" t="s">
        <v>3161</v>
      </c>
      <c r="Q17" s="278" t="s">
        <v>3034</v>
      </c>
    </row>
    <row r="18" spans="1:17" x14ac:dyDescent="0.3">
      <c r="A18" s="252" t="s">
        <v>3032</v>
      </c>
      <c r="B18" s="70" t="s">
        <v>3031</v>
      </c>
      <c r="C18" s="374">
        <v>182</v>
      </c>
      <c r="D18" s="234">
        <v>175</v>
      </c>
      <c r="E18" s="58" t="s">
        <v>2883</v>
      </c>
      <c r="F18" s="232" t="s">
        <v>2883</v>
      </c>
      <c r="G18" s="375">
        <v>404</v>
      </c>
      <c r="H18" s="376" t="s">
        <v>2883</v>
      </c>
      <c r="I18" s="376" t="s">
        <v>2883</v>
      </c>
      <c r="J18" s="370">
        <v>0.05</v>
      </c>
      <c r="K18" s="342">
        <f t="shared" si="0"/>
        <v>1.2197802197802199</v>
      </c>
      <c r="L18" s="231">
        <v>230</v>
      </c>
      <c r="M18" s="58" t="s">
        <v>2883</v>
      </c>
      <c r="N18" s="232" t="s">
        <v>2883</v>
      </c>
      <c r="O18" s="281" t="s">
        <v>3168</v>
      </c>
      <c r="P18" s="348" t="s">
        <v>3161</v>
      </c>
      <c r="Q18" s="278" t="s">
        <v>3032</v>
      </c>
    </row>
    <row r="19" spans="1:17" x14ac:dyDescent="0.3">
      <c r="A19" s="252" t="s">
        <v>3030</v>
      </c>
      <c r="B19" s="70" t="s">
        <v>3029</v>
      </c>
      <c r="C19" s="374">
        <v>168</v>
      </c>
      <c r="D19" s="234">
        <v>192.4</v>
      </c>
      <c r="E19" s="58" t="s">
        <v>2883</v>
      </c>
      <c r="F19" s="232" t="s">
        <v>2883</v>
      </c>
      <c r="G19" s="375">
        <v>280</v>
      </c>
      <c r="H19" s="376" t="s">
        <v>2883</v>
      </c>
      <c r="I19" s="376" t="s">
        <v>2883</v>
      </c>
      <c r="J19" s="370">
        <v>0.06</v>
      </c>
      <c r="K19" s="342">
        <f t="shared" si="0"/>
        <v>0.66666666666666674</v>
      </c>
      <c r="L19" s="231">
        <v>250</v>
      </c>
      <c r="M19" s="58" t="s">
        <v>2883</v>
      </c>
      <c r="N19" s="232" t="s">
        <v>2883</v>
      </c>
      <c r="O19" s="281" t="s">
        <v>3168</v>
      </c>
      <c r="P19" s="348" t="s">
        <v>3161</v>
      </c>
      <c r="Q19" s="278" t="s">
        <v>3030</v>
      </c>
    </row>
    <row r="20" spans="1:17" x14ac:dyDescent="0.3">
      <c r="A20" s="252" t="s">
        <v>3028</v>
      </c>
      <c r="B20" s="70" t="s">
        <v>3027</v>
      </c>
      <c r="C20" s="374">
        <v>427</v>
      </c>
      <c r="D20" s="234">
        <v>168.2</v>
      </c>
      <c r="E20" s="58">
        <v>17500</v>
      </c>
      <c r="F20" s="232" t="s">
        <v>2883</v>
      </c>
      <c r="G20" s="375">
        <v>207</v>
      </c>
      <c r="H20" s="376" t="s">
        <v>2915</v>
      </c>
      <c r="I20" s="376" t="s">
        <v>2883</v>
      </c>
      <c r="J20" s="370">
        <v>0.06</v>
      </c>
      <c r="K20" s="342">
        <f t="shared" si="0"/>
        <v>-0.51522248243559721</v>
      </c>
      <c r="L20" s="235">
        <v>185</v>
      </c>
      <c r="M20" s="58">
        <v>17500</v>
      </c>
      <c r="N20" s="232" t="s">
        <v>2883</v>
      </c>
      <c r="O20" s="281" t="s">
        <v>3162</v>
      </c>
      <c r="P20" s="348" t="s">
        <v>3161</v>
      </c>
      <c r="Q20" s="278" t="s">
        <v>3028</v>
      </c>
    </row>
    <row r="21" spans="1:17" x14ac:dyDescent="0.3">
      <c r="A21" s="252" t="s">
        <v>3026</v>
      </c>
      <c r="B21" s="70" t="s">
        <v>3025</v>
      </c>
      <c r="C21" s="374">
        <v>344</v>
      </c>
      <c r="D21" s="234">
        <v>152.60000000000002</v>
      </c>
      <c r="E21" s="58" t="s">
        <v>2883</v>
      </c>
      <c r="F21" s="232" t="s">
        <v>2883</v>
      </c>
      <c r="G21" s="375">
        <v>511</v>
      </c>
      <c r="H21" s="376" t="s">
        <v>2883</v>
      </c>
      <c r="I21" s="376" t="s">
        <v>2883</v>
      </c>
      <c r="J21" s="370">
        <v>0.04</v>
      </c>
      <c r="K21" s="342">
        <f t="shared" si="0"/>
        <v>0.48546511627906974</v>
      </c>
      <c r="L21" s="231">
        <v>200</v>
      </c>
      <c r="M21" s="58" t="s">
        <v>2883</v>
      </c>
      <c r="N21" s="232" t="s">
        <v>2883</v>
      </c>
      <c r="O21" s="281" t="s">
        <v>3168</v>
      </c>
      <c r="P21" s="348" t="s">
        <v>3161</v>
      </c>
      <c r="Q21" s="278" t="s">
        <v>3026</v>
      </c>
    </row>
    <row r="22" spans="1:17" x14ac:dyDescent="0.3">
      <c r="A22" s="252" t="s">
        <v>3024</v>
      </c>
      <c r="B22" s="70" t="s">
        <v>3023</v>
      </c>
      <c r="C22" s="374">
        <v>517</v>
      </c>
      <c r="D22" s="234">
        <v>241.49999999999997</v>
      </c>
      <c r="E22" s="58" t="s">
        <v>2883</v>
      </c>
      <c r="F22" s="232" t="s">
        <v>2883</v>
      </c>
      <c r="G22" s="375">
        <v>827</v>
      </c>
      <c r="H22" s="376" t="s">
        <v>2883</v>
      </c>
      <c r="I22" s="376" t="s">
        <v>2883</v>
      </c>
      <c r="J22" s="370">
        <v>0.08</v>
      </c>
      <c r="K22" s="342">
        <f t="shared" si="0"/>
        <v>0.59961315280464222</v>
      </c>
      <c r="L22" s="231">
        <v>315</v>
      </c>
      <c r="M22" s="58" t="s">
        <v>2883</v>
      </c>
      <c r="N22" s="232" t="s">
        <v>2883</v>
      </c>
      <c r="O22" s="285" t="s">
        <v>3168</v>
      </c>
      <c r="P22" s="348" t="s">
        <v>3161</v>
      </c>
      <c r="Q22" s="278" t="s">
        <v>3024</v>
      </c>
    </row>
    <row r="23" spans="1:17" x14ac:dyDescent="0.3">
      <c r="A23" s="252" t="s">
        <v>3022</v>
      </c>
      <c r="B23" s="70" t="s">
        <v>3021</v>
      </c>
      <c r="C23" s="374">
        <v>294</v>
      </c>
      <c r="D23" s="234">
        <v>174.4</v>
      </c>
      <c r="E23" s="58" t="s">
        <v>2883</v>
      </c>
      <c r="F23" s="232" t="s">
        <v>2883</v>
      </c>
      <c r="G23" s="375">
        <v>167</v>
      </c>
      <c r="H23" s="376" t="s">
        <v>2883</v>
      </c>
      <c r="I23" s="376" t="s">
        <v>2883</v>
      </c>
      <c r="J23" s="370">
        <v>0.14000000000000001</v>
      </c>
      <c r="K23" s="342">
        <f t="shared" si="0"/>
        <v>-0.43197278911564629</v>
      </c>
      <c r="L23" s="235">
        <v>190</v>
      </c>
      <c r="M23" s="58" t="s">
        <v>2883</v>
      </c>
      <c r="N23" s="232" t="s">
        <v>2883</v>
      </c>
      <c r="O23" s="281" t="s">
        <v>3102</v>
      </c>
      <c r="P23" s="348" t="s">
        <v>3161</v>
      </c>
      <c r="Q23" s="278" t="s">
        <v>3022</v>
      </c>
    </row>
    <row r="24" spans="1:17" x14ac:dyDescent="0.3">
      <c r="A24" s="252" t="s">
        <v>3020</v>
      </c>
      <c r="B24" s="70" t="s">
        <v>3019</v>
      </c>
      <c r="C24" s="374">
        <v>263</v>
      </c>
      <c r="D24" s="234">
        <v>212.55</v>
      </c>
      <c r="E24" s="58" t="s">
        <v>2883</v>
      </c>
      <c r="F24" s="232" t="s">
        <v>2883</v>
      </c>
      <c r="G24" s="375">
        <v>329</v>
      </c>
      <c r="H24" s="376" t="s">
        <v>2883</v>
      </c>
      <c r="I24" s="376" t="s">
        <v>2883</v>
      </c>
      <c r="J24" s="370">
        <v>0.06</v>
      </c>
      <c r="K24" s="342">
        <f t="shared" si="0"/>
        <v>0.25095057034220525</v>
      </c>
      <c r="L24" s="231">
        <v>255</v>
      </c>
      <c r="M24" s="58" t="s">
        <v>2883</v>
      </c>
      <c r="N24" s="232" t="s">
        <v>2883</v>
      </c>
      <c r="O24" s="281" t="s">
        <v>3169</v>
      </c>
      <c r="P24" s="348" t="s">
        <v>3161</v>
      </c>
      <c r="Q24" s="278" t="s">
        <v>3020</v>
      </c>
    </row>
    <row r="25" spans="1:17" x14ac:dyDescent="0.3">
      <c r="A25" s="252" t="s">
        <v>3014</v>
      </c>
      <c r="B25" s="70" t="s">
        <v>3013</v>
      </c>
      <c r="C25" s="374">
        <v>226</v>
      </c>
      <c r="D25" s="234">
        <v>320</v>
      </c>
      <c r="E25" s="58" t="s">
        <v>2883</v>
      </c>
      <c r="F25" s="232" t="s">
        <v>2883</v>
      </c>
      <c r="G25" s="375">
        <v>301</v>
      </c>
      <c r="H25" s="376" t="s">
        <v>2883</v>
      </c>
      <c r="I25" s="376" t="s">
        <v>2883</v>
      </c>
      <c r="J25" s="370">
        <v>0.11</v>
      </c>
      <c r="K25" s="342">
        <f t="shared" si="0"/>
        <v>0.33185840707964598</v>
      </c>
      <c r="L25" s="231">
        <v>385</v>
      </c>
      <c r="M25" s="58" t="s">
        <v>2883</v>
      </c>
      <c r="N25" s="232" t="s">
        <v>2883</v>
      </c>
      <c r="O25" s="285" t="s">
        <v>3171</v>
      </c>
      <c r="P25" s="348" t="s">
        <v>3161</v>
      </c>
      <c r="Q25" s="278" t="s">
        <v>3014</v>
      </c>
    </row>
    <row r="26" spans="1:17" x14ac:dyDescent="0.3">
      <c r="A26" s="252" t="s">
        <v>3010</v>
      </c>
      <c r="B26" s="70" t="s">
        <v>3009</v>
      </c>
      <c r="C26" s="374">
        <v>292</v>
      </c>
      <c r="D26" s="234">
        <v>210</v>
      </c>
      <c r="E26" s="58">
        <v>20000</v>
      </c>
      <c r="F26" s="232" t="s">
        <v>2883</v>
      </c>
      <c r="G26" s="375">
        <v>460</v>
      </c>
      <c r="H26" s="376" t="s">
        <v>2915</v>
      </c>
      <c r="I26" s="376" t="s">
        <v>2883</v>
      </c>
      <c r="J26" s="370">
        <v>7.0000000000000007E-2</v>
      </c>
      <c r="K26" s="342">
        <f t="shared" si="0"/>
        <v>0.57534246575342474</v>
      </c>
      <c r="L26" s="231">
        <v>275</v>
      </c>
      <c r="M26" s="58">
        <v>20000</v>
      </c>
      <c r="N26" s="232" t="s">
        <v>2883</v>
      </c>
      <c r="O26" s="285" t="s">
        <v>3172</v>
      </c>
      <c r="P26" s="348" t="s">
        <v>3161</v>
      </c>
      <c r="Q26" s="278" t="s">
        <v>3010</v>
      </c>
    </row>
    <row r="27" spans="1:17" x14ac:dyDescent="0.3">
      <c r="A27" s="252" t="s">
        <v>3008</v>
      </c>
      <c r="B27" s="70" t="s">
        <v>3007</v>
      </c>
      <c r="C27" s="374">
        <v>216</v>
      </c>
      <c r="D27" s="234">
        <v>164.3</v>
      </c>
      <c r="E27" s="58" t="s">
        <v>2883</v>
      </c>
      <c r="F27" s="232" t="s">
        <v>2883</v>
      </c>
      <c r="G27" s="375">
        <v>329</v>
      </c>
      <c r="H27" s="376" t="s">
        <v>2883</v>
      </c>
      <c r="I27" s="376" t="s">
        <v>2883</v>
      </c>
      <c r="J27" s="370">
        <v>0.08</v>
      </c>
      <c r="K27" s="342">
        <f t="shared" si="0"/>
        <v>0.52314814814814814</v>
      </c>
      <c r="L27" s="231">
        <v>215</v>
      </c>
      <c r="M27" s="58" t="s">
        <v>2883</v>
      </c>
      <c r="N27" s="232" t="s">
        <v>2883</v>
      </c>
      <c r="O27" s="279" t="s">
        <v>3168</v>
      </c>
      <c r="P27" s="348" t="s">
        <v>3161</v>
      </c>
      <c r="Q27" s="278" t="s">
        <v>3008</v>
      </c>
    </row>
    <row r="28" spans="1:17" x14ac:dyDescent="0.3">
      <c r="A28" s="286" t="s">
        <v>3006</v>
      </c>
      <c r="B28" s="70" t="s">
        <v>3005</v>
      </c>
      <c r="C28" s="374">
        <v>158</v>
      </c>
      <c r="D28" s="234">
        <v>153.70000000000002</v>
      </c>
      <c r="E28" s="58" t="s">
        <v>2883</v>
      </c>
      <c r="F28" s="232" t="s">
        <v>2883</v>
      </c>
      <c r="G28" s="375">
        <v>253</v>
      </c>
      <c r="H28" s="376" t="s">
        <v>2883</v>
      </c>
      <c r="I28" s="376" t="s">
        <v>2883</v>
      </c>
      <c r="J28" s="370">
        <v>0.05</v>
      </c>
      <c r="K28" s="342">
        <f t="shared" si="0"/>
        <v>0.60126582278481022</v>
      </c>
      <c r="L28" s="231">
        <v>200</v>
      </c>
      <c r="M28" s="58" t="s">
        <v>2883</v>
      </c>
      <c r="N28" s="232" t="s">
        <v>2883</v>
      </c>
      <c r="O28" s="281" t="s">
        <v>3168</v>
      </c>
      <c r="P28" s="348" t="s">
        <v>3161</v>
      </c>
      <c r="Q28" s="287" t="s">
        <v>3006</v>
      </c>
    </row>
    <row r="29" spans="1:17" x14ac:dyDescent="0.3">
      <c r="A29" s="252" t="s">
        <v>3004</v>
      </c>
      <c r="B29" s="70" t="s">
        <v>3003</v>
      </c>
      <c r="C29" s="374">
        <v>248</v>
      </c>
      <c r="D29" s="234">
        <v>195</v>
      </c>
      <c r="E29" s="58" t="s">
        <v>2883</v>
      </c>
      <c r="F29" s="232" t="s">
        <v>2883</v>
      </c>
      <c r="G29" s="375">
        <v>499</v>
      </c>
      <c r="H29" s="376" t="s">
        <v>2883</v>
      </c>
      <c r="I29" s="376" t="s">
        <v>2883</v>
      </c>
      <c r="J29" s="370">
        <v>0.05</v>
      </c>
      <c r="K29" s="342">
        <f t="shared" si="0"/>
        <v>1.0120967741935485</v>
      </c>
      <c r="L29" s="235">
        <v>255</v>
      </c>
      <c r="M29" s="58" t="s">
        <v>2883</v>
      </c>
      <c r="N29" s="232" t="s">
        <v>2883</v>
      </c>
      <c r="O29" s="281" t="s">
        <v>3168</v>
      </c>
      <c r="P29" s="348" t="s">
        <v>3161</v>
      </c>
      <c r="Q29" s="278" t="s">
        <v>3004</v>
      </c>
    </row>
    <row r="30" spans="1:17" x14ac:dyDescent="0.3">
      <c r="A30" s="252" t="s">
        <v>3002</v>
      </c>
      <c r="B30" s="70" t="s">
        <v>3001</v>
      </c>
      <c r="C30" s="374">
        <v>243</v>
      </c>
      <c r="D30" s="234">
        <v>130</v>
      </c>
      <c r="E30" s="58" t="s">
        <v>2883</v>
      </c>
      <c r="F30" s="232" t="s">
        <v>2883</v>
      </c>
      <c r="G30" s="375">
        <v>488</v>
      </c>
      <c r="H30" s="376" t="s">
        <v>2883</v>
      </c>
      <c r="I30" s="376" t="s">
        <v>2883</v>
      </c>
      <c r="J30" s="370">
        <v>0.05</v>
      </c>
      <c r="K30" s="342">
        <f t="shared" si="0"/>
        <v>1.0082304526748973</v>
      </c>
      <c r="L30" s="231">
        <v>170</v>
      </c>
      <c r="M30" s="58" t="s">
        <v>2883</v>
      </c>
      <c r="N30" s="232" t="s">
        <v>2883</v>
      </c>
      <c r="O30" s="281" t="s">
        <v>3168</v>
      </c>
      <c r="P30" s="348" t="s">
        <v>3161</v>
      </c>
      <c r="Q30" s="278" t="s">
        <v>3002</v>
      </c>
    </row>
    <row r="31" spans="1:17" x14ac:dyDescent="0.3">
      <c r="A31" s="252" t="s">
        <v>3000</v>
      </c>
      <c r="B31" s="70" t="s">
        <v>2999</v>
      </c>
      <c r="C31" s="374">
        <v>481</v>
      </c>
      <c r="D31" s="234">
        <v>310.5</v>
      </c>
      <c r="E31" s="58">
        <v>20000</v>
      </c>
      <c r="F31" s="232" t="s">
        <v>2883</v>
      </c>
      <c r="G31" s="275"/>
      <c r="H31" s="376">
        <v>54417</v>
      </c>
      <c r="I31" s="376" t="s">
        <v>2883</v>
      </c>
      <c r="J31" s="370">
        <v>7.0000000000000007E-2</v>
      </c>
      <c r="K31" s="342">
        <f t="shared" si="0"/>
        <v>-1</v>
      </c>
      <c r="L31" s="235">
        <v>311</v>
      </c>
      <c r="M31" s="58">
        <v>20000</v>
      </c>
      <c r="N31" s="232" t="s">
        <v>2883</v>
      </c>
      <c r="O31" s="277" t="s">
        <v>3106</v>
      </c>
      <c r="P31" s="348" t="s">
        <v>3161</v>
      </c>
      <c r="Q31" s="278" t="s">
        <v>3000</v>
      </c>
    </row>
    <row r="32" spans="1:17" x14ac:dyDescent="0.3">
      <c r="A32" s="252" t="s">
        <v>2998</v>
      </c>
      <c r="B32" s="70" t="s">
        <v>2997</v>
      </c>
      <c r="C32" s="374">
        <v>246</v>
      </c>
      <c r="D32" s="234">
        <v>170</v>
      </c>
      <c r="E32" s="58" t="s">
        <v>2883</v>
      </c>
      <c r="F32" s="232" t="s">
        <v>2883</v>
      </c>
      <c r="G32" s="375">
        <v>471</v>
      </c>
      <c r="H32" s="376" t="s">
        <v>2883</v>
      </c>
      <c r="I32" s="376" t="s">
        <v>2883</v>
      </c>
      <c r="J32" s="370">
        <v>0.05</v>
      </c>
      <c r="K32" s="342">
        <f t="shared" si="0"/>
        <v>0.91463414634146334</v>
      </c>
      <c r="L32" s="231">
        <v>220</v>
      </c>
      <c r="M32" s="58" t="s">
        <v>2883</v>
      </c>
      <c r="N32" s="232" t="s">
        <v>2883</v>
      </c>
      <c r="O32" s="281" t="s">
        <v>3168</v>
      </c>
      <c r="P32" s="348" t="s">
        <v>3161</v>
      </c>
      <c r="Q32" s="278" t="s">
        <v>2998</v>
      </c>
    </row>
    <row r="33" spans="1:17" x14ac:dyDescent="0.3">
      <c r="A33" s="252" t="s">
        <v>2996</v>
      </c>
      <c r="B33" s="70" t="s">
        <v>2995</v>
      </c>
      <c r="C33" s="374">
        <v>471</v>
      </c>
      <c r="D33" s="234">
        <v>133.75</v>
      </c>
      <c r="E33" s="58">
        <v>17500</v>
      </c>
      <c r="F33" s="232" t="s">
        <v>2883</v>
      </c>
      <c r="G33" s="375" t="s">
        <v>3107</v>
      </c>
      <c r="H33" s="376" t="s">
        <v>2915</v>
      </c>
      <c r="I33" s="376" t="s">
        <v>2883</v>
      </c>
      <c r="J33" s="370" t="s">
        <v>2929</v>
      </c>
      <c r="K33" s="342" t="e">
        <f t="shared" si="0"/>
        <v>#VALUE!</v>
      </c>
      <c r="L33" s="235">
        <v>150</v>
      </c>
      <c r="M33" s="58">
        <v>17500</v>
      </c>
      <c r="N33" s="232" t="s">
        <v>2883</v>
      </c>
      <c r="O33" s="281" t="s">
        <v>3102</v>
      </c>
      <c r="P33" s="348" t="s">
        <v>3161</v>
      </c>
      <c r="Q33" s="278" t="s">
        <v>2996</v>
      </c>
    </row>
    <row r="34" spans="1:17" x14ac:dyDescent="0.3">
      <c r="A34" s="252" t="s">
        <v>2994</v>
      </c>
      <c r="B34" s="70" t="s">
        <v>2993</v>
      </c>
      <c r="C34" s="374">
        <v>376</v>
      </c>
      <c r="D34" s="234">
        <v>201.24999999999997</v>
      </c>
      <c r="E34" s="58" t="s">
        <v>2883</v>
      </c>
      <c r="F34" s="232" t="s">
        <v>2883</v>
      </c>
      <c r="G34" s="375">
        <v>486</v>
      </c>
      <c r="H34" s="376" t="s">
        <v>2883</v>
      </c>
      <c r="I34" s="376" t="s">
        <v>2883</v>
      </c>
      <c r="J34" s="370">
        <v>0.08</v>
      </c>
      <c r="K34" s="342">
        <f t="shared" si="0"/>
        <v>0.29255319148936176</v>
      </c>
      <c r="L34" s="235">
        <v>240</v>
      </c>
      <c r="M34" s="58" t="s">
        <v>2883</v>
      </c>
      <c r="N34" s="232" t="s">
        <v>2883</v>
      </c>
      <c r="O34" s="277" t="s">
        <v>3169</v>
      </c>
      <c r="P34" s="348" t="s">
        <v>3161</v>
      </c>
      <c r="Q34" s="278" t="s">
        <v>2994</v>
      </c>
    </row>
    <row r="35" spans="1:17" x14ac:dyDescent="0.3">
      <c r="A35" s="252" t="s">
        <v>2992</v>
      </c>
      <c r="B35" s="70" t="s">
        <v>2991</v>
      </c>
      <c r="C35" s="374">
        <v>594</v>
      </c>
      <c r="D35" s="234">
        <v>160</v>
      </c>
      <c r="E35" s="58" t="s">
        <v>2883</v>
      </c>
      <c r="F35" s="232" t="s">
        <v>2883</v>
      </c>
      <c r="G35" s="375" t="s">
        <v>2901</v>
      </c>
      <c r="H35" s="376" t="s">
        <v>2883</v>
      </c>
      <c r="I35" s="376" t="s">
        <v>2883</v>
      </c>
      <c r="J35" s="370" t="s">
        <v>2929</v>
      </c>
      <c r="K35" s="342" t="e">
        <f t="shared" si="0"/>
        <v>#VALUE!</v>
      </c>
      <c r="L35" s="235">
        <v>210</v>
      </c>
      <c r="M35" s="58" t="s">
        <v>2883</v>
      </c>
      <c r="N35" s="232" t="s">
        <v>2883</v>
      </c>
      <c r="O35" s="281" t="s">
        <v>3208</v>
      </c>
      <c r="P35" s="348" t="s">
        <v>3161</v>
      </c>
      <c r="Q35" s="278" t="s">
        <v>2992</v>
      </c>
    </row>
    <row r="36" spans="1:17" x14ac:dyDescent="0.3">
      <c r="A36" s="286" t="s">
        <v>2990</v>
      </c>
      <c r="B36" s="70" t="s">
        <v>2989</v>
      </c>
      <c r="C36" s="374">
        <v>106</v>
      </c>
      <c r="D36" s="234">
        <v>133.20000000000002</v>
      </c>
      <c r="E36" s="58" t="s">
        <v>2883</v>
      </c>
      <c r="F36" s="232" t="s">
        <v>2883</v>
      </c>
      <c r="G36" s="375">
        <v>163</v>
      </c>
      <c r="H36" s="376" t="s">
        <v>2883</v>
      </c>
      <c r="I36" s="376" t="s">
        <v>2883</v>
      </c>
      <c r="J36" s="370">
        <v>0.06</v>
      </c>
      <c r="K36" s="342">
        <f t="shared" si="0"/>
        <v>0.53773584905660377</v>
      </c>
      <c r="L36" s="231">
        <v>175</v>
      </c>
      <c r="M36" s="58" t="s">
        <v>2883</v>
      </c>
      <c r="N36" s="232" t="s">
        <v>2883</v>
      </c>
      <c r="O36" s="281" t="s">
        <v>3168</v>
      </c>
      <c r="P36" s="348" t="s">
        <v>3161</v>
      </c>
      <c r="Q36" s="287" t="s">
        <v>2990</v>
      </c>
    </row>
    <row r="37" spans="1:17" x14ac:dyDescent="0.3">
      <c r="A37" s="288" t="s">
        <v>2988</v>
      </c>
      <c r="B37" s="70" t="s">
        <v>2987</v>
      </c>
      <c r="C37" s="374">
        <v>88</v>
      </c>
      <c r="D37" s="234">
        <v>171.20000000000002</v>
      </c>
      <c r="E37" s="58" t="s">
        <v>2883</v>
      </c>
      <c r="F37" s="232" t="s">
        <v>2883</v>
      </c>
      <c r="G37" s="375">
        <v>278</v>
      </c>
      <c r="H37" s="376" t="s">
        <v>2883</v>
      </c>
      <c r="I37" s="376" t="s">
        <v>2883</v>
      </c>
      <c r="J37" s="370">
        <v>0.12</v>
      </c>
      <c r="K37" s="342">
        <f t="shared" si="0"/>
        <v>2.1590909090909092</v>
      </c>
      <c r="L37" s="231">
        <v>220</v>
      </c>
      <c r="M37" s="58" t="s">
        <v>2883</v>
      </c>
      <c r="N37" s="232" t="s">
        <v>2883</v>
      </c>
      <c r="O37" s="281" t="s">
        <v>3173</v>
      </c>
      <c r="P37" s="348" t="s">
        <v>3161</v>
      </c>
      <c r="Q37" s="289" t="s">
        <v>2988</v>
      </c>
    </row>
    <row r="38" spans="1:17" x14ac:dyDescent="0.3">
      <c r="A38" s="290" t="s">
        <v>2986</v>
      </c>
      <c r="B38" s="70" t="s">
        <v>2985</v>
      </c>
      <c r="C38" s="374">
        <v>226</v>
      </c>
      <c r="D38" s="234">
        <v>325</v>
      </c>
      <c r="E38" s="58" t="s">
        <v>2883</v>
      </c>
      <c r="F38" s="232" t="s">
        <v>2883</v>
      </c>
      <c r="G38" s="375">
        <v>301</v>
      </c>
      <c r="H38" s="376" t="s">
        <v>2883</v>
      </c>
      <c r="I38" s="376" t="s">
        <v>2883</v>
      </c>
      <c r="J38" s="370">
        <v>0.11</v>
      </c>
      <c r="K38" s="342">
        <f t="shared" si="0"/>
        <v>0.33185840707964598</v>
      </c>
      <c r="L38" s="231">
        <v>390</v>
      </c>
      <c r="M38" s="58" t="s">
        <v>2883</v>
      </c>
      <c r="N38" s="232" t="s">
        <v>2883</v>
      </c>
      <c r="O38" s="285" t="s">
        <v>3169</v>
      </c>
      <c r="P38" s="348" t="s">
        <v>3161</v>
      </c>
      <c r="Q38" s="291" t="s">
        <v>2986</v>
      </c>
    </row>
    <row r="39" spans="1:17" x14ac:dyDescent="0.3">
      <c r="A39" s="288" t="s">
        <v>2984</v>
      </c>
      <c r="B39" s="70" t="s">
        <v>2983</v>
      </c>
      <c r="C39" s="374">
        <v>190</v>
      </c>
      <c r="D39" s="234">
        <v>155</v>
      </c>
      <c r="E39" s="58">
        <v>20000</v>
      </c>
      <c r="F39" s="232" t="s">
        <v>2883</v>
      </c>
      <c r="G39" s="375">
        <v>278</v>
      </c>
      <c r="H39" s="376" t="s">
        <v>2915</v>
      </c>
      <c r="I39" s="376" t="s">
        <v>2883</v>
      </c>
      <c r="J39" s="370">
        <v>7.0000000000000007E-2</v>
      </c>
      <c r="K39" s="342">
        <f t="shared" si="0"/>
        <v>0.46315789473684221</v>
      </c>
      <c r="L39" s="231">
        <v>185</v>
      </c>
      <c r="M39" s="58">
        <v>20000</v>
      </c>
      <c r="N39" s="232" t="s">
        <v>2883</v>
      </c>
      <c r="O39" s="285" t="s">
        <v>3174</v>
      </c>
      <c r="P39" s="348" t="s">
        <v>3161</v>
      </c>
      <c r="Q39" s="289" t="s">
        <v>2984</v>
      </c>
    </row>
    <row r="40" spans="1:17" x14ac:dyDescent="0.3">
      <c r="A40" s="252" t="s">
        <v>2982</v>
      </c>
      <c r="B40" s="70" t="s">
        <v>2981</v>
      </c>
      <c r="C40" s="374">
        <v>195</v>
      </c>
      <c r="D40" s="234">
        <v>202.8</v>
      </c>
      <c r="E40" s="58" t="s">
        <v>2883</v>
      </c>
      <c r="F40" s="232" t="s">
        <v>2883</v>
      </c>
      <c r="G40" s="375">
        <v>379</v>
      </c>
      <c r="H40" s="376" t="s">
        <v>2883</v>
      </c>
      <c r="I40" s="376" t="s">
        <v>2883</v>
      </c>
      <c r="J40" s="370">
        <v>0.08</v>
      </c>
      <c r="K40" s="342">
        <f t="shared" si="0"/>
        <v>0.94358974358974357</v>
      </c>
      <c r="L40" s="231">
        <v>265</v>
      </c>
      <c r="M40" s="58" t="s">
        <v>2883</v>
      </c>
      <c r="N40" s="232" t="s">
        <v>2883</v>
      </c>
      <c r="O40" s="285" t="s">
        <v>3168</v>
      </c>
      <c r="P40" s="348" t="s">
        <v>3161</v>
      </c>
      <c r="Q40" s="278" t="s">
        <v>2982</v>
      </c>
    </row>
    <row r="41" spans="1:17" x14ac:dyDescent="0.3">
      <c r="A41" s="292" t="s">
        <v>2980</v>
      </c>
      <c r="B41" s="70" t="s">
        <v>2979</v>
      </c>
      <c r="C41" s="374">
        <v>384</v>
      </c>
      <c r="D41" s="234">
        <v>210.9</v>
      </c>
      <c r="E41" s="58" t="s">
        <v>2883</v>
      </c>
      <c r="F41" s="232" t="s">
        <v>2883</v>
      </c>
      <c r="G41" s="375">
        <v>541</v>
      </c>
      <c r="H41" s="376" t="s">
        <v>2883</v>
      </c>
      <c r="I41" s="376" t="s">
        <v>2883</v>
      </c>
      <c r="J41" s="370">
        <v>0.06</v>
      </c>
      <c r="K41" s="342">
        <f t="shared" si="0"/>
        <v>0.40885416666666674</v>
      </c>
      <c r="L41" s="231">
        <v>275</v>
      </c>
      <c r="M41" s="58" t="s">
        <v>2883</v>
      </c>
      <c r="N41" s="232" t="s">
        <v>2883</v>
      </c>
      <c r="O41" s="285" t="s">
        <v>3168</v>
      </c>
      <c r="P41" s="348" t="s">
        <v>3161</v>
      </c>
      <c r="Q41" s="293" t="s">
        <v>2980</v>
      </c>
    </row>
    <row r="42" spans="1:17" x14ac:dyDescent="0.3">
      <c r="A42" s="292" t="s">
        <v>2978</v>
      </c>
      <c r="B42" s="70" t="s">
        <v>2977</v>
      </c>
      <c r="C42" s="374">
        <v>384</v>
      </c>
      <c r="D42" s="234">
        <v>350</v>
      </c>
      <c r="E42" s="58" t="s">
        <v>2883</v>
      </c>
      <c r="F42" s="232" t="s">
        <v>2883</v>
      </c>
      <c r="G42" s="375">
        <v>541</v>
      </c>
      <c r="H42" s="376" t="s">
        <v>2883</v>
      </c>
      <c r="I42" s="376" t="s">
        <v>2883</v>
      </c>
      <c r="J42" s="370">
        <v>0.06</v>
      </c>
      <c r="K42" s="342">
        <f t="shared" si="0"/>
        <v>0.40885416666666674</v>
      </c>
      <c r="L42" s="231">
        <v>455</v>
      </c>
      <c r="M42" s="58" t="s">
        <v>2883</v>
      </c>
      <c r="N42" s="232" t="s">
        <v>2883</v>
      </c>
      <c r="O42" s="285" t="s">
        <v>3191</v>
      </c>
      <c r="P42" s="348" t="s">
        <v>3161</v>
      </c>
      <c r="Q42" s="293" t="s">
        <v>2978</v>
      </c>
    </row>
    <row r="43" spans="1:17" x14ac:dyDescent="0.3">
      <c r="A43" s="252" t="s">
        <v>2974</v>
      </c>
      <c r="B43" s="70" t="s">
        <v>2973</v>
      </c>
      <c r="C43" s="374">
        <v>957</v>
      </c>
      <c r="D43" s="234">
        <v>215.25</v>
      </c>
      <c r="E43" s="58" t="s">
        <v>2883</v>
      </c>
      <c r="F43" s="232" t="s">
        <v>2883</v>
      </c>
      <c r="G43" s="375">
        <v>924</v>
      </c>
      <c r="H43" s="376" t="s">
        <v>2883</v>
      </c>
      <c r="I43" s="376" t="s">
        <v>2883</v>
      </c>
      <c r="J43" s="370">
        <v>7.0000000000000007E-2</v>
      </c>
      <c r="K43" s="342">
        <f t="shared" si="0"/>
        <v>-3.4482758620689613E-2</v>
      </c>
      <c r="L43" s="235">
        <v>235</v>
      </c>
      <c r="M43" s="58" t="s">
        <v>2883</v>
      </c>
      <c r="N43" s="232" t="s">
        <v>2883</v>
      </c>
      <c r="O43" s="281" t="s">
        <v>3102</v>
      </c>
      <c r="P43" s="348" t="s">
        <v>3161</v>
      </c>
      <c r="Q43" s="278" t="s">
        <v>2974</v>
      </c>
    </row>
    <row r="44" spans="1:17" x14ac:dyDescent="0.3">
      <c r="A44" s="292" t="s">
        <v>2972</v>
      </c>
      <c r="B44" s="70" t="s">
        <v>2971</v>
      </c>
      <c r="C44" s="374">
        <v>384</v>
      </c>
      <c r="D44" s="234">
        <v>190</v>
      </c>
      <c r="E44" s="58" t="s">
        <v>2883</v>
      </c>
      <c r="F44" s="232" t="s">
        <v>2883</v>
      </c>
      <c r="G44" s="375">
        <v>541</v>
      </c>
      <c r="H44" s="376" t="s">
        <v>2883</v>
      </c>
      <c r="I44" s="376" t="s">
        <v>2883</v>
      </c>
      <c r="J44" s="370">
        <v>0.06</v>
      </c>
      <c r="K44" s="342">
        <f t="shared" si="0"/>
        <v>0.40885416666666674</v>
      </c>
      <c r="L44" s="231">
        <v>230</v>
      </c>
      <c r="M44" s="58" t="s">
        <v>2883</v>
      </c>
      <c r="N44" s="232" t="s">
        <v>2883</v>
      </c>
      <c r="O44" s="281" t="s">
        <v>3195</v>
      </c>
      <c r="P44" s="348" t="s">
        <v>3161</v>
      </c>
      <c r="Q44" s="293" t="s">
        <v>2972</v>
      </c>
    </row>
    <row r="45" spans="1:17" x14ac:dyDescent="0.3">
      <c r="A45" s="294" t="s">
        <v>2970</v>
      </c>
      <c r="B45" s="70" t="s">
        <v>2969</v>
      </c>
      <c r="C45" s="374">
        <v>402</v>
      </c>
      <c r="D45" s="234">
        <v>132</v>
      </c>
      <c r="E45" s="58" t="s">
        <v>2883</v>
      </c>
      <c r="F45" s="232" t="s">
        <v>2883</v>
      </c>
      <c r="G45" s="375">
        <v>238</v>
      </c>
      <c r="H45" s="376" t="s">
        <v>2883</v>
      </c>
      <c r="I45" s="376" t="s">
        <v>2883</v>
      </c>
      <c r="J45" s="370">
        <v>7.0000000000000007E-2</v>
      </c>
      <c r="K45" s="342">
        <f t="shared" si="0"/>
        <v>-0.40796019900497515</v>
      </c>
      <c r="L45" s="231">
        <v>145</v>
      </c>
      <c r="M45" s="58" t="s">
        <v>2883</v>
      </c>
      <c r="N45" s="232" t="s">
        <v>2883</v>
      </c>
      <c r="O45" s="277" t="s">
        <v>3102</v>
      </c>
      <c r="P45" s="348" t="s">
        <v>3161</v>
      </c>
      <c r="Q45" s="295" t="s">
        <v>2970</v>
      </c>
    </row>
    <row r="46" spans="1:17" x14ac:dyDescent="0.3">
      <c r="A46" s="296" t="s">
        <v>2968</v>
      </c>
      <c r="B46" s="70" t="s">
        <v>2967</v>
      </c>
      <c r="C46" s="374">
        <v>529</v>
      </c>
      <c r="D46" s="234">
        <v>212</v>
      </c>
      <c r="E46" s="58" t="s">
        <v>2883</v>
      </c>
      <c r="F46" s="232">
        <v>17500</v>
      </c>
      <c r="G46" s="375">
        <v>570</v>
      </c>
      <c r="H46" s="376" t="s">
        <v>2883</v>
      </c>
      <c r="I46" s="376" t="s">
        <v>2966</v>
      </c>
      <c r="J46" s="370">
        <v>7.0000000000000007E-2</v>
      </c>
      <c r="K46" s="342">
        <f t="shared" si="0"/>
        <v>7.7504725897920679E-2</v>
      </c>
      <c r="L46" s="231">
        <v>235</v>
      </c>
      <c r="M46" s="58" t="s">
        <v>2883</v>
      </c>
      <c r="N46" s="232">
        <v>17500</v>
      </c>
      <c r="O46" s="277" t="s">
        <v>3162</v>
      </c>
      <c r="P46" s="348" t="s">
        <v>3161</v>
      </c>
      <c r="Q46" s="297" t="s">
        <v>2968</v>
      </c>
    </row>
    <row r="47" spans="1:17" x14ac:dyDescent="0.3">
      <c r="A47" s="296" t="s">
        <v>2965</v>
      </c>
      <c r="B47" s="70" t="s">
        <v>2964</v>
      </c>
      <c r="C47" s="374">
        <v>529</v>
      </c>
      <c r="D47" s="234">
        <v>180.20000000000002</v>
      </c>
      <c r="E47" s="58" t="s">
        <v>2883</v>
      </c>
      <c r="F47" s="232" t="s">
        <v>2883</v>
      </c>
      <c r="G47" s="375">
        <v>570</v>
      </c>
      <c r="H47" s="376" t="s">
        <v>2883</v>
      </c>
      <c r="I47" s="376" t="s">
        <v>2883</v>
      </c>
      <c r="J47" s="370">
        <v>7.0000000000000007E-2</v>
      </c>
      <c r="K47" s="342">
        <f t="shared" si="0"/>
        <v>7.7504725897920679E-2</v>
      </c>
      <c r="L47" s="231">
        <v>200</v>
      </c>
      <c r="M47" s="58" t="s">
        <v>2883</v>
      </c>
      <c r="N47" s="232" t="s">
        <v>2883</v>
      </c>
      <c r="O47" s="277" t="s">
        <v>3175</v>
      </c>
      <c r="P47" s="348" t="s">
        <v>3161</v>
      </c>
      <c r="Q47" s="297" t="s">
        <v>2965</v>
      </c>
    </row>
    <row r="48" spans="1:17" x14ac:dyDescent="0.3">
      <c r="A48" s="252" t="s">
        <v>2963</v>
      </c>
      <c r="B48" s="70" t="s">
        <v>2962</v>
      </c>
      <c r="C48" s="374">
        <v>328</v>
      </c>
      <c r="D48" s="234">
        <v>149.5</v>
      </c>
      <c r="E48" s="58" t="s">
        <v>2883</v>
      </c>
      <c r="F48" s="232" t="s">
        <v>2883</v>
      </c>
      <c r="G48" s="375">
        <v>568</v>
      </c>
      <c r="H48" s="376" t="s">
        <v>2883</v>
      </c>
      <c r="I48" s="376" t="s">
        <v>2883</v>
      </c>
      <c r="J48" s="370">
        <v>7.0000000000000007E-2</v>
      </c>
      <c r="K48" s="342">
        <f t="shared" si="0"/>
        <v>0.73170731707317072</v>
      </c>
      <c r="L48" s="231">
        <v>195</v>
      </c>
      <c r="M48" s="58" t="s">
        <v>2883</v>
      </c>
      <c r="N48" s="232" t="s">
        <v>2883</v>
      </c>
      <c r="O48" s="277" t="s">
        <v>3168</v>
      </c>
      <c r="P48" s="348" t="s">
        <v>3161</v>
      </c>
      <c r="Q48" s="278" t="s">
        <v>2963</v>
      </c>
    </row>
    <row r="49" spans="1:17" x14ac:dyDescent="0.3">
      <c r="A49" s="252" t="s">
        <v>2961</v>
      </c>
      <c r="B49" s="70" t="s">
        <v>2960</v>
      </c>
      <c r="C49" s="374">
        <v>346</v>
      </c>
      <c r="D49" s="234">
        <v>210</v>
      </c>
      <c r="E49" s="58" t="s">
        <v>2883</v>
      </c>
      <c r="F49" s="232" t="s">
        <v>2883</v>
      </c>
      <c r="G49" s="375">
        <v>403</v>
      </c>
      <c r="H49" s="376" t="s">
        <v>2883</v>
      </c>
      <c r="I49" s="376" t="s">
        <v>2883</v>
      </c>
      <c r="J49" s="370">
        <v>0.09</v>
      </c>
      <c r="K49" s="342">
        <f t="shared" si="0"/>
        <v>0.16473988439306364</v>
      </c>
      <c r="L49" s="231">
        <v>230</v>
      </c>
      <c r="M49" s="58" t="s">
        <v>2883</v>
      </c>
      <c r="N49" s="232" t="s">
        <v>2883</v>
      </c>
      <c r="O49" s="277" t="s">
        <v>3102</v>
      </c>
      <c r="P49" s="348" t="s">
        <v>3161</v>
      </c>
      <c r="Q49" s="278" t="s">
        <v>2961</v>
      </c>
    </row>
    <row r="50" spans="1:17" x14ac:dyDescent="0.3">
      <c r="A50" s="252" t="s">
        <v>2959</v>
      </c>
      <c r="B50" s="70" t="s">
        <v>2958</v>
      </c>
      <c r="C50" s="374">
        <v>269</v>
      </c>
      <c r="D50" s="234">
        <v>299.75</v>
      </c>
      <c r="E50" s="58" t="s">
        <v>2883</v>
      </c>
      <c r="F50" s="232" t="s">
        <v>2883</v>
      </c>
      <c r="G50" s="375">
        <v>536</v>
      </c>
      <c r="H50" s="376" t="s">
        <v>2883</v>
      </c>
      <c r="I50" s="376" t="s">
        <v>2883</v>
      </c>
      <c r="J50" s="370">
        <v>0.09</v>
      </c>
      <c r="K50" s="342">
        <f t="shared" si="0"/>
        <v>0.99256505576208176</v>
      </c>
      <c r="L50" s="231">
        <v>390</v>
      </c>
      <c r="M50" s="58" t="s">
        <v>2883</v>
      </c>
      <c r="N50" s="232" t="s">
        <v>2883</v>
      </c>
      <c r="O50" s="277" t="s">
        <v>3168</v>
      </c>
      <c r="P50" s="348" t="s">
        <v>3161</v>
      </c>
      <c r="Q50" s="278" t="s">
        <v>2959</v>
      </c>
    </row>
    <row r="51" spans="1:17" x14ac:dyDescent="0.3">
      <c r="A51" s="252" t="s">
        <v>2957</v>
      </c>
      <c r="B51" s="70" t="s">
        <v>2956</v>
      </c>
      <c r="C51" s="374">
        <v>177</v>
      </c>
      <c r="D51" s="234">
        <v>197.95000000000002</v>
      </c>
      <c r="E51" s="58" t="s">
        <v>2883</v>
      </c>
      <c r="F51" s="232" t="s">
        <v>2883</v>
      </c>
      <c r="G51" s="375">
        <v>348</v>
      </c>
      <c r="H51" s="376" t="s">
        <v>2883</v>
      </c>
      <c r="I51" s="376" t="s">
        <v>2883</v>
      </c>
      <c r="J51" s="370">
        <v>0.1</v>
      </c>
      <c r="K51" s="342">
        <f t="shared" si="0"/>
        <v>0.96610169491525433</v>
      </c>
      <c r="L51" s="231">
        <v>255</v>
      </c>
      <c r="M51" s="58" t="s">
        <v>2883</v>
      </c>
      <c r="N51" s="232" t="s">
        <v>2883</v>
      </c>
      <c r="O51" s="277" t="s">
        <v>3168</v>
      </c>
      <c r="P51" s="348" t="s">
        <v>3161</v>
      </c>
      <c r="Q51" s="278" t="s">
        <v>2957</v>
      </c>
    </row>
    <row r="52" spans="1:17" x14ac:dyDescent="0.3">
      <c r="A52" s="252" t="s">
        <v>2955</v>
      </c>
      <c r="B52" s="70" t="s">
        <v>2954</v>
      </c>
      <c r="C52" s="374">
        <v>313</v>
      </c>
      <c r="D52" s="234">
        <v>185</v>
      </c>
      <c r="E52" s="58" t="s">
        <v>2883</v>
      </c>
      <c r="F52" s="232" t="s">
        <v>2883</v>
      </c>
      <c r="G52" s="375">
        <v>419</v>
      </c>
      <c r="H52" s="376" t="s">
        <v>2883</v>
      </c>
      <c r="I52" s="376" t="s">
        <v>2883</v>
      </c>
      <c r="J52" s="370">
        <v>0.09</v>
      </c>
      <c r="K52" s="342">
        <f t="shared" si="0"/>
        <v>0.33865814696485619</v>
      </c>
      <c r="L52" s="231">
        <v>220</v>
      </c>
      <c r="M52" s="58" t="s">
        <v>2883</v>
      </c>
      <c r="N52" s="232" t="s">
        <v>2883</v>
      </c>
      <c r="O52" s="277" t="s">
        <v>3169</v>
      </c>
      <c r="P52" s="348" t="s">
        <v>3161</v>
      </c>
      <c r="Q52" s="278" t="s">
        <v>2955</v>
      </c>
    </row>
    <row r="53" spans="1:17" x14ac:dyDescent="0.3">
      <c r="A53" s="252" t="s">
        <v>2953</v>
      </c>
      <c r="B53" s="70" t="s">
        <v>2952</v>
      </c>
      <c r="C53" s="374">
        <v>415</v>
      </c>
      <c r="D53" s="234">
        <v>226.2</v>
      </c>
      <c r="E53" s="58" t="s">
        <v>2883</v>
      </c>
      <c r="F53" s="232" t="s">
        <v>2883</v>
      </c>
      <c r="G53" s="375">
        <v>445</v>
      </c>
      <c r="H53" s="376" t="s">
        <v>2883</v>
      </c>
      <c r="I53" s="376" t="s">
        <v>2883</v>
      </c>
      <c r="J53" s="370">
        <v>0.09</v>
      </c>
      <c r="K53" s="342">
        <f t="shared" si="0"/>
        <v>7.2289156626506035E-2</v>
      </c>
      <c r="L53" s="231">
        <v>250</v>
      </c>
      <c r="M53" s="58" t="s">
        <v>2883</v>
      </c>
      <c r="N53" s="232" t="s">
        <v>2883</v>
      </c>
      <c r="O53" s="277" t="s">
        <v>3102</v>
      </c>
      <c r="P53" s="348" t="s">
        <v>3161</v>
      </c>
      <c r="Q53" s="278" t="s">
        <v>2953</v>
      </c>
    </row>
    <row r="54" spans="1:17" x14ac:dyDescent="0.3">
      <c r="A54" s="298" t="s">
        <v>2951</v>
      </c>
      <c r="B54" s="70" t="s">
        <v>2950</v>
      </c>
      <c r="C54" s="374">
        <v>447</v>
      </c>
      <c r="D54" s="234">
        <v>203.50000000000003</v>
      </c>
      <c r="E54" s="58">
        <v>20000</v>
      </c>
      <c r="F54" s="232" t="s">
        <v>2883</v>
      </c>
      <c r="G54" s="375">
        <v>278</v>
      </c>
      <c r="H54" s="376">
        <v>36426</v>
      </c>
      <c r="I54" s="376" t="s">
        <v>2883</v>
      </c>
      <c r="J54" s="276"/>
      <c r="K54" s="342">
        <f t="shared" si="0"/>
        <v>-0.37807606263982108</v>
      </c>
      <c r="L54" s="231">
        <v>205</v>
      </c>
      <c r="M54" s="58">
        <v>20000</v>
      </c>
      <c r="N54" s="232" t="s">
        <v>2883</v>
      </c>
      <c r="O54" s="281" t="s">
        <v>3158</v>
      </c>
      <c r="P54" s="348" t="s">
        <v>3161</v>
      </c>
      <c r="Q54" s="299" t="s">
        <v>2951</v>
      </c>
    </row>
    <row r="55" spans="1:17" x14ac:dyDescent="0.3">
      <c r="A55" s="252" t="s">
        <v>2949</v>
      </c>
      <c r="B55" s="70" t="s">
        <v>2948</v>
      </c>
      <c r="C55" s="374">
        <v>203</v>
      </c>
      <c r="D55" s="234">
        <v>148.19999999999999</v>
      </c>
      <c r="E55" s="58">
        <v>20000</v>
      </c>
      <c r="F55" s="232" t="s">
        <v>2883</v>
      </c>
      <c r="G55" s="375">
        <v>253</v>
      </c>
      <c r="H55" s="376">
        <v>36426</v>
      </c>
      <c r="I55" s="376" t="s">
        <v>2883</v>
      </c>
      <c r="J55" s="370">
        <v>0.09</v>
      </c>
      <c r="K55" s="342">
        <f t="shared" si="0"/>
        <v>0.24630541871921174</v>
      </c>
      <c r="L55" s="231">
        <v>180</v>
      </c>
      <c r="M55" s="58">
        <v>20000</v>
      </c>
      <c r="N55" s="232" t="s">
        <v>2883</v>
      </c>
      <c r="O55" s="281" t="s">
        <v>3176</v>
      </c>
      <c r="P55" s="348" t="s">
        <v>3161</v>
      </c>
      <c r="Q55" s="278" t="s">
        <v>2949</v>
      </c>
    </row>
    <row r="56" spans="1:17" x14ac:dyDescent="0.3">
      <c r="A56" s="252" t="s">
        <v>2947</v>
      </c>
      <c r="B56" s="70" t="s">
        <v>2946</v>
      </c>
      <c r="C56" s="374" t="s">
        <v>2883</v>
      </c>
      <c r="D56" s="234" t="s">
        <v>2883</v>
      </c>
      <c r="E56" s="58" t="s">
        <v>2883</v>
      </c>
      <c r="F56" s="232">
        <v>20000</v>
      </c>
      <c r="G56" s="375" t="s">
        <v>2883</v>
      </c>
      <c r="H56" s="376" t="s">
        <v>2883</v>
      </c>
      <c r="I56" s="376">
        <v>47850</v>
      </c>
      <c r="J56" s="370">
        <v>0.08</v>
      </c>
      <c r="K56" s="342">
        <f>(I56/F56)-1</f>
        <v>1.3925000000000001</v>
      </c>
      <c r="L56" s="234" t="s">
        <v>2883</v>
      </c>
      <c r="M56" s="58" t="s">
        <v>2883</v>
      </c>
      <c r="N56" s="232">
        <v>26000</v>
      </c>
      <c r="O56" s="281" t="s">
        <v>3168</v>
      </c>
      <c r="P56" s="348" t="s">
        <v>3161</v>
      </c>
      <c r="Q56" s="278" t="s">
        <v>2947</v>
      </c>
    </row>
    <row r="57" spans="1:17" x14ac:dyDescent="0.3">
      <c r="A57" s="252" t="s">
        <v>2945</v>
      </c>
      <c r="B57" s="70" t="s">
        <v>2944</v>
      </c>
      <c r="C57" s="374">
        <v>109</v>
      </c>
      <c r="D57" s="234">
        <v>218.4</v>
      </c>
      <c r="E57" s="58">
        <v>20000</v>
      </c>
      <c r="F57" s="232" t="s">
        <v>2883</v>
      </c>
      <c r="G57" s="375">
        <v>372</v>
      </c>
      <c r="H57" s="376" t="s">
        <v>2915</v>
      </c>
      <c r="I57" s="376" t="s">
        <v>2883</v>
      </c>
      <c r="J57" s="370">
        <v>0.09</v>
      </c>
      <c r="K57" s="342">
        <f t="shared" si="0"/>
        <v>2.4128440366972477</v>
      </c>
      <c r="L57" s="235">
        <v>285</v>
      </c>
      <c r="M57" s="58">
        <v>20000</v>
      </c>
      <c r="N57" s="232" t="s">
        <v>2883</v>
      </c>
      <c r="O57" s="281" t="s">
        <v>3168</v>
      </c>
      <c r="P57" s="348" t="s">
        <v>3161</v>
      </c>
      <c r="Q57" s="278" t="s">
        <v>2945</v>
      </c>
    </row>
    <row r="58" spans="1:17" x14ac:dyDescent="0.3">
      <c r="A58" s="300" t="s">
        <v>2943</v>
      </c>
      <c r="B58" s="70" t="s">
        <v>2942</v>
      </c>
      <c r="C58" s="374">
        <v>548</v>
      </c>
      <c r="D58" s="234">
        <v>275</v>
      </c>
      <c r="E58" s="58" t="s">
        <v>2883</v>
      </c>
      <c r="F58" s="232" t="s">
        <v>2883</v>
      </c>
      <c r="G58" s="375">
        <v>589</v>
      </c>
      <c r="H58" s="376" t="s">
        <v>2883</v>
      </c>
      <c r="I58" s="376" t="s">
        <v>2883</v>
      </c>
      <c r="J58" s="370">
        <v>0.08</v>
      </c>
      <c r="K58" s="342">
        <f t="shared" si="0"/>
        <v>7.4817518248175174E-2</v>
      </c>
      <c r="L58" s="235">
        <v>300</v>
      </c>
      <c r="M58" s="58" t="s">
        <v>2883</v>
      </c>
      <c r="N58" s="232" t="s">
        <v>2883</v>
      </c>
      <c r="O58" s="281" t="s">
        <v>3177</v>
      </c>
      <c r="P58" s="348" t="s">
        <v>3161</v>
      </c>
      <c r="Q58" s="301" t="s">
        <v>2943</v>
      </c>
    </row>
    <row r="59" spans="1:17" x14ac:dyDescent="0.3">
      <c r="A59" s="252" t="s">
        <v>2941</v>
      </c>
      <c r="B59" s="70" t="s">
        <v>2940</v>
      </c>
      <c r="C59" s="374">
        <v>141</v>
      </c>
      <c r="D59" s="234">
        <v>160</v>
      </c>
      <c r="E59" s="58">
        <v>20000</v>
      </c>
      <c r="F59" s="232" t="s">
        <v>2883</v>
      </c>
      <c r="G59" s="375">
        <v>360</v>
      </c>
      <c r="H59" s="376" t="s">
        <v>2883</v>
      </c>
      <c r="I59" s="376" t="s">
        <v>2883</v>
      </c>
      <c r="J59" s="370">
        <v>7.0000000000000007E-2</v>
      </c>
      <c r="K59" s="342">
        <f t="shared" si="0"/>
        <v>1.5531914893617023</v>
      </c>
      <c r="L59" s="235">
        <v>210</v>
      </c>
      <c r="M59" s="58">
        <v>20000</v>
      </c>
      <c r="N59" s="232" t="s">
        <v>2883</v>
      </c>
      <c r="O59" s="281" t="s">
        <v>3172</v>
      </c>
      <c r="P59" s="348" t="s">
        <v>3161</v>
      </c>
      <c r="Q59" s="278" t="s">
        <v>2941</v>
      </c>
    </row>
    <row r="60" spans="1:17" x14ac:dyDescent="0.3">
      <c r="A60" s="252" t="s">
        <v>2937</v>
      </c>
      <c r="B60" s="70" t="s">
        <v>2936</v>
      </c>
      <c r="C60" s="374">
        <v>367</v>
      </c>
      <c r="D60" s="234">
        <v>302.5</v>
      </c>
      <c r="E60" s="58" t="s">
        <v>2883</v>
      </c>
      <c r="F60" s="232" t="s">
        <v>2883</v>
      </c>
      <c r="G60" s="375">
        <v>564</v>
      </c>
      <c r="H60" s="376" t="s">
        <v>2883</v>
      </c>
      <c r="I60" s="376" t="s">
        <v>2883</v>
      </c>
      <c r="J60" s="370">
        <v>0.09</v>
      </c>
      <c r="K60" s="342">
        <f t="shared" si="0"/>
        <v>0.53678474114441421</v>
      </c>
      <c r="L60" s="231">
        <v>395</v>
      </c>
      <c r="M60" s="58" t="s">
        <v>2883</v>
      </c>
      <c r="N60" s="232" t="s">
        <v>2883</v>
      </c>
      <c r="O60" s="285" t="s">
        <v>3168</v>
      </c>
      <c r="P60" s="348" t="s">
        <v>3161</v>
      </c>
      <c r="Q60" s="278" t="s">
        <v>2937</v>
      </c>
    </row>
    <row r="61" spans="1:17" x14ac:dyDescent="0.3">
      <c r="A61" s="252" t="s">
        <v>2935</v>
      </c>
      <c r="B61" s="70" t="s">
        <v>2934</v>
      </c>
      <c r="C61" s="374">
        <v>386</v>
      </c>
      <c r="D61" s="234">
        <v>412</v>
      </c>
      <c r="E61" s="58" t="s">
        <v>2883</v>
      </c>
      <c r="F61" s="232" t="s">
        <v>2883</v>
      </c>
      <c r="G61" s="375">
        <v>725</v>
      </c>
      <c r="H61" s="376" t="s">
        <v>2883</v>
      </c>
      <c r="I61" s="376" t="s">
        <v>2883</v>
      </c>
      <c r="J61" s="370">
        <v>0.09</v>
      </c>
      <c r="K61" s="342">
        <f t="shared" si="0"/>
        <v>0.87823834196891193</v>
      </c>
      <c r="L61" s="235">
        <v>535</v>
      </c>
      <c r="M61" s="58" t="s">
        <v>2883</v>
      </c>
      <c r="N61" s="232" t="s">
        <v>2883</v>
      </c>
      <c r="O61" s="285" t="s">
        <v>3168</v>
      </c>
      <c r="P61" s="348" t="s">
        <v>3161</v>
      </c>
      <c r="Q61" s="278" t="s">
        <v>2935</v>
      </c>
    </row>
    <row r="62" spans="1:17" x14ac:dyDescent="0.3">
      <c r="A62" s="302" t="s">
        <v>2933</v>
      </c>
      <c r="B62" s="70" t="s">
        <v>2932</v>
      </c>
      <c r="C62" s="374">
        <v>185</v>
      </c>
      <c r="D62" s="234">
        <v>175</v>
      </c>
      <c r="E62" s="58" t="s">
        <v>2883</v>
      </c>
      <c r="F62" s="232" t="s">
        <v>2883</v>
      </c>
      <c r="G62" s="375">
        <v>364</v>
      </c>
      <c r="H62" s="376" t="s">
        <v>2883</v>
      </c>
      <c r="I62" s="376" t="s">
        <v>2883</v>
      </c>
      <c r="J62" s="370">
        <v>0.09</v>
      </c>
      <c r="K62" s="342">
        <f t="shared" si="0"/>
        <v>0.96756756756756768</v>
      </c>
      <c r="L62" s="235">
        <v>230</v>
      </c>
      <c r="M62" s="58" t="s">
        <v>2883</v>
      </c>
      <c r="N62" s="232" t="s">
        <v>2883</v>
      </c>
      <c r="O62" s="281" t="s">
        <v>3168</v>
      </c>
      <c r="P62" s="348" t="s">
        <v>3161</v>
      </c>
      <c r="Q62" s="303" t="s">
        <v>2933</v>
      </c>
    </row>
    <row r="63" spans="1:17" x14ac:dyDescent="0.3">
      <c r="A63" s="252" t="s">
        <v>2931</v>
      </c>
      <c r="B63" s="341" t="s">
        <v>1945</v>
      </c>
      <c r="C63" s="374">
        <v>71625</v>
      </c>
      <c r="D63" s="234" t="s">
        <v>2883</v>
      </c>
      <c r="E63" s="58" t="s">
        <v>2883</v>
      </c>
      <c r="F63" s="232">
        <v>37500</v>
      </c>
      <c r="G63" s="375">
        <v>797</v>
      </c>
      <c r="H63" s="376" t="s">
        <v>2883</v>
      </c>
      <c r="I63" s="376">
        <v>74493</v>
      </c>
      <c r="J63" s="370">
        <v>0.1</v>
      </c>
      <c r="K63" s="342">
        <f>(I63/C63)-1</f>
        <v>4.0041884816753859E-2</v>
      </c>
      <c r="L63" s="234" t="s">
        <v>2883</v>
      </c>
      <c r="M63" s="58" t="s">
        <v>2883</v>
      </c>
      <c r="N63" s="232">
        <v>41250</v>
      </c>
      <c r="O63" s="277" t="s">
        <v>3102</v>
      </c>
      <c r="P63" s="348" t="s">
        <v>3161</v>
      </c>
      <c r="Q63" s="278" t="s">
        <v>2931</v>
      </c>
    </row>
    <row r="64" spans="1:17" x14ac:dyDescent="0.3">
      <c r="A64" s="253">
        <v>110</v>
      </c>
      <c r="B64" s="70" t="s">
        <v>2930</v>
      </c>
      <c r="C64" s="374">
        <v>197</v>
      </c>
      <c r="D64" s="234">
        <v>210</v>
      </c>
      <c r="E64" s="58" t="s">
        <v>2883</v>
      </c>
      <c r="F64" s="232" t="s">
        <v>2883</v>
      </c>
      <c r="G64" s="375">
        <v>204</v>
      </c>
      <c r="H64" s="376" t="s">
        <v>2883</v>
      </c>
      <c r="I64" s="376" t="s">
        <v>2883</v>
      </c>
      <c r="J64" s="370">
        <v>0.06</v>
      </c>
      <c r="K64" s="342">
        <f t="shared" si="0"/>
        <v>3.5532994923857864E-2</v>
      </c>
      <c r="L64" s="235">
        <v>230</v>
      </c>
      <c r="M64" s="58" t="s">
        <v>2883</v>
      </c>
      <c r="N64" s="232" t="s">
        <v>2883</v>
      </c>
      <c r="O64" s="277" t="s">
        <v>3102</v>
      </c>
      <c r="P64" s="348" t="s">
        <v>3161</v>
      </c>
      <c r="Q64" s="304">
        <v>110</v>
      </c>
    </row>
    <row r="65" spans="1:17" x14ac:dyDescent="0.3">
      <c r="A65" s="305" t="s">
        <v>3160</v>
      </c>
      <c r="B65" s="341" t="s">
        <v>2005</v>
      </c>
      <c r="C65" s="374" t="s">
        <v>2883</v>
      </c>
      <c r="D65" s="234" t="s">
        <v>2883</v>
      </c>
      <c r="E65" s="58" t="s">
        <v>2883</v>
      </c>
      <c r="F65" s="232" t="s">
        <v>2901</v>
      </c>
      <c r="G65" s="375" t="s">
        <v>2883</v>
      </c>
      <c r="H65" s="376" t="s">
        <v>2883</v>
      </c>
      <c r="I65" s="376" t="s">
        <v>2902</v>
      </c>
      <c r="J65" s="276"/>
      <c r="K65" s="342" t="e">
        <f t="shared" si="0"/>
        <v>#VALUE!</v>
      </c>
      <c r="L65" s="234" t="s">
        <v>2883</v>
      </c>
      <c r="M65" s="58" t="s">
        <v>2883</v>
      </c>
      <c r="N65" s="232" t="s">
        <v>2901</v>
      </c>
      <c r="O65" s="306" t="s">
        <v>2901</v>
      </c>
      <c r="P65" s="348" t="s">
        <v>3161</v>
      </c>
      <c r="Q65" s="304" t="s">
        <v>3160</v>
      </c>
    </row>
    <row r="66" spans="1:17" x14ac:dyDescent="0.3">
      <c r="A66" s="253">
        <v>191</v>
      </c>
      <c r="B66" s="70" t="s">
        <v>2928</v>
      </c>
      <c r="C66" s="374" t="s">
        <v>2883</v>
      </c>
      <c r="D66" s="234" t="s">
        <v>2883</v>
      </c>
      <c r="E66" s="58">
        <v>20000</v>
      </c>
      <c r="F66" s="232" t="s">
        <v>2883</v>
      </c>
      <c r="G66" s="375" t="s">
        <v>2883</v>
      </c>
      <c r="H66" s="376">
        <v>36426</v>
      </c>
      <c r="I66" s="376" t="s">
        <v>2883</v>
      </c>
      <c r="J66" s="276"/>
      <c r="K66" s="342" t="e">
        <f t="shared" si="0"/>
        <v>#VALUE!</v>
      </c>
      <c r="L66" s="234" t="s">
        <v>2883</v>
      </c>
      <c r="M66" s="58">
        <v>20000</v>
      </c>
      <c r="N66" s="232" t="s">
        <v>2883</v>
      </c>
      <c r="O66" s="281" t="s">
        <v>3157</v>
      </c>
      <c r="P66" s="348" t="s">
        <v>3161</v>
      </c>
      <c r="Q66" s="304">
        <v>191</v>
      </c>
    </row>
    <row r="67" spans="1:17" x14ac:dyDescent="0.3">
      <c r="A67" s="253">
        <v>211</v>
      </c>
      <c r="B67" s="70" t="s">
        <v>2927</v>
      </c>
      <c r="C67" s="374">
        <v>400</v>
      </c>
      <c r="D67" s="234">
        <v>190.8</v>
      </c>
      <c r="E67" s="58" t="s">
        <v>2883</v>
      </c>
      <c r="F67" s="232" t="s">
        <v>2883</v>
      </c>
      <c r="G67" s="375">
        <v>516</v>
      </c>
      <c r="H67" s="376" t="s">
        <v>2883</v>
      </c>
      <c r="I67" s="376" t="s">
        <v>2883</v>
      </c>
      <c r="J67" s="370">
        <v>0.06</v>
      </c>
      <c r="K67" s="342">
        <f t="shared" ref="K67:K100" si="1">(G67/C67)-1</f>
        <v>0.29000000000000004</v>
      </c>
      <c r="L67" s="235">
        <v>230</v>
      </c>
      <c r="M67" s="58" t="s">
        <v>2883</v>
      </c>
      <c r="N67" s="232" t="s">
        <v>2883</v>
      </c>
      <c r="O67" s="281" t="s">
        <v>3169</v>
      </c>
      <c r="P67" s="348" t="s">
        <v>3161</v>
      </c>
      <c r="Q67" s="304">
        <v>211</v>
      </c>
    </row>
    <row r="68" spans="1:17" x14ac:dyDescent="0.3">
      <c r="A68" s="253">
        <v>240</v>
      </c>
      <c r="B68" s="70" t="s">
        <v>2926</v>
      </c>
      <c r="C68" s="374">
        <v>402</v>
      </c>
      <c r="D68" s="234">
        <v>192</v>
      </c>
      <c r="E68" s="58" t="s">
        <v>2883</v>
      </c>
      <c r="F68" s="232" t="s">
        <v>2883</v>
      </c>
      <c r="G68" s="375">
        <v>238</v>
      </c>
      <c r="H68" s="376" t="s">
        <v>2883</v>
      </c>
      <c r="I68" s="376" t="s">
        <v>2883</v>
      </c>
      <c r="J68" s="370">
        <v>7.0000000000000007E-2</v>
      </c>
      <c r="K68" s="342">
        <f t="shared" si="1"/>
        <v>-0.40796019900497515</v>
      </c>
      <c r="L68" s="235">
        <v>210</v>
      </c>
      <c r="M68" s="58" t="s">
        <v>2883</v>
      </c>
      <c r="N68" s="232" t="s">
        <v>2883</v>
      </c>
      <c r="O68" s="277" t="s">
        <v>3178</v>
      </c>
      <c r="P68" s="348" t="s">
        <v>3161</v>
      </c>
      <c r="Q68" s="304">
        <v>240</v>
      </c>
    </row>
    <row r="69" spans="1:17" x14ac:dyDescent="0.3">
      <c r="A69" s="307">
        <v>300</v>
      </c>
      <c r="B69" s="70" t="s">
        <v>2925</v>
      </c>
      <c r="C69" s="374">
        <v>447</v>
      </c>
      <c r="D69" s="234">
        <v>224.24999999999997</v>
      </c>
      <c r="E69" s="58">
        <v>17500</v>
      </c>
      <c r="F69" s="232" t="s">
        <v>2883</v>
      </c>
      <c r="G69" s="375">
        <v>473</v>
      </c>
      <c r="H69" s="376">
        <v>36400</v>
      </c>
      <c r="I69" s="376" t="s">
        <v>2883</v>
      </c>
      <c r="J69" s="370">
        <v>0.12</v>
      </c>
      <c r="K69" s="342">
        <f t="shared" si="1"/>
        <v>5.8165548098433995E-2</v>
      </c>
      <c r="L69" s="235">
        <v>245</v>
      </c>
      <c r="M69" s="58">
        <v>17500</v>
      </c>
      <c r="N69" s="232" t="s">
        <v>2883</v>
      </c>
      <c r="O69" s="277" t="s">
        <v>3179</v>
      </c>
      <c r="P69" s="348" t="s">
        <v>3161</v>
      </c>
      <c r="Q69" s="308">
        <v>300</v>
      </c>
    </row>
    <row r="70" spans="1:17" x14ac:dyDescent="0.3">
      <c r="A70" s="309">
        <v>310</v>
      </c>
      <c r="B70" s="70" t="s">
        <v>2924</v>
      </c>
      <c r="C70" s="374">
        <v>447</v>
      </c>
      <c r="D70" s="234">
        <v>192.50000000000003</v>
      </c>
      <c r="E70" s="58" t="s">
        <v>2883</v>
      </c>
      <c r="F70" s="232" t="s">
        <v>2883</v>
      </c>
      <c r="G70" s="375">
        <v>501</v>
      </c>
      <c r="H70" s="376" t="s">
        <v>2883</v>
      </c>
      <c r="I70" s="376" t="s">
        <v>2883</v>
      </c>
      <c r="J70" s="370">
        <v>0.1</v>
      </c>
      <c r="K70" s="342">
        <f t="shared" si="1"/>
        <v>0.12080536912751683</v>
      </c>
      <c r="L70" s="235">
        <v>210</v>
      </c>
      <c r="M70" s="58" t="s">
        <v>2883</v>
      </c>
      <c r="N70" s="232" t="s">
        <v>2883</v>
      </c>
      <c r="O70" s="281" t="s">
        <v>3209</v>
      </c>
      <c r="P70" s="348" t="s">
        <v>3161</v>
      </c>
      <c r="Q70" s="310">
        <v>310</v>
      </c>
    </row>
    <row r="71" spans="1:17" x14ac:dyDescent="0.3">
      <c r="A71" s="253">
        <v>350</v>
      </c>
      <c r="B71" s="70" t="s">
        <v>2923</v>
      </c>
      <c r="C71" s="374" t="s">
        <v>2883</v>
      </c>
      <c r="D71" s="234" t="s">
        <v>2883</v>
      </c>
      <c r="E71" s="58">
        <v>17500</v>
      </c>
      <c r="F71" s="232" t="s">
        <v>2883</v>
      </c>
      <c r="G71" s="375" t="s">
        <v>2883</v>
      </c>
      <c r="H71" s="376">
        <v>36426</v>
      </c>
      <c r="I71" s="376" t="s">
        <v>2883</v>
      </c>
      <c r="J71" s="276"/>
      <c r="K71" s="342" t="e">
        <f t="shared" si="1"/>
        <v>#VALUE!</v>
      </c>
      <c r="L71" s="234" t="s">
        <v>2883</v>
      </c>
      <c r="M71" s="58">
        <v>17500</v>
      </c>
      <c r="N71" s="232" t="s">
        <v>2883</v>
      </c>
      <c r="O71" s="281" t="s">
        <v>3157</v>
      </c>
      <c r="P71" s="348" t="s">
        <v>3161</v>
      </c>
      <c r="Q71" s="304">
        <v>350</v>
      </c>
    </row>
    <row r="72" spans="1:17" x14ac:dyDescent="0.3">
      <c r="A72" s="253">
        <v>370</v>
      </c>
      <c r="B72" s="70" t="s">
        <v>2922</v>
      </c>
      <c r="C72" s="374">
        <v>446</v>
      </c>
      <c r="D72" s="234">
        <v>198</v>
      </c>
      <c r="E72" s="58" t="s">
        <v>2883</v>
      </c>
      <c r="F72" s="232" t="s">
        <v>2883</v>
      </c>
      <c r="G72" s="375">
        <v>490</v>
      </c>
      <c r="H72" s="376" t="s">
        <v>2883</v>
      </c>
      <c r="I72" s="376" t="s">
        <v>2883</v>
      </c>
      <c r="J72" s="370">
        <v>0.09</v>
      </c>
      <c r="K72" s="342">
        <f t="shared" si="1"/>
        <v>9.8654708520179435E-2</v>
      </c>
      <c r="L72" s="235">
        <v>220</v>
      </c>
      <c r="M72" s="58" t="s">
        <v>2883</v>
      </c>
      <c r="N72" s="232" t="s">
        <v>2883</v>
      </c>
      <c r="O72" s="277" t="s">
        <v>3102</v>
      </c>
      <c r="P72" s="348" t="s">
        <v>3161</v>
      </c>
      <c r="Q72" s="304">
        <v>370</v>
      </c>
    </row>
    <row r="73" spans="1:17" x14ac:dyDescent="0.3">
      <c r="A73" s="253">
        <v>401</v>
      </c>
      <c r="B73" s="70" t="s">
        <v>2921</v>
      </c>
      <c r="C73" s="374">
        <v>450</v>
      </c>
      <c r="D73" s="234">
        <v>192.50000000000003</v>
      </c>
      <c r="E73" s="58" t="s">
        <v>2883</v>
      </c>
      <c r="F73" s="232" t="s">
        <v>2883</v>
      </c>
      <c r="G73" s="375">
        <v>512</v>
      </c>
      <c r="H73" s="376" t="s">
        <v>2883</v>
      </c>
      <c r="I73" s="376" t="s">
        <v>2883</v>
      </c>
      <c r="J73" s="370">
        <v>7.0000000000000007E-2</v>
      </c>
      <c r="K73" s="342">
        <f t="shared" si="1"/>
        <v>0.13777777777777778</v>
      </c>
      <c r="L73" s="235">
        <v>210</v>
      </c>
      <c r="M73" s="58" t="s">
        <v>2883</v>
      </c>
      <c r="N73" s="232" t="s">
        <v>2883</v>
      </c>
      <c r="O73" s="277" t="s">
        <v>3102</v>
      </c>
      <c r="P73" s="348" t="s">
        <v>3161</v>
      </c>
      <c r="Q73" s="304">
        <v>401</v>
      </c>
    </row>
    <row r="74" spans="1:17" x14ac:dyDescent="0.3">
      <c r="A74" s="253">
        <v>425</v>
      </c>
      <c r="B74" s="70" t="s">
        <v>2920</v>
      </c>
      <c r="C74" s="374">
        <v>255</v>
      </c>
      <c r="D74" s="234">
        <v>250</v>
      </c>
      <c r="E74" s="58" t="s">
        <v>2883</v>
      </c>
      <c r="F74" s="239" t="s">
        <v>2883</v>
      </c>
      <c r="G74" s="375">
        <v>260</v>
      </c>
      <c r="H74" s="376" t="s">
        <v>2883</v>
      </c>
      <c r="I74" s="376" t="s">
        <v>2883</v>
      </c>
      <c r="J74" s="370">
        <v>0.25</v>
      </c>
      <c r="K74" s="342">
        <f t="shared" si="1"/>
        <v>1.9607843137254832E-2</v>
      </c>
      <c r="L74" s="235">
        <v>250</v>
      </c>
      <c r="M74" s="58" t="s">
        <v>2883</v>
      </c>
      <c r="N74" s="232" t="s">
        <v>2883</v>
      </c>
      <c r="O74" s="281" t="s">
        <v>3106</v>
      </c>
      <c r="P74" s="348" t="s">
        <v>3161</v>
      </c>
      <c r="Q74" s="304">
        <v>425</v>
      </c>
    </row>
    <row r="75" spans="1:17" x14ac:dyDescent="0.3">
      <c r="A75" s="253">
        <v>432</v>
      </c>
      <c r="B75" s="70" t="s">
        <v>2919</v>
      </c>
      <c r="C75" s="374">
        <v>300</v>
      </c>
      <c r="D75" s="234">
        <v>218.00000000000003</v>
      </c>
      <c r="E75" s="58" t="s">
        <v>2883</v>
      </c>
      <c r="F75" s="232" t="s">
        <v>2883</v>
      </c>
      <c r="G75" s="375">
        <v>391</v>
      </c>
      <c r="H75" s="376" t="s">
        <v>2883</v>
      </c>
      <c r="I75" s="376" t="s">
        <v>2883</v>
      </c>
      <c r="J75" s="370">
        <v>0.06</v>
      </c>
      <c r="K75" s="342">
        <f t="shared" si="1"/>
        <v>0.30333333333333323</v>
      </c>
      <c r="L75" s="235">
        <v>260</v>
      </c>
      <c r="M75" s="58" t="s">
        <v>2883</v>
      </c>
      <c r="N75" s="232" t="s">
        <v>2883</v>
      </c>
      <c r="O75" s="281" t="s">
        <v>3169</v>
      </c>
      <c r="P75" s="348" t="s">
        <v>3161</v>
      </c>
      <c r="Q75" s="304">
        <v>432</v>
      </c>
    </row>
    <row r="76" spans="1:17" x14ac:dyDescent="0.3">
      <c r="A76" s="307">
        <v>440</v>
      </c>
      <c r="B76" s="70" t="s">
        <v>2917</v>
      </c>
      <c r="C76" s="374">
        <v>447</v>
      </c>
      <c r="D76" s="234">
        <v>235.74999999999997</v>
      </c>
      <c r="E76" s="58">
        <v>17500</v>
      </c>
      <c r="F76" s="232" t="s">
        <v>2883</v>
      </c>
      <c r="G76" s="375">
        <v>473</v>
      </c>
      <c r="H76" s="376">
        <v>36426</v>
      </c>
      <c r="I76" s="376" t="s">
        <v>2883</v>
      </c>
      <c r="J76" s="370">
        <v>0.12</v>
      </c>
      <c r="K76" s="342">
        <f t="shared" si="1"/>
        <v>5.8165548098433995E-2</v>
      </c>
      <c r="L76" s="235">
        <v>260</v>
      </c>
      <c r="M76" s="58">
        <v>17500</v>
      </c>
      <c r="N76" s="232" t="s">
        <v>2883</v>
      </c>
      <c r="O76" s="277" t="s">
        <v>3102</v>
      </c>
      <c r="P76" s="348" t="s">
        <v>3161</v>
      </c>
      <c r="Q76" s="308">
        <v>440</v>
      </c>
    </row>
    <row r="77" spans="1:17" x14ac:dyDescent="0.3">
      <c r="A77" s="309">
        <v>442</v>
      </c>
      <c r="B77" s="70" t="s">
        <v>2916</v>
      </c>
      <c r="C77" s="374">
        <v>447</v>
      </c>
      <c r="D77" s="234">
        <v>220.00000000000003</v>
      </c>
      <c r="E77" s="58">
        <v>20000</v>
      </c>
      <c r="F77" s="232" t="s">
        <v>2883</v>
      </c>
      <c r="G77" s="375">
        <v>278</v>
      </c>
      <c r="H77" s="376" t="s">
        <v>2915</v>
      </c>
      <c r="I77" s="376" t="s">
        <v>2883</v>
      </c>
      <c r="J77" s="276"/>
      <c r="K77" s="342">
        <f t="shared" si="1"/>
        <v>-0.37807606263982108</v>
      </c>
      <c r="L77" s="235">
        <v>240</v>
      </c>
      <c r="M77" s="58">
        <v>20000</v>
      </c>
      <c r="N77" s="232" t="s">
        <v>2883</v>
      </c>
      <c r="O77" s="277" t="s">
        <v>3209</v>
      </c>
      <c r="P77" s="348" t="s">
        <v>3161</v>
      </c>
      <c r="Q77" s="310">
        <v>442</v>
      </c>
    </row>
    <row r="78" spans="1:17" x14ac:dyDescent="0.3">
      <c r="A78" s="331">
        <v>446</v>
      </c>
      <c r="B78" s="70" t="s">
        <v>2914</v>
      </c>
      <c r="C78" s="374">
        <v>447</v>
      </c>
      <c r="D78" s="234">
        <v>196.10000000000002</v>
      </c>
      <c r="E78" s="58" t="s">
        <v>2883</v>
      </c>
      <c r="F78" s="232" t="s">
        <v>2883</v>
      </c>
      <c r="G78" s="375">
        <v>278</v>
      </c>
      <c r="H78" s="376" t="s">
        <v>2883</v>
      </c>
      <c r="I78" s="376" t="s">
        <v>2883</v>
      </c>
      <c r="J78" s="370">
        <v>0.09</v>
      </c>
      <c r="K78" s="342">
        <f t="shared" si="1"/>
        <v>-0.37807606263982108</v>
      </c>
      <c r="L78" s="235">
        <v>215</v>
      </c>
      <c r="M78" s="58" t="s">
        <v>2883</v>
      </c>
      <c r="N78" s="232" t="s">
        <v>2883</v>
      </c>
      <c r="O78" s="277" t="s">
        <v>3209</v>
      </c>
      <c r="P78" s="348" t="s">
        <v>3161</v>
      </c>
      <c r="Q78" s="332">
        <v>446</v>
      </c>
    </row>
    <row r="79" spans="1:17" x14ac:dyDescent="0.3">
      <c r="A79" s="253">
        <v>448</v>
      </c>
      <c r="B79" s="70" t="s">
        <v>2913</v>
      </c>
      <c r="C79" s="374" t="s">
        <v>2883</v>
      </c>
      <c r="D79" s="234" t="s">
        <v>2883</v>
      </c>
      <c r="E79" s="58">
        <v>20000</v>
      </c>
      <c r="F79" s="232" t="s">
        <v>2883</v>
      </c>
      <c r="G79" s="375" t="s">
        <v>2883</v>
      </c>
      <c r="H79" s="376" t="s">
        <v>2915</v>
      </c>
      <c r="I79" s="376" t="s">
        <v>2883</v>
      </c>
      <c r="J79" s="276"/>
      <c r="K79" s="342" t="e">
        <f t="shared" si="1"/>
        <v>#VALUE!</v>
      </c>
      <c r="L79" s="234" t="s">
        <v>2883</v>
      </c>
      <c r="M79" s="58">
        <v>20000</v>
      </c>
      <c r="N79" s="232" t="s">
        <v>2883</v>
      </c>
      <c r="O79" s="281" t="s">
        <v>3106</v>
      </c>
      <c r="P79" s="348" t="s">
        <v>3161</v>
      </c>
      <c r="Q79" s="304">
        <v>448</v>
      </c>
    </row>
    <row r="80" spans="1:17" x14ac:dyDescent="0.3">
      <c r="A80" s="253">
        <v>458</v>
      </c>
      <c r="B80" s="70" t="s">
        <v>2912</v>
      </c>
      <c r="C80" s="374">
        <v>171</v>
      </c>
      <c r="D80" s="234">
        <v>171.1</v>
      </c>
      <c r="E80" s="58" t="s">
        <v>2883</v>
      </c>
      <c r="F80" s="232" t="s">
        <v>2883</v>
      </c>
      <c r="G80" s="375">
        <v>417</v>
      </c>
      <c r="H80" s="376" t="s">
        <v>2883</v>
      </c>
      <c r="I80" s="376" t="s">
        <v>2883</v>
      </c>
      <c r="J80" s="370">
        <v>0.04</v>
      </c>
      <c r="K80" s="342">
        <f t="shared" si="1"/>
        <v>1.4385964912280702</v>
      </c>
      <c r="L80" s="235">
        <v>220</v>
      </c>
      <c r="M80" s="58" t="s">
        <v>2883</v>
      </c>
      <c r="N80" s="232" t="s">
        <v>2883</v>
      </c>
      <c r="O80" s="281" t="s">
        <v>3168</v>
      </c>
      <c r="P80" s="348" t="s">
        <v>3161</v>
      </c>
      <c r="Q80" s="304">
        <v>458</v>
      </c>
    </row>
    <row r="81" spans="1:17" x14ac:dyDescent="0.3">
      <c r="A81" s="253">
        <v>459</v>
      </c>
      <c r="B81" s="70" t="s">
        <v>2911</v>
      </c>
      <c r="C81" s="374">
        <v>310</v>
      </c>
      <c r="D81" s="234">
        <v>133</v>
      </c>
      <c r="E81" s="58" t="s">
        <v>2883</v>
      </c>
      <c r="F81" s="232" t="s">
        <v>2883</v>
      </c>
      <c r="G81" s="375">
        <v>619</v>
      </c>
      <c r="H81" s="376" t="s">
        <v>2883</v>
      </c>
      <c r="I81" s="376" t="s">
        <v>2883</v>
      </c>
      <c r="J81" s="370">
        <v>0.03</v>
      </c>
      <c r="K81" s="342">
        <f t="shared" si="1"/>
        <v>0.99677419354838714</v>
      </c>
      <c r="L81" s="235">
        <v>170</v>
      </c>
      <c r="M81" s="58" t="s">
        <v>2883</v>
      </c>
      <c r="N81" s="232" t="s">
        <v>2883</v>
      </c>
      <c r="O81" s="281" t="s">
        <v>3168</v>
      </c>
      <c r="P81" s="348" t="s">
        <v>3161</v>
      </c>
      <c r="Q81" s="304">
        <v>459</v>
      </c>
    </row>
    <row r="82" spans="1:17" x14ac:dyDescent="0.3">
      <c r="A82" s="309">
        <v>462</v>
      </c>
      <c r="B82" s="70" t="s">
        <v>2910</v>
      </c>
      <c r="C82" s="374">
        <v>447</v>
      </c>
      <c r="D82" s="234">
        <v>147.20000000000002</v>
      </c>
      <c r="E82" s="58" t="s">
        <v>2883</v>
      </c>
      <c r="F82" s="232" t="s">
        <v>2883</v>
      </c>
      <c r="G82" s="375">
        <v>278</v>
      </c>
      <c r="H82" s="376" t="s">
        <v>2883</v>
      </c>
      <c r="I82" s="376" t="s">
        <v>2883</v>
      </c>
      <c r="J82" s="276"/>
      <c r="K82" s="342">
        <f t="shared" si="1"/>
        <v>-0.37807606263982108</v>
      </c>
      <c r="L82" s="235">
        <v>160</v>
      </c>
      <c r="M82" s="58" t="s">
        <v>2883</v>
      </c>
      <c r="N82" s="232" t="s">
        <v>2883</v>
      </c>
      <c r="O82" s="277" t="s">
        <v>3209</v>
      </c>
      <c r="P82" s="348" t="s">
        <v>3161</v>
      </c>
      <c r="Q82" s="310">
        <v>462</v>
      </c>
    </row>
    <row r="83" spans="1:17" x14ac:dyDescent="0.3">
      <c r="A83" s="253">
        <v>501</v>
      </c>
      <c r="B83" s="70" t="s">
        <v>2908</v>
      </c>
      <c r="C83" s="374">
        <v>373</v>
      </c>
      <c r="D83" s="234">
        <v>172.05</v>
      </c>
      <c r="E83" s="58" t="s">
        <v>2883</v>
      </c>
      <c r="F83" s="232" t="s">
        <v>2883</v>
      </c>
      <c r="G83" s="375">
        <v>407</v>
      </c>
      <c r="H83" s="376" t="s">
        <v>2883</v>
      </c>
      <c r="I83" s="376" t="s">
        <v>2883</v>
      </c>
      <c r="J83" s="370">
        <v>0.06</v>
      </c>
      <c r="K83" s="342">
        <f t="shared" si="1"/>
        <v>9.1152815013404886E-2</v>
      </c>
      <c r="L83" s="235">
        <v>190</v>
      </c>
      <c r="M83" s="58" t="s">
        <v>2883</v>
      </c>
      <c r="N83" s="232" t="s">
        <v>2883</v>
      </c>
      <c r="O83" s="277" t="s">
        <v>3102</v>
      </c>
      <c r="P83" s="348" t="s">
        <v>3161</v>
      </c>
      <c r="Q83" s="304">
        <v>501</v>
      </c>
    </row>
    <row r="84" spans="1:17" x14ac:dyDescent="0.3">
      <c r="A84" s="311">
        <v>515</v>
      </c>
      <c r="B84" s="70" t="s">
        <v>2906</v>
      </c>
      <c r="C84" s="374">
        <v>226</v>
      </c>
      <c r="D84" s="234">
        <v>262.5</v>
      </c>
      <c r="E84" s="58" t="s">
        <v>2883</v>
      </c>
      <c r="F84" s="232" t="s">
        <v>2883</v>
      </c>
      <c r="G84" s="375">
        <v>301</v>
      </c>
      <c r="H84" s="376" t="s">
        <v>2883</v>
      </c>
      <c r="I84" s="376" t="s">
        <v>2883</v>
      </c>
      <c r="J84" s="370">
        <v>0.11</v>
      </c>
      <c r="K84" s="342">
        <f t="shared" si="1"/>
        <v>0.33185840707964598</v>
      </c>
      <c r="L84" s="235">
        <v>315</v>
      </c>
      <c r="M84" s="58" t="s">
        <v>2883</v>
      </c>
      <c r="N84" s="232" t="s">
        <v>2883</v>
      </c>
      <c r="O84" s="281" t="s">
        <v>3180</v>
      </c>
      <c r="P84" s="348" t="s">
        <v>3161</v>
      </c>
      <c r="Q84" s="312">
        <v>515</v>
      </c>
    </row>
    <row r="85" spans="1:17" x14ac:dyDescent="0.3">
      <c r="A85" s="253">
        <v>711</v>
      </c>
      <c r="B85" s="70" t="s">
        <v>2904</v>
      </c>
      <c r="C85" s="374">
        <v>217</v>
      </c>
      <c r="D85" s="234">
        <v>170</v>
      </c>
      <c r="E85" s="58" t="s">
        <v>2883</v>
      </c>
      <c r="F85" s="232" t="s">
        <v>2883</v>
      </c>
      <c r="G85" s="375">
        <v>335</v>
      </c>
      <c r="H85" s="376" t="s">
        <v>2883</v>
      </c>
      <c r="I85" s="376" t="s">
        <v>2883</v>
      </c>
      <c r="J85" s="370">
        <v>7.0000000000000007E-2</v>
      </c>
      <c r="K85" s="342">
        <f t="shared" si="1"/>
        <v>0.54377880184331806</v>
      </c>
      <c r="L85" s="235">
        <v>220</v>
      </c>
      <c r="M85" s="58" t="s">
        <v>2883</v>
      </c>
      <c r="N85" s="232" t="s">
        <v>2883</v>
      </c>
      <c r="O85" s="281" t="s">
        <v>3168</v>
      </c>
      <c r="P85" s="348" t="s">
        <v>3161</v>
      </c>
      <c r="Q85" s="304">
        <v>711</v>
      </c>
    </row>
    <row r="86" spans="1:17" x14ac:dyDescent="0.3">
      <c r="A86" s="313">
        <v>716</v>
      </c>
      <c r="B86" s="70" t="s">
        <v>2903</v>
      </c>
      <c r="C86" s="374">
        <v>185</v>
      </c>
      <c r="D86" s="234">
        <v>160</v>
      </c>
      <c r="E86" s="58">
        <v>17500</v>
      </c>
      <c r="F86" s="232" t="s">
        <v>2883</v>
      </c>
      <c r="G86" s="375">
        <v>364</v>
      </c>
      <c r="H86" s="376">
        <v>33970</v>
      </c>
      <c r="I86" s="376" t="s">
        <v>2883</v>
      </c>
      <c r="J86" s="370">
        <v>0.09</v>
      </c>
      <c r="K86" s="342">
        <f t="shared" si="1"/>
        <v>0.96756756756756768</v>
      </c>
      <c r="L86" s="235">
        <v>210</v>
      </c>
      <c r="M86" s="58">
        <v>17500</v>
      </c>
      <c r="N86" s="232" t="s">
        <v>2883</v>
      </c>
      <c r="O86" s="281" t="s">
        <v>3181</v>
      </c>
      <c r="P86" s="348" t="s">
        <v>3161</v>
      </c>
      <c r="Q86" s="314">
        <v>716</v>
      </c>
    </row>
    <row r="87" spans="1:17" x14ac:dyDescent="0.3">
      <c r="A87" s="315" t="s">
        <v>3159</v>
      </c>
      <c r="B87" s="341" t="s">
        <v>1252</v>
      </c>
      <c r="C87" s="374" t="s">
        <v>2883</v>
      </c>
      <c r="D87" s="234" t="s">
        <v>2883</v>
      </c>
      <c r="E87" s="58" t="s">
        <v>2883</v>
      </c>
      <c r="F87" s="232" t="s">
        <v>2901</v>
      </c>
      <c r="G87" s="375" t="s">
        <v>2883</v>
      </c>
      <c r="H87" s="376" t="s">
        <v>2883</v>
      </c>
      <c r="I87" s="376" t="s">
        <v>2902</v>
      </c>
      <c r="J87" s="276"/>
      <c r="K87" s="342" t="e">
        <f t="shared" si="1"/>
        <v>#VALUE!</v>
      </c>
      <c r="L87" s="234" t="s">
        <v>2883</v>
      </c>
      <c r="M87" s="58" t="s">
        <v>2883</v>
      </c>
      <c r="N87" s="232" t="s">
        <v>2901</v>
      </c>
      <c r="O87" s="281" t="s">
        <v>2901</v>
      </c>
      <c r="P87" s="348" t="s">
        <v>3161</v>
      </c>
      <c r="Q87" s="316" t="s">
        <v>3159</v>
      </c>
    </row>
    <row r="88" spans="1:17" x14ac:dyDescent="0.3">
      <c r="A88" s="317">
        <v>803</v>
      </c>
      <c r="B88" s="70" t="s">
        <v>2900</v>
      </c>
      <c r="C88" s="374">
        <v>417</v>
      </c>
      <c r="D88" s="234">
        <v>189</v>
      </c>
      <c r="E88" s="58" t="s">
        <v>2883</v>
      </c>
      <c r="F88" s="232" t="s">
        <v>2883</v>
      </c>
      <c r="G88" s="375">
        <v>572</v>
      </c>
      <c r="H88" s="376" t="s">
        <v>2883</v>
      </c>
      <c r="I88" s="376" t="s">
        <v>2883</v>
      </c>
      <c r="J88" s="370">
        <v>7.0000000000000007E-2</v>
      </c>
      <c r="K88" s="342">
        <f t="shared" si="1"/>
        <v>0.37170263788968816</v>
      </c>
      <c r="L88" s="235">
        <v>225</v>
      </c>
      <c r="M88" s="58" t="s">
        <v>2883</v>
      </c>
      <c r="N88" s="232" t="s">
        <v>2883</v>
      </c>
      <c r="O88" s="281" t="s">
        <v>3169</v>
      </c>
      <c r="P88" s="348" t="s">
        <v>3161</v>
      </c>
      <c r="Q88" s="318">
        <v>803</v>
      </c>
    </row>
    <row r="89" spans="1:17" x14ac:dyDescent="0.3">
      <c r="A89" s="319">
        <v>808</v>
      </c>
      <c r="B89" s="70" t="s">
        <v>2899</v>
      </c>
      <c r="C89" s="374">
        <v>60</v>
      </c>
      <c r="D89" s="234">
        <v>110</v>
      </c>
      <c r="E89" s="58">
        <v>17500</v>
      </c>
      <c r="F89" s="232" t="s">
        <v>2883</v>
      </c>
      <c r="G89" s="375">
        <v>196</v>
      </c>
      <c r="H89" s="376" t="s">
        <v>2915</v>
      </c>
      <c r="I89" s="376" t="s">
        <v>2883</v>
      </c>
      <c r="J89" s="370">
        <v>0.09</v>
      </c>
      <c r="K89" s="342">
        <f t="shared" si="1"/>
        <v>2.2666666666666666</v>
      </c>
      <c r="L89" s="235">
        <v>145</v>
      </c>
      <c r="M89" s="58">
        <v>17500</v>
      </c>
      <c r="N89" s="232" t="s">
        <v>2883</v>
      </c>
      <c r="O89" s="281" t="s">
        <v>3182</v>
      </c>
      <c r="P89" s="348" t="s">
        <v>3161</v>
      </c>
      <c r="Q89" s="320">
        <v>808</v>
      </c>
    </row>
    <row r="90" spans="1:17" x14ac:dyDescent="0.3">
      <c r="A90" s="321">
        <v>810</v>
      </c>
      <c r="B90" s="70" t="s">
        <v>2898</v>
      </c>
      <c r="C90" s="374">
        <v>447</v>
      </c>
      <c r="D90" s="234">
        <v>192.50000000000003</v>
      </c>
      <c r="E90" s="58">
        <v>20000</v>
      </c>
      <c r="F90" s="232" t="s">
        <v>2883</v>
      </c>
      <c r="G90" s="375">
        <v>278</v>
      </c>
      <c r="H90" s="376" t="s">
        <v>2915</v>
      </c>
      <c r="I90" s="376" t="s">
        <v>2883</v>
      </c>
      <c r="J90" s="276"/>
      <c r="K90" s="342">
        <f t="shared" si="1"/>
        <v>-0.37807606263982108</v>
      </c>
      <c r="L90" s="235">
        <v>210</v>
      </c>
      <c r="M90" s="58">
        <v>20000</v>
      </c>
      <c r="N90" s="232" t="s">
        <v>2883</v>
      </c>
      <c r="O90" s="281" t="s">
        <v>3209</v>
      </c>
      <c r="P90" s="348" t="s">
        <v>3161</v>
      </c>
      <c r="Q90" s="322">
        <v>810</v>
      </c>
    </row>
    <row r="91" spans="1:17" x14ac:dyDescent="0.3">
      <c r="A91" s="317">
        <v>811</v>
      </c>
      <c r="B91" s="70" t="s">
        <v>2897</v>
      </c>
      <c r="C91" s="374">
        <v>602</v>
      </c>
      <c r="D91" s="234">
        <v>203.50000000000003</v>
      </c>
      <c r="E91" s="58" t="s">
        <v>2883</v>
      </c>
      <c r="F91" s="232" t="s">
        <v>2883</v>
      </c>
      <c r="G91" s="375">
        <v>811</v>
      </c>
      <c r="H91" s="376" t="s">
        <v>2883</v>
      </c>
      <c r="I91" s="376" t="s">
        <v>2883</v>
      </c>
      <c r="J91" s="370">
        <v>7.0000000000000007E-2</v>
      </c>
      <c r="K91" s="342">
        <f t="shared" si="1"/>
        <v>0.34717607973421938</v>
      </c>
      <c r="L91" s="235">
        <v>245</v>
      </c>
      <c r="M91" s="58" t="s">
        <v>2883</v>
      </c>
      <c r="N91" s="232" t="s">
        <v>2883</v>
      </c>
      <c r="O91" s="281" t="s">
        <v>3169</v>
      </c>
      <c r="P91" s="348" t="s">
        <v>3161</v>
      </c>
      <c r="Q91" s="318">
        <v>811</v>
      </c>
    </row>
    <row r="92" spans="1:17" x14ac:dyDescent="0.3">
      <c r="A92" s="317">
        <v>900</v>
      </c>
      <c r="B92" s="70" t="s">
        <v>2896</v>
      </c>
      <c r="C92" s="374">
        <v>557</v>
      </c>
      <c r="D92" s="234">
        <v>410.70000000000005</v>
      </c>
      <c r="E92" s="58" t="s">
        <v>2883</v>
      </c>
      <c r="F92" s="232" t="s">
        <v>2883</v>
      </c>
      <c r="G92" s="375">
        <v>589</v>
      </c>
      <c r="H92" s="376" t="s">
        <v>2883</v>
      </c>
      <c r="I92" s="376" t="s">
        <v>2883</v>
      </c>
      <c r="J92" s="370">
        <v>0.09</v>
      </c>
      <c r="K92" s="342">
        <f t="shared" si="1"/>
        <v>5.7450628366247702E-2</v>
      </c>
      <c r="L92" s="235">
        <v>565</v>
      </c>
      <c r="M92" s="58" t="s">
        <v>2883</v>
      </c>
      <c r="N92" s="232" t="s">
        <v>2883</v>
      </c>
      <c r="O92" s="323" t="s">
        <v>3177</v>
      </c>
      <c r="P92" s="348" t="s">
        <v>3161</v>
      </c>
      <c r="Q92" s="318">
        <v>900</v>
      </c>
    </row>
    <row r="93" spans="1:17" x14ac:dyDescent="0.3">
      <c r="A93" s="253">
        <v>925</v>
      </c>
      <c r="B93" s="70" t="s">
        <v>2894</v>
      </c>
      <c r="C93" s="374">
        <v>20200</v>
      </c>
      <c r="D93" s="234" t="s">
        <v>2883</v>
      </c>
      <c r="E93" s="58" t="s">
        <v>2883</v>
      </c>
      <c r="F93" s="232">
        <v>10000</v>
      </c>
      <c r="G93" s="375" t="s">
        <v>2883</v>
      </c>
      <c r="H93" s="376" t="s">
        <v>2883</v>
      </c>
      <c r="I93" s="376">
        <v>22588</v>
      </c>
      <c r="J93" s="370">
        <v>0.09</v>
      </c>
      <c r="K93" s="342">
        <f>(I93/C93)-1</f>
        <v>0.11821782178217832</v>
      </c>
      <c r="L93" s="234" t="s">
        <v>2883</v>
      </c>
      <c r="M93" s="58" t="s">
        <v>2883</v>
      </c>
      <c r="N93" s="232">
        <v>10500</v>
      </c>
      <c r="O93" s="277" t="s">
        <v>3102</v>
      </c>
      <c r="P93" s="348" t="s">
        <v>3161</v>
      </c>
      <c r="Q93" s="304">
        <v>925</v>
      </c>
    </row>
    <row r="94" spans="1:17" x14ac:dyDescent="0.3">
      <c r="A94" s="253">
        <v>929</v>
      </c>
      <c r="B94" s="70" t="s">
        <v>2890</v>
      </c>
      <c r="C94" s="374">
        <v>406</v>
      </c>
      <c r="D94" s="234">
        <v>424</v>
      </c>
      <c r="E94" s="58" t="s">
        <v>2883</v>
      </c>
      <c r="F94" s="232" t="s">
        <v>2883</v>
      </c>
      <c r="G94" s="375">
        <v>529</v>
      </c>
      <c r="H94" s="376" t="s">
        <v>2883</v>
      </c>
      <c r="I94" s="376" t="s">
        <v>2883</v>
      </c>
      <c r="J94" s="370">
        <v>0.11</v>
      </c>
      <c r="K94" s="342">
        <f t="shared" si="1"/>
        <v>0.30295566502463056</v>
      </c>
      <c r="L94" s="235">
        <v>510</v>
      </c>
      <c r="M94" s="58" t="s">
        <v>2883</v>
      </c>
      <c r="N94" s="232" t="s">
        <v>2883</v>
      </c>
      <c r="O94" s="323" t="s">
        <v>3169</v>
      </c>
      <c r="P94" s="348" t="s">
        <v>3161</v>
      </c>
      <c r="Q94" s="304">
        <v>929</v>
      </c>
    </row>
    <row r="95" spans="1:17" x14ac:dyDescent="0.3">
      <c r="A95" s="253">
        <v>931</v>
      </c>
      <c r="B95" s="70" t="s">
        <v>2888</v>
      </c>
      <c r="C95" s="374">
        <v>447</v>
      </c>
      <c r="D95" s="234">
        <v>255</v>
      </c>
      <c r="E95" s="58" t="s">
        <v>2883</v>
      </c>
      <c r="F95" s="232" t="s">
        <v>2883</v>
      </c>
      <c r="G95" s="375" t="s">
        <v>3107</v>
      </c>
      <c r="H95" s="376" t="s">
        <v>2883</v>
      </c>
      <c r="I95" s="376" t="s">
        <v>2883</v>
      </c>
      <c r="J95" s="276"/>
      <c r="K95" s="342" t="e">
        <f t="shared" si="1"/>
        <v>#VALUE!</v>
      </c>
      <c r="L95" s="235">
        <v>255</v>
      </c>
      <c r="M95" s="58" t="s">
        <v>2883</v>
      </c>
      <c r="N95" s="232" t="s">
        <v>2883</v>
      </c>
      <c r="O95" s="285" t="s">
        <v>3108</v>
      </c>
      <c r="P95" s="348" t="s">
        <v>3161</v>
      </c>
      <c r="Q95" s="304">
        <v>931</v>
      </c>
    </row>
    <row r="96" spans="1:17" x14ac:dyDescent="0.3">
      <c r="A96" s="319">
        <v>932</v>
      </c>
      <c r="B96" s="70" t="s">
        <v>2887</v>
      </c>
      <c r="C96" s="374">
        <v>60</v>
      </c>
      <c r="D96" s="234">
        <v>160</v>
      </c>
      <c r="E96" s="58">
        <v>17500</v>
      </c>
      <c r="F96" s="232" t="s">
        <v>2883</v>
      </c>
      <c r="G96" s="375">
        <v>103</v>
      </c>
      <c r="H96" s="376" t="s">
        <v>2915</v>
      </c>
      <c r="I96" s="376" t="s">
        <v>2883</v>
      </c>
      <c r="J96" s="370">
        <v>0.11</v>
      </c>
      <c r="K96" s="342">
        <f t="shared" si="1"/>
        <v>0.71666666666666656</v>
      </c>
      <c r="L96" s="235">
        <v>210</v>
      </c>
      <c r="M96" s="58">
        <v>17500</v>
      </c>
      <c r="N96" s="232" t="s">
        <v>2883</v>
      </c>
      <c r="O96" s="285" t="s">
        <v>3168</v>
      </c>
      <c r="P96" s="348" t="s">
        <v>3161</v>
      </c>
      <c r="Q96" s="320">
        <v>932</v>
      </c>
    </row>
    <row r="97" spans="1:18" x14ac:dyDescent="0.3">
      <c r="A97" s="253">
        <v>933</v>
      </c>
      <c r="B97" s="70" t="s">
        <v>2886</v>
      </c>
      <c r="C97" s="374">
        <v>1285</v>
      </c>
      <c r="D97" s="234">
        <v>442.74999999999994</v>
      </c>
      <c r="E97" s="58" t="s">
        <v>2883</v>
      </c>
      <c r="F97" s="232" t="s">
        <v>2883</v>
      </c>
      <c r="G97" s="375">
        <v>850</v>
      </c>
      <c r="H97" s="376" t="s">
        <v>2883</v>
      </c>
      <c r="I97" s="376" t="s">
        <v>2883</v>
      </c>
      <c r="J97" s="370">
        <v>0.08</v>
      </c>
      <c r="K97" s="342">
        <f t="shared" si="1"/>
        <v>-0.33852140077821014</v>
      </c>
      <c r="L97" s="235">
        <v>485</v>
      </c>
      <c r="M97" s="58" t="s">
        <v>2883</v>
      </c>
      <c r="N97" s="232" t="s">
        <v>2883</v>
      </c>
      <c r="O97" s="323" t="s">
        <v>3102</v>
      </c>
      <c r="P97" s="348" t="s">
        <v>3161</v>
      </c>
      <c r="Q97" s="304">
        <v>933</v>
      </c>
      <c r="R97" s="259"/>
    </row>
    <row r="98" spans="1:18" x14ac:dyDescent="0.3">
      <c r="A98" s="253">
        <v>934</v>
      </c>
      <c r="B98" s="70" t="s">
        <v>2885</v>
      </c>
      <c r="C98" s="374">
        <v>45568</v>
      </c>
      <c r="D98" s="234" t="s">
        <v>2883</v>
      </c>
      <c r="E98" s="58" t="s">
        <v>2883</v>
      </c>
      <c r="F98" s="232">
        <v>20000</v>
      </c>
      <c r="G98" s="375" t="s">
        <v>2883</v>
      </c>
      <c r="H98" s="376" t="s">
        <v>2883</v>
      </c>
      <c r="I98" s="376">
        <v>47595</v>
      </c>
      <c r="J98" s="370">
        <v>0.08</v>
      </c>
      <c r="K98" s="342">
        <f>(I98/C98)-1</f>
        <v>4.4482970505618002E-2</v>
      </c>
      <c r="L98" s="234" t="s">
        <v>2883</v>
      </c>
      <c r="M98" s="58" t="s">
        <v>2883</v>
      </c>
      <c r="N98" s="232">
        <v>22000</v>
      </c>
      <c r="O98" s="323" t="s">
        <v>3102</v>
      </c>
      <c r="P98" s="348" t="s">
        <v>3161</v>
      </c>
      <c r="Q98" s="304">
        <v>934</v>
      </c>
    </row>
    <row r="99" spans="1:18" x14ac:dyDescent="0.3">
      <c r="A99" s="302">
        <v>935</v>
      </c>
      <c r="B99" s="70" t="s">
        <v>2884</v>
      </c>
      <c r="C99" s="374">
        <v>116</v>
      </c>
      <c r="D99" s="234">
        <v>195.49999999999997</v>
      </c>
      <c r="E99" s="58" t="s">
        <v>2883</v>
      </c>
      <c r="F99" s="232" t="s">
        <v>2883</v>
      </c>
      <c r="G99" s="375">
        <v>364</v>
      </c>
      <c r="H99" s="376" t="s">
        <v>2883</v>
      </c>
      <c r="I99" s="376" t="s">
        <v>2883</v>
      </c>
      <c r="J99" s="370">
        <v>0.09</v>
      </c>
      <c r="K99" s="342">
        <f t="shared" si="1"/>
        <v>2.1379310344827585</v>
      </c>
      <c r="L99" s="231">
        <v>255</v>
      </c>
      <c r="M99" s="58" t="s">
        <v>2883</v>
      </c>
      <c r="N99" s="232" t="s">
        <v>2883</v>
      </c>
      <c r="O99" s="285" t="s">
        <v>3181</v>
      </c>
      <c r="P99" s="348" t="s">
        <v>3161</v>
      </c>
      <c r="Q99" s="303">
        <v>935</v>
      </c>
    </row>
    <row r="100" spans="1:18" ht="15" thickBot="1" x14ac:dyDescent="0.35">
      <c r="A100" s="324" t="s">
        <v>3083</v>
      </c>
      <c r="B100" s="73" t="s">
        <v>3196</v>
      </c>
      <c r="C100" s="365" t="s">
        <v>3084</v>
      </c>
      <c r="D100" s="325" t="s">
        <v>2929</v>
      </c>
      <c r="E100" s="59" t="s">
        <v>2929</v>
      </c>
      <c r="F100" s="233" t="s">
        <v>2929</v>
      </c>
      <c r="G100" s="377" t="s">
        <v>2929</v>
      </c>
      <c r="H100" s="378" t="s">
        <v>2929</v>
      </c>
      <c r="I100" s="378" t="s">
        <v>2929</v>
      </c>
      <c r="J100" s="379" t="s">
        <v>2929</v>
      </c>
      <c r="K100" s="343" t="e">
        <f t="shared" si="1"/>
        <v>#VALUE!</v>
      </c>
      <c r="L100" s="326" t="s">
        <v>3084</v>
      </c>
      <c r="M100" s="59" t="s">
        <v>2929</v>
      </c>
      <c r="N100" s="233" t="s">
        <v>2929</v>
      </c>
      <c r="O100" s="327" t="s">
        <v>3071</v>
      </c>
      <c r="P100" s="349" t="s">
        <v>3161</v>
      </c>
      <c r="Q100" s="328" t="s">
        <v>3083</v>
      </c>
    </row>
    <row r="101" spans="1:18" ht="15" thickBot="1" x14ac:dyDescent="0.35">
      <c r="A101" s="243"/>
      <c r="B101" s="244"/>
      <c r="C101" s="245"/>
      <c r="D101" s="246"/>
      <c r="E101" s="247"/>
      <c r="F101" s="247"/>
      <c r="G101" s="260"/>
      <c r="H101" s="260"/>
      <c r="I101" s="260"/>
      <c r="J101" s="260"/>
      <c r="K101" s="248"/>
      <c r="L101" s="249"/>
      <c r="M101" s="247"/>
      <c r="N101" s="247"/>
      <c r="O101" s="250"/>
      <c r="P101" s="251"/>
    </row>
    <row r="102" spans="1:18" ht="15" thickBot="1" x14ac:dyDescent="0.35">
      <c r="A102" s="261" t="s">
        <v>3183</v>
      </c>
      <c r="B102" s="262"/>
      <c r="C102" s="263"/>
      <c r="D102" s="264"/>
      <c r="E102" s="265"/>
      <c r="F102" s="265"/>
      <c r="G102" s="266"/>
      <c r="H102" s="266"/>
      <c r="I102" s="266"/>
      <c r="J102" s="266"/>
      <c r="K102" s="267"/>
      <c r="L102" s="268"/>
      <c r="M102" s="265"/>
      <c r="N102" s="265"/>
      <c r="O102" s="269"/>
      <c r="P102" s="333" t="s">
        <v>3105</v>
      </c>
      <c r="Q102" s="243"/>
    </row>
    <row r="103" spans="1:18" x14ac:dyDescent="0.3">
      <c r="A103" s="329" t="s">
        <v>3018</v>
      </c>
      <c r="B103" s="72" t="s">
        <v>3017</v>
      </c>
      <c r="C103" s="380">
        <v>63</v>
      </c>
      <c r="D103" s="60">
        <v>130</v>
      </c>
      <c r="E103" s="60" t="s">
        <v>2883</v>
      </c>
      <c r="F103" s="60" t="s">
        <v>2883</v>
      </c>
      <c r="G103" s="380">
        <v>403</v>
      </c>
      <c r="H103" s="380" t="s">
        <v>2883</v>
      </c>
      <c r="I103" s="380" t="s">
        <v>2883</v>
      </c>
      <c r="J103" s="371">
        <v>0.04</v>
      </c>
      <c r="K103" s="344">
        <f t="shared" ref="K103:K112" si="2">(G103/C103)-1</f>
        <v>5.3968253968253972</v>
      </c>
      <c r="L103" s="334">
        <v>170</v>
      </c>
      <c r="M103" s="60" t="s">
        <v>2883</v>
      </c>
      <c r="N103" s="60" t="s">
        <v>2883</v>
      </c>
      <c r="O103" s="354" t="s">
        <v>3206</v>
      </c>
      <c r="P103" s="350" t="s">
        <v>3161</v>
      </c>
      <c r="Q103" s="335"/>
    </row>
    <row r="104" spans="1:18" x14ac:dyDescent="0.3">
      <c r="A104" s="252" t="s">
        <v>3016</v>
      </c>
      <c r="B104" s="70" t="s">
        <v>3015</v>
      </c>
      <c r="C104" s="376">
        <v>182</v>
      </c>
      <c r="D104" s="58">
        <v>175</v>
      </c>
      <c r="E104" s="58" t="s">
        <v>2883</v>
      </c>
      <c r="F104" s="58" t="s">
        <v>2883</v>
      </c>
      <c r="G104" s="376">
        <v>404</v>
      </c>
      <c r="H104" s="376" t="s">
        <v>2883</v>
      </c>
      <c r="I104" s="376" t="s">
        <v>2883</v>
      </c>
      <c r="J104" s="372">
        <v>0.05</v>
      </c>
      <c r="K104" s="345">
        <f t="shared" si="2"/>
        <v>1.2197802197802199</v>
      </c>
      <c r="L104" s="186">
        <v>230</v>
      </c>
      <c r="M104" s="58" t="s">
        <v>2883</v>
      </c>
      <c r="N104" s="58" t="s">
        <v>2883</v>
      </c>
      <c r="O104" s="352" t="s">
        <v>3210</v>
      </c>
      <c r="P104" s="350" t="s">
        <v>3161</v>
      </c>
      <c r="Q104" s="335"/>
    </row>
    <row r="105" spans="1:18" x14ac:dyDescent="0.3">
      <c r="A105" s="252" t="s">
        <v>3012</v>
      </c>
      <c r="B105" s="70" t="s">
        <v>3011</v>
      </c>
      <c r="C105" s="376">
        <v>226</v>
      </c>
      <c r="D105" s="58">
        <v>320</v>
      </c>
      <c r="E105" s="58" t="s">
        <v>2883</v>
      </c>
      <c r="F105" s="58" t="s">
        <v>2883</v>
      </c>
      <c r="G105" s="376">
        <v>301</v>
      </c>
      <c r="H105" s="376" t="s">
        <v>2883</v>
      </c>
      <c r="I105" s="376" t="s">
        <v>2883</v>
      </c>
      <c r="J105" s="372">
        <v>0.11</v>
      </c>
      <c r="K105" s="345">
        <f t="shared" si="2"/>
        <v>0.33185840707964598</v>
      </c>
      <c r="L105" s="186">
        <v>385</v>
      </c>
      <c r="M105" s="58" t="s">
        <v>2883</v>
      </c>
      <c r="N105" s="58" t="s">
        <v>2883</v>
      </c>
      <c r="O105" s="355" t="s">
        <v>3184</v>
      </c>
      <c r="P105" s="350" t="s">
        <v>3161</v>
      </c>
      <c r="Q105" s="335"/>
    </row>
    <row r="106" spans="1:18" x14ac:dyDescent="0.3">
      <c r="A106" s="252" t="s">
        <v>2976</v>
      </c>
      <c r="B106" s="70" t="s">
        <v>2975</v>
      </c>
      <c r="C106" s="376">
        <v>957</v>
      </c>
      <c r="D106" s="58">
        <v>215.25</v>
      </c>
      <c r="E106" s="58" t="s">
        <v>2883</v>
      </c>
      <c r="F106" s="58" t="s">
        <v>2883</v>
      </c>
      <c r="G106" s="376">
        <v>924</v>
      </c>
      <c r="H106" s="376" t="s">
        <v>2883</v>
      </c>
      <c r="I106" s="376" t="s">
        <v>2883</v>
      </c>
      <c r="J106" s="372">
        <v>7.0000000000000007E-2</v>
      </c>
      <c r="K106" s="345">
        <f t="shared" si="2"/>
        <v>-3.4482758620689613E-2</v>
      </c>
      <c r="L106" s="58">
        <v>235</v>
      </c>
      <c r="M106" s="58" t="s">
        <v>2883</v>
      </c>
      <c r="N106" s="58" t="s">
        <v>2883</v>
      </c>
      <c r="O106" s="355" t="s">
        <v>3211</v>
      </c>
      <c r="P106" s="350" t="s">
        <v>3161</v>
      </c>
      <c r="Q106" s="335"/>
    </row>
    <row r="107" spans="1:18" x14ac:dyDescent="0.3">
      <c r="A107" s="252" t="s">
        <v>2939</v>
      </c>
      <c r="B107" s="70" t="s">
        <v>2938</v>
      </c>
      <c r="C107" s="376">
        <v>311</v>
      </c>
      <c r="D107" s="58">
        <v>143.75</v>
      </c>
      <c r="E107" s="58" t="s">
        <v>2883</v>
      </c>
      <c r="F107" s="58" t="s">
        <v>2883</v>
      </c>
      <c r="G107" s="376">
        <v>568</v>
      </c>
      <c r="H107" s="376" t="s">
        <v>2883</v>
      </c>
      <c r="I107" s="376" t="s">
        <v>2883</v>
      </c>
      <c r="J107" s="372">
        <v>7.0000000000000007E-2</v>
      </c>
      <c r="K107" s="345">
        <f t="shared" si="2"/>
        <v>0.82636655948553051</v>
      </c>
      <c r="L107" s="58">
        <v>190</v>
      </c>
      <c r="M107" s="58" t="s">
        <v>2883</v>
      </c>
      <c r="N107" s="58" t="s">
        <v>2883</v>
      </c>
      <c r="O107" s="355" t="s">
        <v>3185</v>
      </c>
      <c r="P107" s="350" t="s">
        <v>3161</v>
      </c>
      <c r="Q107" s="336"/>
    </row>
    <row r="108" spans="1:18" x14ac:dyDescent="0.3">
      <c r="A108" s="253">
        <v>436</v>
      </c>
      <c r="B108" s="70" t="s">
        <v>2918</v>
      </c>
      <c r="C108" s="376">
        <v>402</v>
      </c>
      <c r="D108" s="58">
        <v>192</v>
      </c>
      <c r="E108" s="58" t="s">
        <v>2883</v>
      </c>
      <c r="F108" s="58" t="s">
        <v>2883</v>
      </c>
      <c r="G108" s="376">
        <v>238</v>
      </c>
      <c r="H108" s="376" t="s">
        <v>2883</v>
      </c>
      <c r="I108" s="376" t="s">
        <v>2883</v>
      </c>
      <c r="J108" s="372">
        <v>7.0000000000000007E-2</v>
      </c>
      <c r="K108" s="345">
        <f t="shared" si="2"/>
        <v>-0.40796019900497515</v>
      </c>
      <c r="L108" s="58">
        <v>210</v>
      </c>
      <c r="M108" s="58" t="s">
        <v>2883</v>
      </c>
      <c r="N108" s="58" t="s">
        <v>2883</v>
      </c>
      <c r="O108" s="355" t="s">
        <v>3186</v>
      </c>
      <c r="P108" s="350" t="s">
        <v>3161</v>
      </c>
      <c r="Q108" s="336"/>
    </row>
    <row r="109" spans="1:18" x14ac:dyDescent="0.3">
      <c r="A109" s="330">
        <v>463</v>
      </c>
      <c r="B109" s="70" t="s">
        <v>2909</v>
      </c>
      <c r="C109" s="376">
        <v>281</v>
      </c>
      <c r="D109" s="58">
        <v>165</v>
      </c>
      <c r="E109" s="58" t="s">
        <v>2883</v>
      </c>
      <c r="F109" s="58" t="s">
        <v>2883</v>
      </c>
      <c r="G109" s="376">
        <v>471</v>
      </c>
      <c r="H109" s="376" t="s">
        <v>2883</v>
      </c>
      <c r="I109" s="376" t="s">
        <v>2883</v>
      </c>
      <c r="J109" s="372">
        <v>0.05</v>
      </c>
      <c r="K109" s="345">
        <f t="shared" si="2"/>
        <v>0.67615658362989328</v>
      </c>
      <c r="L109" s="58">
        <v>215</v>
      </c>
      <c r="M109" s="58" t="s">
        <v>2883</v>
      </c>
      <c r="N109" s="58" t="s">
        <v>2883</v>
      </c>
      <c r="O109" s="356" t="s">
        <v>3207</v>
      </c>
      <c r="P109" s="350" t="s">
        <v>3161</v>
      </c>
      <c r="Q109" s="336"/>
    </row>
    <row r="110" spans="1:18" x14ac:dyDescent="0.3">
      <c r="A110" s="253">
        <v>512</v>
      </c>
      <c r="B110" s="70" t="s">
        <v>2907</v>
      </c>
      <c r="C110" s="376">
        <v>310</v>
      </c>
      <c r="D110" s="58">
        <v>128.25</v>
      </c>
      <c r="E110" s="186" t="s">
        <v>2883</v>
      </c>
      <c r="F110" s="186" t="s">
        <v>2883</v>
      </c>
      <c r="G110" s="376">
        <v>619</v>
      </c>
      <c r="H110" s="376" t="s">
        <v>2883</v>
      </c>
      <c r="I110" s="376" t="s">
        <v>2883</v>
      </c>
      <c r="J110" s="372">
        <v>0.03</v>
      </c>
      <c r="K110" s="345">
        <f t="shared" si="2"/>
        <v>0.99677419354838714</v>
      </c>
      <c r="L110" s="186">
        <v>165</v>
      </c>
      <c r="M110" s="58" t="s">
        <v>2883</v>
      </c>
      <c r="N110" s="58" t="s">
        <v>2883</v>
      </c>
      <c r="O110" s="356" t="s">
        <v>3187</v>
      </c>
      <c r="P110" s="350" t="s">
        <v>3161</v>
      </c>
      <c r="Q110" s="336"/>
    </row>
    <row r="111" spans="1:18" x14ac:dyDescent="0.3">
      <c r="A111" s="253">
        <v>536</v>
      </c>
      <c r="B111" s="70" t="s">
        <v>2905</v>
      </c>
      <c r="C111" s="376">
        <v>1285</v>
      </c>
      <c r="D111" s="58">
        <v>443</v>
      </c>
      <c r="E111" s="58" t="s">
        <v>2883</v>
      </c>
      <c r="F111" s="58" t="s">
        <v>2883</v>
      </c>
      <c r="G111" s="376">
        <v>850</v>
      </c>
      <c r="H111" s="376" t="s">
        <v>2883</v>
      </c>
      <c r="I111" s="376" t="s">
        <v>2883</v>
      </c>
      <c r="J111" s="372">
        <v>0.08</v>
      </c>
      <c r="K111" s="345">
        <f t="shared" si="2"/>
        <v>-0.33852140077821014</v>
      </c>
      <c r="L111" s="58">
        <v>485</v>
      </c>
      <c r="M111" s="58" t="s">
        <v>2883</v>
      </c>
      <c r="N111" s="58" t="s">
        <v>2883</v>
      </c>
      <c r="O111" s="352" t="s">
        <v>3212</v>
      </c>
      <c r="P111" s="350" t="s">
        <v>3161</v>
      </c>
      <c r="Q111" s="336"/>
    </row>
    <row r="112" spans="1:18" x14ac:dyDescent="0.3">
      <c r="A112" s="253">
        <v>910</v>
      </c>
      <c r="B112" s="70" t="s">
        <v>2895</v>
      </c>
      <c r="C112" s="376">
        <v>557</v>
      </c>
      <c r="D112" s="58">
        <v>410.70000000000005</v>
      </c>
      <c r="E112" s="58" t="s">
        <v>2883</v>
      </c>
      <c r="F112" s="58" t="s">
        <v>2883</v>
      </c>
      <c r="G112" s="376">
        <v>589</v>
      </c>
      <c r="H112" s="376" t="s">
        <v>2883</v>
      </c>
      <c r="I112" s="376" t="s">
        <v>2883</v>
      </c>
      <c r="J112" s="372">
        <v>0.08</v>
      </c>
      <c r="K112" s="345">
        <f t="shared" si="2"/>
        <v>5.7450628366247702E-2</v>
      </c>
      <c r="L112" s="58">
        <v>450</v>
      </c>
      <c r="M112" s="58" t="s">
        <v>2883</v>
      </c>
      <c r="N112" s="58" t="s">
        <v>2883</v>
      </c>
      <c r="O112" s="356" t="s">
        <v>3188</v>
      </c>
      <c r="P112" s="350" t="s">
        <v>3161</v>
      </c>
      <c r="Q112" s="336"/>
    </row>
    <row r="113" spans="1:17" x14ac:dyDescent="0.3">
      <c r="A113" s="253">
        <v>926</v>
      </c>
      <c r="B113" s="70" t="s">
        <v>2893</v>
      </c>
      <c r="C113" s="376">
        <v>15000</v>
      </c>
      <c r="D113" s="58" t="s">
        <v>2883</v>
      </c>
      <c r="E113" s="58" t="s">
        <v>2883</v>
      </c>
      <c r="F113" s="58">
        <v>10000</v>
      </c>
      <c r="G113" s="376" t="s">
        <v>2883</v>
      </c>
      <c r="H113" s="376" t="s">
        <v>2883</v>
      </c>
      <c r="I113" s="376">
        <v>16120</v>
      </c>
      <c r="J113" s="372">
        <v>0.13</v>
      </c>
      <c r="K113" s="345">
        <f t="shared" ref="K113:K115" si="3">(I113/C113)-1</f>
        <v>7.4666666666666659E-2</v>
      </c>
      <c r="L113" s="58" t="s">
        <v>2883</v>
      </c>
      <c r="M113" s="58" t="s">
        <v>2883</v>
      </c>
      <c r="N113" s="58">
        <v>10500</v>
      </c>
      <c r="O113" s="355" t="s">
        <v>3189</v>
      </c>
      <c r="P113" s="350" t="s">
        <v>3161</v>
      </c>
      <c r="Q113" s="336"/>
    </row>
    <row r="114" spans="1:17" x14ac:dyDescent="0.3">
      <c r="A114" s="253">
        <v>927</v>
      </c>
      <c r="B114" s="70" t="s">
        <v>2892</v>
      </c>
      <c r="C114" s="376">
        <v>20200</v>
      </c>
      <c r="D114" s="58" t="s">
        <v>2883</v>
      </c>
      <c r="E114" s="58" t="s">
        <v>2883</v>
      </c>
      <c r="F114" s="58">
        <v>10000</v>
      </c>
      <c r="G114" s="376" t="s">
        <v>2883</v>
      </c>
      <c r="H114" s="376" t="s">
        <v>2883</v>
      </c>
      <c r="I114" s="376">
        <v>22588</v>
      </c>
      <c r="J114" s="372">
        <v>0.09</v>
      </c>
      <c r="K114" s="345">
        <f t="shared" si="3"/>
        <v>0.11821782178217832</v>
      </c>
      <c r="L114" s="58" t="s">
        <v>2883</v>
      </c>
      <c r="M114" s="58" t="s">
        <v>2883</v>
      </c>
      <c r="N114" s="58">
        <v>10500</v>
      </c>
      <c r="O114" s="355" t="s">
        <v>3189</v>
      </c>
      <c r="P114" s="350" t="s">
        <v>3161</v>
      </c>
      <c r="Q114" s="336"/>
    </row>
    <row r="115" spans="1:17" x14ac:dyDescent="0.3">
      <c r="A115" s="253">
        <v>928</v>
      </c>
      <c r="B115" s="70" t="s">
        <v>2891</v>
      </c>
      <c r="C115" s="376">
        <v>15000</v>
      </c>
      <c r="D115" s="58" t="s">
        <v>2883</v>
      </c>
      <c r="E115" s="58" t="s">
        <v>2883</v>
      </c>
      <c r="F115" s="58">
        <v>10000</v>
      </c>
      <c r="G115" s="376" t="s">
        <v>2883</v>
      </c>
      <c r="H115" s="376" t="s">
        <v>2883</v>
      </c>
      <c r="I115" s="376">
        <v>16120</v>
      </c>
      <c r="J115" s="372">
        <v>0.13</v>
      </c>
      <c r="K115" s="345">
        <f t="shared" si="3"/>
        <v>7.4666666666666659E-2</v>
      </c>
      <c r="L115" s="58" t="s">
        <v>2883</v>
      </c>
      <c r="M115" s="58" t="s">
        <v>2883</v>
      </c>
      <c r="N115" s="58">
        <v>10500</v>
      </c>
      <c r="O115" s="355" t="s">
        <v>3189</v>
      </c>
      <c r="P115" s="350" t="s">
        <v>3161</v>
      </c>
      <c r="Q115" s="336"/>
    </row>
    <row r="116" spans="1:17" ht="15" thickBot="1" x14ac:dyDescent="0.35">
      <c r="A116" s="254">
        <v>930</v>
      </c>
      <c r="B116" s="73" t="s">
        <v>2889</v>
      </c>
      <c r="C116" s="378">
        <v>406</v>
      </c>
      <c r="D116" s="59">
        <v>424</v>
      </c>
      <c r="E116" s="59" t="s">
        <v>2883</v>
      </c>
      <c r="F116" s="59" t="s">
        <v>2883</v>
      </c>
      <c r="G116" s="378">
        <v>471</v>
      </c>
      <c r="H116" s="378" t="s">
        <v>2883</v>
      </c>
      <c r="I116" s="378" t="s">
        <v>2883</v>
      </c>
      <c r="J116" s="373">
        <v>0.11</v>
      </c>
      <c r="K116" s="346">
        <f t="shared" ref="K116" si="4">(G116/C116)-1</f>
        <v>0.16009852216748777</v>
      </c>
      <c r="L116" s="59">
        <v>465</v>
      </c>
      <c r="M116" s="59" t="s">
        <v>2883</v>
      </c>
      <c r="N116" s="59" t="s">
        <v>2883</v>
      </c>
      <c r="O116" s="357" t="s">
        <v>3190</v>
      </c>
      <c r="P116" s="351" t="s">
        <v>3161</v>
      </c>
    </row>
    <row r="118" spans="1:17" x14ac:dyDescent="0.3">
      <c r="C118" s="94" t="s">
        <v>3099</v>
      </c>
      <c r="D118"/>
      <c r="E118"/>
      <c r="F118"/>
      <c r="G118"/>
      <c r="H118"/>
      <c r="I118"/>
    </row>
    <row r="119" spans="1:17" x14ac:dyDescent="0.3">
      <c r="C119" s="96" t="s">
        <v>3164</v>
      </c>
      <c r="D119" s="96"/>
      <c r="E119" s="96"/>
      <c r="F119" s="96"/>
      <c r="G119" s="96"/>
      <c r="H119" s="96"/>
      <c r="I119" s="96"/>
    </row>
    <row r="120" spans="1:17" x14ac:dyDescent="0.3">
      <c r="C120" s="96" t="s">
        <v>3165</v>
      </c>
      <c r="D120" s="96"/>
      <c r="E120" s="96"/>
      <c r="F120" s="96"/>
      <c r="G120" s="96"/>
      <c r="H120" s="96"/>
      <c r="I120" s="96"/>
    </row>
    <row r="121" spans="1:17" x14ac:dyDescent="0.3">
      <c r="C121" s="96" t="s">
        <v>3166</v>
      </c>
      <c r="D121" s="96"/>
      <c r="E121" s="96"/>
      <c r="F121" s="96"/>
      <c r="G121" s="96"/>
      <c r="H121" s="96"/>
      <c r="I121" s="96"/>
    </row>
    <row r="122" spans="1:17" x14ac:dyDescent="0.3">
      <c r="C122" s="96" t="s">
        <v>3167</v>
      </c>
      <c r="D122" s="96"/>
      <c r="E122" s="96"/>
      <c r="F122" s="96"/>
      <c r="G122" s="96"/>
      <c r="H122"/>
      <c r="I122"/>
    </row>
    <row r="123" spans="1:17" x14ac:dyDescent="0.3">
      <c r="C123" s="96" t="s">
        <v>3100</v>
      </c>
      <c r="D123" s="96"/>
      <c r="E123" s="96"/>
      <c r="F123" s="96"/>
      <c r="G123" s="96"/>
      <c r="H123"/>
      <c r="I123"/>
    </row>
  </sheetData>
  <pageMargins left="0.25" right="0.25" top="0.75" bottom="0.75" header="0.3" footer="0.3"/>
  <pageSetup scale="44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rgb="FF00B050"/>
  </sheetPr>
  <dimension ref="A1:AH56"/>
  <sheetViews>
    <sheetView topLeftCell="A22" workbookViewId="0">
      <selection activeCell="E37" sqref="E37:M43"/>
    </sheetView>
  </sheetViews>
  <sheetFormatPr defaultRowHeight="14.4" x14ac:dyDescent="0.3"/>
  <cols>
    <col min="1" max="1" width="10.44140625" style="55" bestFit="1" customWidth="1" collapsed="1"/>
    <col min="2" max="2" width="17.5546875" customWidth="1" collapsed="1"/>
    <col min="3" max="3" width="15.6640625" customWidth="1" collapsed="1"/>
    <col min="4" max="4" width="10.88671875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764</v>
      </c>
      <c r="B2" s="10" t="s">
        <v>789</v>
      </c>
      <c r="C2" s="10" t="s">
        <v>790</v>
      </c>
      <c r="D2" s="11">
        <v>45268</v>
      </c>
      <c r="E2" s="12">
        <v>136000</v>
      </c>
      <c r="F2" s="10" t="s">
        <v>32</v>
      </c>
      <c r="G2" s="10" t="s">
        <v>33</v>
      </c>
      <c r="H2" s="12">
        <v>136000</v>
      </c>
      <c r="I2" s="12">
        <v>51600</v>
      </c>
      <c r="J2" s="13">
        <f t="shared" ref="J2:J33" si="0">I2/H2*100</f>
        <v>37.941176470588232</v>
      </c>
      <c r="K2" s="12">
        <v>138901</v>
      </c>
      <c r="L2" s="12">
        <f>H2-131263</f>
        <v>4737</v>
      </c>
      <c r="M2" s="12">
        <v>7638</v>
      </c>
      <c r="N2" s="66">
        <f t="shared" ref="N2:N33" si="1">M2/E2</f>
        <v>5.6161764705882355E-2</v>
      </c>
      <c r="O2" s="14">
        <v>43.64</v>
      </c>
      <c r="P2" s="15">
        <v>135</v>
      </c>
      <c r="Q2" s="16">
        <v>0.13</v>
      </c>
      <c r="R2" s="16">
        <v>0.13</v>
      </c>
      <c r="S2" s="12">
        <f t="shared" ref="S2:S33" si="2">L2/O2</f>
        <v>108.54720439963336</v>
      </c>
      <c r="T2" s="12">
        <f t="shared" ref="T2:T33" si="3">L2/Q2</f>
        <v>36438.461538461539</v>
      </c>
      <c r="U2" s="17">
        <f t="shared" ref="U2:U33" si="4">L2/Q2/43560</f>
        <v>0.8365119728756093</v>
      </c>
      <c r="V2" s="16">
        <v>42</v>
      </c>
      <c r="W2" s="16">
        <f t="shared" ref="W2:W33" si="5">0.2*E2</f>
        <v>27200</v>
      </c>
      <c r="X2" s="16">
        <f t="shared" ref="X2:X33" si="6">W2/V2</f>
        <v>647.61904761904759</v>
      </c>
      <c r="Y2" s="18" t="s">
        <v>763</v>
      </c>
      <c r="Z2" s="10" t="s">
        <v>35</v>
      </c>
      <c r="AA2" s="10" t="s">
        <v>35</v>
      </c>
      <c r="AB2" s="10" t="s">
        <v>764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764</v>
      </c>
      <c r="B3" s="10" t="s">
        <v>797</v>
      </c>
      <c r="C3" s="10" t="s">
        <v>798</v>
      </c>
      <c r="D3" s="11">
        <v>45344</v>
      </c>
      <c r="E3" s="12">
        <v>152000</v>
      </c>
      <c r="F3" s="10" t="s">
        <v>32</v>
      </c>
      <c r="G3" s="10" t="s">
        <v>33</v>
      </c>
      <c r="H3" s="12">
        <v>152000</v>
      </c>
      <c r="I3" s="12">
        <v>57600</v>
      </c>
      <c r="J3" s="13">
        <f t="shared" si="0"/>
        <v>37.894736842105267</v>
      </c>
      <c r="K3" s="12">
        <v>154290</v>
      </c>
      <c r="L3" s="12">
        <f>H3-146697</f>
        <v>5303</v>
      </c>
      <c r="M3" s="12">
        <v>7593</v>
      </c>
      <c r="N3" s="66">
        <f t="shared" si="1"/>
        <v>4.9953947368421056E-2</v>
      </c>
      <c r="O3" s="14">
        <v>43.38</v>
      </c>
      <c r="P3" s="15">
        <v>135</v>
      </c>
      <c r="Q3" s="16">
        <v>0.129</v>
      </c>
      <c r="R3" s="16">
        <v>0.129</v>
      </c>
      <c r="S3" s="12">
        <f t="shared" si="2"/>
        <v>122.24527431996312</v>
      </c>
      <c r="T3" s="12">
        <f t="shared" si="3"/>
        <v>41108.527131782947</v>
      </c>
      <c r="U3" s="17">
        <f t="shared" si="4"/>
        <v>0.94372192680860756</v>
      </c>
      <c r="V3" s="16">
        <v>41.75</v>
      </c>
      <c r="W3" s="16">
        <f t="shared" si="5"/>
        <v>30400</v>
      </c>
      <c r="X3" s="16">
        <f t="shared" si="6"/>
        <v>728.14371257485027</v>
      </c>
      <c r="Y3" s="18" t="s">
        <v>763</v>
      </c>
      <c r="Z3" s="10" t="s">
        <v>35</v>
      </c>
      <c r="AA3" s="10" t="s">
        <v>35</v>
      </c>
      <c r="AB3" s="10" t="s">
        <v>764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764</v>
      </c>
      <c r="B4" s="19" t="s">
        <v>1239</v>
      </c>
      <c r="C4" s="19" t="s">
        <v>1240</v>
      </c>
      <c r="D4" s="20">
        <v>45237</v>
      </c>
      <c r="E4" s="21">
        <v>145000</v>
      </c>
      <c r="F4" s="19" t="s">
        <v>32</v>
      </c>
      <c r="G4" s="19" t="s">
        <v>33</v>
      </c>
      <c r="H4" s="21">
        <v>145000</v>
      </c>
      <c r="I4" s="21">
        <v>53400</v>
      </c>
      <c r="J4" s="22">
        <f t="shared" si="0"/>
        <v>36.827586206896548</v>
      </c>
      <c r="K4" s="21">
        <v>146994</v>
      </c>
      <c r="L4" s="21">
        <f>H4-137904</f>
        <v>7096</v>
      </c>
      <c r="M4" s="21">
        <v>9090</v>
      </c>
      <c r="N4" s="67">
        <f t="shared" si="1"/>
        <v>6.2689655172413788E-2</v>
      </c>
      <c r="O4" s="23">
        <v>51.94</v>
      </c>
      <c r="P4" s="24">
        <v>134.9</v>
      </c>
      <c r="Q4" s="25">
        <v>0.155</v>
      </c>
      <c r="R4" s="25">
        <v>0.155</v>
      </c>
      <c r="S4" s="21">
        <f t="shared" si="2"/>
        <v>136.61917597227571</v>
      </c>
      <c r="T4" s="21">
        <f t="shared" si="3"/>
        <v>45780.645161290326</v>
      </c>
      <c r="U4" s="26">
        <f t="shared" si="4"/>
        <v>1.0509789981930746</v>
      </c>
      <c r="V4" s="25">
        <v>50</v>
      </c>
      <c r="W4" s="25">
        <f t="shared" si="5"/>
        <v>29000</v>
      </c>
      <c r="X4" s="25">
        <f t="shared" si="6"/>
        <v>580</v>
      </c>
      <c r="Y4" s="27" t="s">
        <v>763</v>
      </c>
      <c r="Z4" s="19" t="s">
        <v>35</v>
      </c>
      <c r="AA4" s="19" t="s">
        <v>35</v>
      </c>
      <c r="AB4" s="19" t="s">
        <v>764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764</v>
      </c>
      <c r="B5" s="19" t="s">
        <v>793</v>
      </c>
      <c r="C5" s="19" t="s">
        <v>794</v>
      </c>
      <c r="D5" s="20">
        <v>45107</v>
      </c>
      <c r="E5" s="21">
        <v>140000</v>
      </c>
      <c r="F5" s="19" t="s">
        <v>32</v>
      </c>
      <c r="G5" s="19" t="s">
        <v>33</v>
      </c>
      <c r="H5" s="21">
        <v>140000</v>
      </c>
      <c r="I5" s="21">
        <v>51300</v>
      </c>
      <c r="J5" s="22">
        <f t="shared" si="0"/>
        <v>36.642857142857146</v>
      </c>
      <c r="K5" s="21">
        <v>141394</v>
      </c>
      <c r="L5" s="21">
        <f>H5-133938</f>
        <v>6062</v>
      </c>
      <c r="M5" s="21">
        <v>7456</v>
      </c>
      <c r="N5" s="67">
        <f t="shared" si="1"/>
        <v>5.3257142857142857E-2</v>
      </c>
      <c r="O5" s="23">
        <v>42.6</v>
      </c>
      <c r="P5" s="24">
        <v>135</v>
      </c>
      <c r="Q5" s="25">
        <v>0.127</v>
      </c>
      <c r="R5" s="25">
        <v>0.127</v>
      </c>
      <c r="S5" s="21">
        <f t="shared" si="2"/>
        <v>142.30046948356807</v>
      </c>
      <c r="T5" s="21">
        <f t="shared" si="3"/>
        <v>47732.283464566928</v>
      </c>
      <c r="U5" s="26">
        <f t="shared" si="4"/>
        <v>1.0957824486815182</v>
      </c>
      <c r="V5" s="25">
        <v>41</v>
      </c>
      <c r="W5" s="25">
        <f t="shared" si="5"/>
        <v>28000</v>
      </c>
      <c r="X5" s="25">
        <f t="shared" si="6"/>
        <v>682.92682926829264</v>
      </c>
      <c r="Y5" s="27" t="s">
        <v>763</v>
      </c>
      <c r="Z5" s="19" t="s">
        <v>35</v>
      </c>
      <c r="AA5" s="19" t="s">
        <v>35</v>
      </c>
      <c r="AB5" s="19" t="s">
        <v>764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764</v>
      </c>
      <c r="B6" s="19" t="s">
        <v>1207</v>
      </c>
      <c r="C6" s="19" t="s">
        <v>1208</v>
      </c>
      <c r="D6" s="20">
        <v>45496</v>
      </c>
      <c r="E6" s="21">
        <v>185000</v>
      </c>
      <c r="F6" s="19" t="s">
        <v>32</v>
      </c>
      <c r="G6" s="19" t="s">
        <v>33</v>
      </c>
      <c r="H6" s="21">
        <v>185000</v>
      </c>
      <c r="I6" s="21">
        <v>84600</v>
      </c>
      <c r="J6" s="22">
        <f t="shared" si="0"/>
        <v>45.729729729729726</v>
      </c>
      <c r="K6" s="21">
        <v>186509</v>
      </c>
      <c r="L6" s="21">
        <f>H6-177480</f>
        <v>7520</v>
      </c>
      <c r="M6" s="21">
        <v>9029</v>
      </c>
      <c r="N6" s="67">
        <f t="shared" si="1"/>
        <v>4.8805405405405407E-2</v>
      </c>
      <c r="O6" s="23">
        <v>51.59</v>
      </c>
      <c r="P6" s="24">
        <v>110</v>
      </c>
      <c r="Q6" s="25">
        <v>0.13900000000000001</v>
      </c>
      <c r="R6" s="25">
        <v>0.13900000000000001</v>
      </c>
      <c r="S6" s="21">
        <f t="shared" si="2"/>
        <v>145.76468307811589</v>
      </c>
      <c r="T6" s="21">
        <f t="shared" si="3"/>
        <v>54100.719424460425</v>
      </c>
      <c r="U6" s="26">
        <f t="shared" si="4"/>
        <v>1.2419816213145185</v>
      </c>
      <c r="V6" s="25">
        <v>55</v>
      </c>
      <c r="W6" s="25">
        <f t="shared" si="5"/>
        <v>37000</v>
      </c>
      <c r="X6" s="25">
        <f t="shared" si="6"/>
        <v>672.72727272727275</v>
      </c>
      <c r="Y6" s="27" t="s">
        <v>763</v>
      </c>
      <c r="Z6" s="19" t="s">
        <v>35</v>
      </c>
      <c r="AA6" s="19" t="s">
        <v>35</v>
      </c>
      <c r="AB6" s="19" t="s">
        <v>764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764</v>
      </c>
      <c r="B7" s="19" t="s">
        <v>1205</v>
      </c>
      <c r="C7" s="19" t="s">
        <v>1206</v>
      </c>
      <c r="D7" s="20">
        <v>45418</v>
      </c>
      <c r="E7" s="21">
        <v>170000</v>
      </c>
      <c r="F7" s="19" t="s">
        <v>32</v>
      </c>
      <c r="G7" s="19" t="s">
        <v>33</v>
      </c>
      <c r="H7" s="21">
        <v>170000</v>
      </c>
      <c r="I7" s="21">
        <v>75000</v>
      </c>
      <c r="J7" s="22">
        <f t="shared" si="0"/>
        <v>44.117647058823529</v>
      </c>
      <c r="K7" s="21">
        <v>170584</v>
      </c>
      <c r="L7" s="21">
        <f>H7-160734</f>
        <v>9266</v>
      </c>
      <c r="M7" s="21">
        <v>9850</v>
      </c>
      <c r="N7" s="67">
        <f t="shared" si="1"/>
        <v>5.7941176470588232E-2</v>
      </c>
      <c r="O7" s="23">
        <v>56.28</v>
      </c>
      <c r="P7" s="24">
        <v>110</v>
      </c>
      <c r="Q7" s="25">
        <v>0.152</v>
      </c>
      <c r="R7" s="25">
        <v>0.152</v>
      </c>
      <c r="S7" s="21">
        <f t="shared" si="2"/>
        <v>164.6410803127221</v>
      </c>
      <c r="T7" s="21">
        <f t="shared" si="3"/>
        <v>60960.526315789473</v>
      </c>
      <c r="U7" s="26">
        <f t="shared" si="4"/>
        <v>1.3994611183606398</v>
      </c>
      <c r="V7" s="25">
        <v>60</v>
      </c>
      <c r="W7" s="25">
        <f t="shared" si="5"/>
        <v>34000</v>
      </c>
      <c r="X7" s="25">
        <f t="shared" si="6"/>
        <v>566.66666666666663</v>
      </c>
      <c r="Y7" s="27" t="s">
        <v>763</v>
      </c>
      <c r="Z7" s="19" t="s">
        <v>35</v>
      </c>
      <c r="AA7" s="19" t="s">
        <v>35</v>
      </c>
      <c r="AB7" s="19" t="s">
        <v>764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764</v>
      </c>
      <c r="B8" s="10" t="s">
        <v>1227</v>
      </c>
      <c r="C8" s="10" t="s">
        <v>1228</v>
      </c>
      <c r="D8" s="11">
        <v>45176</v>
      </c>
      <c r="E8" s="12">
        <v>145000</v>
      </c>
      <c r="F8" s="10" t="s">
        <v>32</v>
      </c>
      <c r="G8" s="10" t="s">
        <v>33</v>
      </c>
      <c r="H8" s="12">
        <v>145000</v>
      </c>
      <c r="I8" s="12">
        <v>55900</v>
      </c>
      <c r="J8" s="13">
        <f t="shared" si="0"/>
        <v>38.551724137931039</v>
      </c>
      <c r="K8" s="12">
        <v>144604</v>
      </c>
      <c r="L8" s="12">
        <f>H8-134826</f>
        <v>10174</v>
      </c>
      <c r="M8" s="12">
        <v>9778</v>
      </c>
      <c r="N8" s="66">
        <f t="shared" si="1"/>
        <v>6.7434482758620684E-2</v>
      </c>
      <c r="O8" s="14">
        <v>55.87</v>
      </c>
      <c r="P8" s="15">
        <v>129</v>
      </c>
      <c r="Q8" s="16">
        <v>0.16300000000000001</v>
      </c>
      <c r="R8" s="16">
        <v>0.16300000000000001</v>
      </c>
      <c r="S8" s="12">
        <f t="shared" si="2"/>
        <v>182.10130660461786</v>
      </c>
      <c r="T8" s="12">
        <f t="shared" si="3"/>
        <v>62417.177914110427</v>
      </c>
      <c r="U8" s="17">
        <f t="shared" si="4"/>
        <v>1.4329012376976682</v>
      </c>
      <c r="V8" s="16">
        <v>55</v>
      </c>
      <c r="W8" s="16">
        <f t="shared" si="5"/>
        <v>29000</v>
      </c>
      <c r="X8" s="16">
        <f t="shared" si="6"/>
        <v>527.27272727272725</v>
      </c>
      <c r="Y8" s="18" t="s">
        <v>763</v>
      </c>
      <c r="Z8" s="10" t="s">
        <v>35</v>
      </c>
      <c r="AA8" s="10" t="s">
        <v>35</v>
      </c>
      <c r="AB8" s="10" t="s">
        <v>764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5" t="s">
        <v>764</v>
      </c>
      <c r="B9" s="19" t="s">
        <v>1229</v>
      </c>
      <c r="C9" s="19" t="s">
        <v>1230</v>
      </c>
      <c r="D9" s="20">
        <v>45184</v>
      </c>
      <c r="E9" s="21">
        <v>150000</v>
      </c>
      <c r="F9" s="19" t="s">
        <v>32</v>
      </c>
      <c r="G9" s="19" t="s">
        <v>33</v>
      </c>
      <c r="H9" s="21">
        <v>150000</v>
      </c>
      <c r="I9" s="21">
        <v>57400</v>
      </c>
      <c r="J9" s="22">
        <f t="shared" si="0"/>
        <v>38.266666666666666</v>
      </c>
      <c r="K9" s="21">
        <v>148081</v>
      </c>
      <c r="L9" s="21">
        <f>H9-141835</f>
        <v>8165</v>
      </c>
      <c r="M9" s="21">
        <v>6246</v>
      </c>
      <c r="N9" s="67">
        <f t="shared" si="1"/>
        <v>4.1640000000000003E-2</v>
      </c>
      <c r="O9" s="23">
        <v>35.69</v>
      </c>
      <c r="P9" s="24">
        <v>130</v>
      </c>
      <c r="Q9" s="25">
        <v>0.104</v>
      </c>
      <c r="R9" s="25">
        <v>0.104</v>
      </c>
      <c r="S9" s="21">
        <f t="shared" si="2"/>
        <v>228.77556738582237</v>
      </c>
      <c r="T9" s="21">
        <f t="shared" si="3"/>
        <v>78509.61538461539</v>
      </c>
      <c r="U9" s="26">
        <f t="shared" si="4"/>
        <v>1.8023327682418593</v>
      </c>
      <c r="V9" s="25">
        <v>35</v>
      </c>
      <c r="W9" s="25">
        <f t="shared" si="5"/>
        <v>30000</v>
      </c>
      <c r="X9" s="25">
        <f t="shared" si="6"/>
        <v>857.14285714285711</v>
      </c>
      <c r="Y9" s="27" t="s">
        <v>763</v>
      </c>
      <c r="Z9" s="19" t="s">
        <v>35</v>
      </c>
      <c r="AA9" s="19" t="s">
        <v>35</v>
      </c>
      <c r="AB9" s="19" t="s">
        <v>764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4" t="s">
        <v>764</v>
      </c>
      <c r="B10" s="10" t="s">
        <v>1203</v>
      </c>
      <c r="C10" s="10" t="s">
        <v>1204</v>
      </c>
      <c r="D10" s="11">
        <v>45310</v>
      </c>
      <c r="E10" s="12">
        <v>175000</v>
      </c>
      <c r="F10" s="10" t="s">
        <v>32</v>
      </c>
      <c r="G10" s="10" t="s">
        <v>33</v>
      </c>
      <c r="H10" s="12">
        <v>175000</v>
      </c>
      <c r="I10" s="12">
        <v>65300</v>
      </c>
      <c r="J10" s="13">
        <f t="shared" si="0"/>
        <v>37.314285714285717</v>
      </c>
      <c r="K10" s="12">
        <v>171407</v>
      </c>
      <c r="L10" s="12">
        <f>H10-164840</f>
        <v>10160</v>
      </c>
      <c r="M10" s="12">
        <v>6567</v>
      </c>
      <c r="N10" s="66">
        <f t="shared" si="1"/>
        <v>3.7525714285714287E-2</v>
      </c>
      <c r="O10" s="14">
        <v>37.520000000000003</v>
      </c>
      <c r="P10" s="15">
        <v>110</v>
      </c>
      <c r="Q10" s="16">
        <v>0.10100000000000001</v>
      </c>
      <c r="R10" s="16">
        <v>0.10100000000000001</v>
      </c>
      <c r="S10" s="12">
        <f t="shared" si="2"/>
        <v>270.78891257995735</v>
      </c>
      <c r="T10" s="12">
        <f t="shared" si="3"/>
        <v>100594.05940594058</v>
      </c>
      <c r="U10" s="17">
        <f t="shared" si="4"/>
        <v>2.3093218412750365</v>
      </c>
      <c r="V10" s="16">
        <v>40</v>
      </c>
      <c r="W10" s="16">
        <f t="shared" si="5"/>
        <v>35000</v>
      </c>
      <c r="X10" s="16">
        <f t="shared" si="6"/>
        <v>875</v>
      </c>
      <c r="Y10" s="18" t="s">
        <v>763</v>
      </c>
      <c r="Z10" s="10" t="s">
        <v>35</v>
      </c>
      <c r="AA10" s="10" t="s">
        <v>35</v>
      </c>
      <c r="AB10" s="10" t="s">
        <v>764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5" t="s">
        <v>764</v>
      </c>
      <c r="B11" s="19" t="s">
        <v>1231</v>
      </c>
      <c r="C11" s="19" t="s">
        <v>1232</v>
      </c>
      <c r="D11" s="20">
        <v>45594</v>
      </c>
      <c r="E11" s="21">
        <v>172500</v>
      </c>
      <c r="F11" s="19" t="s">
        <v>32</v>
      </c>
      <c r="G11" s="19" t="s">
        <v>33</v>
      </c>
      <c r="H11" s="21">
        <v>172500</v>
      </c>
      <c r="I11" s="21">
        <v>73500</v>
      </c>
      <c r="J11" s="22">
        <f t="shared" si="0"/>
        <v>42.608695652173914</v>
      </c>
      <c r="K11" s="21">
        <v>167989</v>
      </c>
      <c r="L11" s="21">
        <f>H11-160493</f>
        <v>12007</v>
      </c>
      <c r="M11" s="21">
        <v>7496</v>
      </c>
      <c r="N11" s="67">
        <f t="shared" si="1"/>
        <v>4.3455072463768118E-2</v>
      </c>
      <c r="O11" s="23">
        <v>42.83</v>
      </c>
      <c r="P11" s="24">
        <v>130</v>
      </c>
      <c r="Q11" s="25">
        <v>0.125</v>
      </c>
      <c r="R11" s="25">
        <v>0.125</v>
      </c>
      <c r="S11" s="21">
        <f t="shared" si="2"/>
        <v>280.34088255895404</v>
      </c>
      <c r="T11" s="21">
        <f t="shared" si="3"/>
        <v>96056</v>
      </c>
      <c r="U11" s="26">
        <f t="shared" si="4"/>
        <v>2.2051423324150599</v>
      </c>
      <c r="V11" s="25">
        <v>42</v>
      </c>
      <c r="W11" s="25">
        <f t="shared" si="5"/>
        <v>34500</v>
      </c>
      <c r="X11" s="25">
        <f t="shared" si="6"/>
        <v>821.42857142857144</v>
      </c>
      <c r="Y11" s="27" t="s">
        <v>763</v>
      </c>
      <c r="Z11" s="19" t="s">
        <v>35</v>
      </c>
      <c r="AA11" s="19" t="s">
        <v>35</v>
      </c>
      <c r="AB11" s="19" t="s">
        <v>764</v>
      </c>
      <c r="AC11" s="19">
        <v>0</v>
      </c>
      <c r="AD11" s="19">
        <v>1</v>
      </c>
      <c r="AE11" s="19" t="s">
        <v>37</v>
      </c>
      <c r="AF11" s="19" t="s">
        <v>35</v>
      </c>
      <c r="AG11" s="19" t="s">
        <v>38</v>
      </c>
      <c r="AH11" s="19" t="s">
        <v>92</v>
      </c>
    </row>
    <row r="12" spans="1:34" x14ac:dyDescent="0.3">
      <c r="A12" s="74" t="s">
        <v>764</v>
      </c>
      <c r="B12" s="10" t="s">
        <v>767</v>
      </c>
      <c r="C12" s="10" t="s">
        <v>768</v>
      </c>
      <c r="D12" s="11">
        <v>45252</v>
      </c>
      <c r="E12" s="12">
        <v>135000</v>
      </c>
      <c r="F12" s="10" t="s">
        <v>32</v>
      </c>
      <c r="G12" s="10" t="s">
        <v>33</v>
      </c>
      <c r="H12" s="12">
        <v>135000</v>
      </c>
      <c r="I12" s="12">
        <v>47100</v>
      </c>
      <c r="J12" s="13">
        <f t="shared" si="0"/>
        <v>34.888888888888893</v>
      </c>
      <c r="K12" s="12">
        <v>125536</v>
      </c>
      <c r="L12" s="12">
        <f>H12-117536</f>
        <v>17464</v>
      </c>
      <c r="M12" s="12">
        <v>8000</v>
      </c>
      <c r="N12" s="66">
        <f t="shared" si="1"/>
        <v>5.9259259259259262E-2</v>
      </c>
      <c r="O12" s="14">
        <v>45.71</v>
      </c>
      <c r="P12" s="15">
        <v>129</v>
      </c>
      <c r="Q12" s="16">
        <v>0.13300000000000001</v>
      </c>
      <c r="R12" s="16">
        <v>0.13300000000000001</v>
      </c>
      <c r="S12" s="12">
        <f t="shared" si="2"/>
        <v>382.06081820170641</v>
      </c>
      <c r="T12" s="12">
        <f t="shared" si="3"/>
        <v>131308.27067669173</v>
      </c>
      <c r="U12" s="17">
        <f t="shared" si="4"/>
        <v>3.0144231101168901</v>
      </c>
      <c r="V12" s="16">
        <v>45</v>
      </c>
      <c r="W12" s="16">
        <f t="shared" si="5"/>
        <v>27000</v>
      </c>
      <c r="X12" s="16">
        <f t="shared" si="6"/>
        <v>600</v>
      </c>
      <c r="Y12" s="18" t="s">
        <v>763</v>
      </c>
      <c r="Z12" s="10" t="s">
        <v>35</v>
      </c>
      <c r="AA12" s="10" t="s">
        <v>35</v>
      </c>
      <c r="AB12" s="10" t="s">
        <v>764</v>
      </c>
      <c r="AC12" s="10">
        <v>0</v>
      </c>
      <c r="AD12" s="10">
        <v>1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5" t="s">
        <v>764</v>
      </c>
      <c r="B13" s="19" t="s">
        <v>761</v>
      </c>
      <c r="C13" s="19" t="s">
        <v>762</v>
      </c>
      <c r="D13" s="20">
        <v>45385</v>
      </c>
      <c r="E13" s="21">
        <v>137000</v>
      </c>
      <c r="F13" s="19" t="s">
        <v>32</v>
      </c>
      <c r="G13" s="19" t="s">
        <v>33</v>
      </c>
      <c r="H13" s="21">
        <v>137000</v>
      </c>
      <c r="I13" s="21">
        <v>55500</v>
      </c>
      <c r="J13" s="22">
        <f t="shared" si="0"/>
        <v>40.510948905109487</v>
      </c>
      <c r="K13" s="21">
        <v>127085</v>
      </c>
      <c r="L13" s="21">
        <f>H13-119862</f>
        <v>17138</v>
      </c>
      <c r="M13" s="21">
        <v>7223</v>
      </c>
      <c r="N13" s="67">
        <f t="shared" si="1"/>
        <v>5.2722627737226274E-2</v>
      </c>
      <c r="O13" s="23">
        <v>41.27</v>
      </c>
      <c r="P13" s="24">
        <v>110</v>
      </c>
      <c r="Q13" s="25">
        <v>0.111</v>
      </c>
      <c r="R13" s="25">
        <v>0.111</v>
      </c>
      <c r="S13" s="21">
        <f t="shared" si="2"/>
        <v>415.26532590259268</v>
      </c>
      <c r="T13" s="21">
        <f t="shared" si="3"/>
        <v>154396.39639639639</v>
      </c>
      <c r="U13" s="26">
        <f t="shared" si="4"/>
        <v>3.5444535444535443</v>
      </c>
      <c r="V13" s="25">
        <v>44</v>
      </c>
      <c r="W13" s="25">
        <f t="shared" si="5"/>
        <v>27400</v>
      </c>
      <c r="X13" s="25">
        <f t="shared" si="6"/>
        <v>622.72727272727275</v>
      </c>
      <c r="Y13" s="27" t="s">
        <v>763</v>
      </c>
      <c r="Z13" s="19" t="s">
        <v>35</v>
      </c>
      <c r="AA13" s="19" t="s">
        <v>35</v>
      </c>
      <c r="AB13" s="19" t="s">
        <v>764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4" t="s">
        <v>764</v>
      </c>
      <c r="B14" s="10" t="s">
        <v>775</v>
      </c>
      <c r="C14" s="10" t="s">
        <v>776</v>
      </c>
      <c r="D14" s="11">
        <v>45243</v>
      </c>
      <c r="E14" s="12">
        <v>163000</v>
      </c>
      <c r="F14" s="10" t="s">
        <v>32</v>
      </c>
      <c r="G14" s="10" t="s">
        <v>33</v>
      </c>
      <c r="H14" s="12">
        <v>163000</v>
      </c>
      <c r="I14" s="12">
        <v>55900</v>
      </c>
      <c r="J14" s="13">
        <f t="shared" si="0"/>
        <v>34.294478527607367</v>
      </c>
      <c r="K14" s="12">
        <v>151139</v>
      </c>
      <c r="L14" s="12">
        <f>H14-143850</f>
        <v>19150</v>
      </c>
      <c r="M14" s="12">
        <v>7289</v>
      </c>
      <c r="N14" s="66">
        <f t="shared" si="1"/>
        <v>4.4717791411042943E-2</v>
      </c>
      <c r="O14" s="14">
        <v>41.65</v>
      </c>
      <c r="P14" s="15">
        <v>129</v>
      </c>
      <c r="Q14" s="16">
        <v>0.121</v>
      </c>
      <c r="R14" s="16">
        <v>0.121</v>
      </c>
      <c r="S14" s="12">
        <f t="shared" si="2"/>
        <v>459.78391356542619</v>
      </c>
      <c r="T14" s="12">
        <f t="shared" si="3"/>
        <v>158264.46280991737</v>
      </c>
      <c r="U14" s="17">
        <f t="shared" si="4"/>
        <v>3.6332521306225294</v>
      </c>
      <c r="V14" s="16">
        <v>41</v>
      </c>
      <c r="W14" s="16">
        <f t="shared" si="5"/>
        <v>32600</v>
      </c>
      <c r="X14" s="16">
        <f t="shared" si="6"/>
        <v>795.1219512195122</v>
      </c>
      <c r="Y14" s="18" t="s">
        <v>763</v>
      </c>
      <c r="Z14" s="10" t="s">
        <v>35</v>
      </c>
      <c r="AA14" s="10" t="s">
        <v>35</v>
      </c>
      <c r="AB14" s="10" t="s">
        <v>764</v>
      </c>
      <c r="AC14" s="10">
        <v>0</v>
      </c>
      <c r="AD14" s="10">
        <v>1</v>
      </c>
      <c r="AE14" s="10" t="s">
        <v>42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4" t="s">
        <v>764</v>
      </c>
      <c r="B15" s="10" t="s">
        <v>1201</v>
      </c>
      <c r="C15" s="10" t="s">
        <v>1202</v>
      </c>
      <c r="D15" s="11">
        <v>45468</v>
      </c>
      <c r="E15" s="12">
        <v>163000</v>
      </c>
      <c r="F15" s="10" t="s">
        <v>32</v>
      </c>
      <c r="G15" s="10" t="s">
        <v>33</v>
      </c>
      <c r="H15" s="12">
        <v>163000</v>
      </c>
      <c r="I15" s="12">
        <v>69700</v>
      </c>
      <c r="J15" s="13">
        <f t="shared" si="0"/>
        <v>42.760736196319016</v>
      </c>
      <c r="K15" s="12">
        <v>152032</v>
      </c>
      <c r="L15" s="12">
        <f>H15-145465</f>
        <v>17535</v>
      </c>
      <c r="M15" s="12">
        <v>6567</v>
      </c>
      <c r="N15" s="66">
        <f t="shared" si="1"/>
        <v>4.0288343558282209E-2</v>
      </c>
      <c r="O15" s="14">
        <v>37.520000000000003</v>
      </c>
      <c r="P15" s="15">
        <v>110</v>
      </c>
      <c r="Q15" s="16">
        <v>0.10100000000000001</v>
      </c>
      <c r="R15" s="16">
        <v>0.10100000000000001</v>
      </c>
      <c r="S15" s="12">
        <f t="shared" si="2"/>
        <v>467.35074626865668</v>
      </c>
      <c r="T15" s="12">
        <f t="shared" si="3"/>
        <v>173613.8613861386</v>
      </c>
      <c r="U15" s="17">
        <f t="shared" si="4"/>
        <v>3.9856258353108034</v>
      </c>
      <c r="V15" s="16">
        <v>40</v>
      </c>
      <c r="W15" s="16">
        <f t="shared" si="5"/>
        <v>32600</v>
      </c>
      <c r="X15" s="16">
        <f t="shared" si="6"/>
        <v>815</v>
      </c>
      <c r="Y15" s="18" t="s">
        <v>763</v>
      </c>
      <c r="Z15" s="10" t="s">
        <v>35</v>
      </c>
      <c r="AA15" s="10" t="s">
        <v>35</v>
      </c>
      <c r="AB15" s="10" t="s">
        <v>764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4" t="s">
        <v>764</v>
      </c>
      <c r="B16" s="10" t="s">
        <v>1225</v>
      </c>
      <c r="C16" s="10" t="s">
        <v>1226</v>
      </c>
      <c r="D16" s="11">
        <v>45489</v>
      </c>
      <c r="E16" s="12">
        <v>147000</v>
      </c>
      <c r="F16" s="10" t="s">
        <v>32</v>
      </c>
      <c r="G16" s="10" t="s">
        <v>33</v>
      </c>
      <c r="H16" s="12">
        <v>147000</v>
      </c>
      <c r="I16" s="12">
        <v>61200</v>
      </c>
      <c r="J16" s="13">
        <f t="shared" si="0"/>
        <v>41.632653061224488</v>
      </c>
      <c r="K16" s="12">
        <v>133362</v>
      </c>
      <c r="L16" s="12">
        <f>H16-125362</f>
        <v>21638</v>
      </c>
      <c r="M16" s="12">
        <v>8000</v>
      </c>
      <c r="N16" s="66">
        <f t="shared" si="1"/>
        <v>5.4421768707482991E-2</v>
      </c>
      <c r="O16" s="14">
        <v>45.71</v>
      </c>
      <c r="P16" s="15">
        <v>129</v>
      </c>
      <c r="Q16" s="16">
        <v>0.13300000000000001</v>
      </c>
      <c r="R16" s="16">
        <v>0.13300000000000001</v>
      </c>
      <c r="S16" s="12">
        <f t="shared" si="2"/>
        <v>473.37562896521547</v>
      </c>
      <c r="T16" s="12">
        <f t="shared" si="3"/>
        <v>162691.72932330827</v>
      </c>
      <c r="U16" s="17">
        <f t="shared" si="4"/>
        <v>3.7348881846489501</v>
      </c>
      <c r="V16" s="16">
        <v>45</v>
      </c>
      <c r="W16" s="16">
        <f t="shared" si="5"/>
        <v>29400</v>
      </c>
      <c r="X16" s="16">
        <f t="shared" si="6"/>
        <v>653.33333333333337</v>
      </c>
      <c r="Y16" s="18" t="s">
        <v>763</v>
      </c>
      <c r="Z16" s="10" t="s">
        <v>35</v>
      </c>
      <c r="AA16" s="10" t="s">
        <v>35</v>
      </c>
      <c r="AB16" s="10" t="s">
        <v>764</v>
      </c>
      <c r="AC16" s="10">
        <v>0</v>
      </c>
      <c r="AD16" s="10">
        <v>1</v>
      </c>
      <c r="AE16" s="10" t="s">
        <v>42</v>
      </c>
      <c r="AF16" s="10" t="s">
        <v>43</v>
      </c>
      <c r="AG16" s="10" t="s">
        <v>38</v>
      </c>
      <c r="AH16" s="10" t="s">
        <v>92</v>
      </c>
    </row>
    <row r="17" spans="1:34" x14ac:dyDescent="0.3">
      <c r="A17" s="75" t="s">
        <v>764</v>
      </c>
      <c r="B17" s="19" t="s">
        <v>1215</v>
      </c>
      <c r="C17" s="19" t="s">
        <v>1216</v>
      </c>
      <c r="D17" s="20">
        <v>45667</v>
      </c>
      <c r="E17" s="21">
        <v>150000</v>
      </c>
      <c r="F17" s="19" t="s">
        <v>32</v>
      </c>
      <c r="G17" s="19" t="s">
        <v>33</v>
      </c>
      <c r="H17" s="21">
        <v>150000</v>
      </c>
      <c r="I17" s="21">
        <v>59300</v>
      </c>
      <c r="J17" s="22">
        <f t="shared" si="0"/>
        <v>39.533333333333331</v>
      </c>
      <c r="K17" s="21">
        <v>134815</v>
      </c>
      <c r="L17" s="21">
        <f>H17-127704</f>
        <v>22296</v>
      </c>
      <c r="M17" s="21">
        <v>7111</v>
      </c>
      <c r="N17" s="67">
        <f t="shared" si="1"/>
        <v>4.7406666666666666E-2</v>
      </c>
      <c r="O17" s="23">
        <v>40.630000000000003</v>
      </c>
      <c r="P17" s="24">
        <v>129</v>
      </c>
      <c r="Q17" s="25">
        <v>0.11799999999999999</v>
      </c>
      <c r="R17" s="25">
        <v>0.11799999999999999</v>
      </c>
      <c r="S17" s="21">
        <f t="shared" si="2"/>
        <v>548.75707605217815</v>
      </c>
      <c r="T17" s="21">
        <f t="shared" si="3"/>
        <v>188949.1525423729</v>
      </c>
      <c r="U17" s="26">
        <f t="shared" si="4"/>
        <v>4.3376756781995613</v>
      </c>
      <c r="V17" s="25">
        <v>40</v>
      </c>
      <c r="W17" s="25">
        <f t="shared" si="5"/>
        <v>30000</v>
      </c>
      <c r="X17" s="25">
        <f t="shared" si="6"/>
        <v>750</v>
      </c>
      <c r="Y17" s="27" t="s">
        <v>763</v>
      </c>
      <c r="Z17" s="19" t="s">
        <v>35</v>
      </c>
      <c r="AA17" s="19" t="s">
        <v>35</v>
      </c>
      <c r="AB17" s="19" t="s">
        <v>764</v>
      </c>
      <c r="AC17" s="19">
        <v>0</v>
      </c>
      <c r="AD17" s="19">
        <v>1</v>
      </c>
      <c r="AE17" s="19" t="s">
        <v>42</v>
      </c>
      <c r="AF17" s="19" t="s">
        <v>35</v>
      </c>
      <c r="AG17" s="19" t="s">
        <v>38</v>
      </c>
      <c r="AH17" s="19" t="s">
        <v>92</v>
      </c>
    </row>
    <row r="18" spans="1:34" x14ac:dyDescent="0.3">
      <c r="A18" s="75" t="s">
        <v>764</v>
      </c>
      <c r="B18" s="19" t="s">
        <v>1223</v>
      </c>
      <c r="C18" s="19" t="s">
        <v>1224</v>
      </c>
      <c r="D18" s="20">
        <v>45630</v>
      </c>
      <c r="E18" s="21">
        <v>180000</v>
      </c>
      <c r="F18" s="19" t="s">
        <v>32</v>
      </c>
      <c r="G18" s="19" t="s">
        <v>33</v>
      </c>
      <c r="H18" s="21">
        <v>180000</v>
      </c>
      <c r="I18" s="21">
        <v>64800</v>
      </c>
      <c r="J18" s="22">
        <f t="shared" si="0"/>
        <v>36</v>
      </c>
      <c r="K18" s="21">
        <v>148416</v>
      </c>
      <c r="L18" s="21">
        <f>H18-134227</f>
        <v>45773</v>
      </c>
      <c r="M18" s="21">
        <v>14189</v>
      </c>
      <c r="N18" s="67">
        <f t="shared" si="1"/>
        <v>7.8827777777777774E-2</v>
      </c>
      <c r="O18" s="23">
        <v>81.08</v>
      </c>
      <c r="P18" s="24">
        <v>128.4</v>
      </c>
      <c r="Q18" s="25">
        <v>0.23599999999999999</v>
      </c>
      <c r="R18" s="25">
        <v>0.23599999999999999</v>
      </c>
      <c r="S18" s="21">
        <f t="shared" si="2"/>
        <v>564.54119388258516</v>
      </c>
      <c r="T18" s="21">
        <f t="shared" si="3"/>
        <v>193953.38983050847</v>
      </c>
      <c r="U18" s="26">
        <f t="shared" si="4"/>
        <v>4.4525571586434456</v>
      </c>
      <c r="V18" s="25">
        <v>80</v>
      </c>
      <c r="W18" s="25">
        <f t="shared" si="5"/>
        <v>36000</v>
      </c>
      <c r="X18" s="25">
        <f t="shared" si="6"/>
        <v>450</v>
      </c>
      <c r="Y18" s="27" t="s">
        <v>763</v>
      </c>
      <c r="Z18" s="19" t="s">
        <v>35</v>
      </c>
      <c r="AA18" s="19" t="s">
        <v>35</v>
      </c>
      <c r="AB18" s="19" t="s">
        <v>764</v>
      </c>
      <c r="AC18" s="19">
        <v>0</v>
      </c>
      <c r="AD18" s="19">
        <v>1</v>
      </c>
      <c r="AE18" s="19" t="s">
        <v>37</v>
      </c>
      <c r="AF18" s="19" t="s">
        <v>35</v>
      </c>
      <c r="AG18" s="19" t="s">
        <v>38</v>
      </c>
      <c r="AH18" s="19" t="s">
        <v>92</v>
      </c>
    </row>
    <row r="19" spans="1:34" x14ac:dyDescent="0.3">
      <c r="A19" s="74" t="s">
        <v>764</v>
      </c>
      <c r="B19" s="10" t="s">
        <v>1219</v>
      </c>
      <c r="C19" s="10" t="s">
        <v>1220</v>
      </c>
      <c r="D19" s="11">
        <v>45691</v>
      </c>
      <c r="E19" s="12">
        <v>159000</v>
      </c>
      <c r="F19" s="10" t="s">
        <v>32</v>
      </c>
      <c r="G19" s="10" t="s">
        <v>33</v>
      </c>
      <c r="H19" s="12">
        <v>159000</v>
      </c>
      <c r="I19" s="12">
        <v>56200</v>
      </c>
      <c r="J19" s="13">
        <f t="shared" si="0"/>
        <v>35.345911949685529</v>
      </c>
      <c r="K19" s="12">
        <v>127418</v>
      </c>
      <c r="L19" s="12">
        <f>H19-113807</f>
        <v>45193</v>
      </c>
      <c r="M19" s="12">
        <v>13611</v>
      </c>
      <c r="N19" s="66">
        <f t="shared" si="1"/>
        <v>8.560377358490566E-2</v>
      </c>
      <c r="O19" s="14">
        <v>77.77</v>
      </c>
      <c r="P19" s="15">
        <v>125.89</v>
      </c>
      <c r="Q19" s="16">
        <v>0.224</v>
      </c>
      <c r="R19" s="16">
        <v>0.224</v>
      </c>
      <c r="S19" s="12">
        <f t="shared" si="2"/>
        <v>581.11096823968114</v>
      </c>
      <c r="T19" s="12">
        <f t="shared" si="3"/>
        <v>201754.46428571429</v>
      </c>
      <c r="U19" s="17">
        <f t="shared" si="4"/>
        <v>4.6316451856224585</v>
      </c>
      <c r="V19" s="16">
        <v>77.5</v>
      </c>
      <c r="W19" s="16">
        <f t="shared" si="5"/>
        <v>31800</v>
      </c>
      <c r="X19" s="16">
        <f t="shared" si="6"/>
        <v>410.32258064516128</v>
      </c>
      <c r="Y19" s="18" t="s">
        <v>763</v>
      </c>
      <c r="Z19" s="10" t="s">
        <v>35</v>
      </c>
      <c r="AA19" s="10" t="s">
        <v>35</v>
      </c>
      <c r="AB19" s="10" t="s">
        <v>764</v>
      </c>
      <c r="AC19" s="10">
        <v>0</v>
      </c>
      <c r="AD19" s="10">
        <v>1</v>
      </c>
      <c r="AE19" s="10" t="s">
        <v>42</v>
      </c>
      <c r="AF19" s="10" t="s">
        <v>35</v>
      </c>
      <c r="AG19" s="10" t="s">
        <v>38</v>
      </c>
      <c r="AH19" s="10" t="s">
        <v>92</v>
      </c>
    </row>
    <row r="20" spans="1:34" x14ac:dyDescent="0.3">
      <c r="A20" s="74" t="s">
        <v>764</v>
      </c>
      <c r="B20" s="10" t="s">
        <v>1235</v>
      </c>
      <c r="C20" s="10" t="s">
        <v>1236</v>
      </c>
      <c r="D20" s="11">
        <v>45590</v>
      </c>
      <c r="E20" s="12">
        <v>152000</v>
      </c>
      <c r="F20" s="10" t="s">
        <v>32</v>
      </c>
      <c r="G20" s="10" t="s">
        <v>33</v>
      </c>
      <c r="H20" s="12">
        <v>152000</v>
      </c>
      <c r="I20" s="12">
        <v>59800</v>
      </c>
      <c r="J20" s="13">
        <f t="shared" si="0"/>
        <v>39.342105263157897</v>
      </c>
      <c r="K20" s="12">
        <v>136382</v>
      </c>
      <c r="L20" s="12">
        <f>H20-129815</f>
        <v>22185</v>
      </c>
      <c r="M20" s="12">
        <v>6567</v>
      </c>
      <c r="N20" s="66">
        <f t="shared" si="1"/>
        <v>4.320394736842105E-2</v>
      </c>
      <c r="O20" s="14">
        <v>37.520000000000003</v>
      </c>
      <c r="P20" s="15">
        <v>110</v>
      </c>
      <c r="Q20" s="16">
        <v>0.10100000000000001</v>
      </c>
      <c r="R20" s="16">
        <v>0.10100000000000001</v>
      </c>
      <c r="S20" s="12">
        <f t="shared" si="2"/>
        <v>591.28464818763325</v>
      </c>
      <c r="T20" s="12">
        <f t="shared" si="3"/>
        <v>219653.46534653465</v>
      </c>
      <c r="U20" s="17">
        <f t="shared" si="4"/>
        <v>5.0425497095164058</v>
      </c>
      <c r="V20" s="16">
        <v>40</v>
      </c>
      <c r="W20" s="16">
        <f t="shared" si="5"/>
        <v>30400</v>
      </c>
      <c r="X20" s="16">
        <f t="shared" si="6"/>
        <v>760</v>
      </c>
      <c r="Y20" s="18" t="s">
        <v>763</v>
      </c>
      <c r="Z20" s="10" t="s">
        <v>35</v>
      </c>
      <c r="AA20" s="10" t="s">
        <v>35</v>
      </c>
      <c r="AB20" s="10" t="s">
        <v>764</v>
      </c>
      <c r="AC20" s="10">
        <v>0</v>
      </c>
      <c r="AD20" s="10">
        <v>1</v>
      </c>
      <c r="AE20" s="10" t="s">
        <v>37</v>
      </c>
      <c r="AF20" s="10" t="s">
        <v>35</v>
      </c>
      <c r="AG20" s="10" t="s">
        <v>38</v>
      </c>
      <c r="AH20" s="10" t="s">
        <v>92</v>
      </c>
    </row>
    <row r="21" spans="1:34" x14ac:dyDescent="0.3">
      <c r="A21" s="75" t="s">
        <v>764</v>
      </c>
      <c r="B21" s="19" t="s">
        <v>1189</v>
      </c>
      <c r="C21" s="19" t="s">
        <v>1190</v>
      </c>
      <c r="D21" s="20">
        <v>45614</v>
      </c>
      <c r="E21" s="21">
        <v>180000</v>
      </c>
      <c r="F21" s="19" t="s">
        <v>32</v>
      </c>
      <c r="G21" s="19" t="s">
        <v>33</v>
      </c>
      <c r="H21" s="21">
        <v>180000</v>
      </c>
      <c r="I21" s="21">
        <v>72300</v>
      </c>
      <c r="J21" s="22">
        <f t="shared" si="0"/>
        <v>40.166666666666664</v>
      </c>
      <c r="K21" s="21">
        <v>158142</v>
      </c>
      <c r="L21" s="21">
        <f>H21-150945</f>
        <v>29055</v>
      </c>
      <c r="M21" s="21">
        <v>7197</v>
      </c>
      <c r="N21" s="67">
        <f t="shared" si="1"/>
        <v>3.9983333333333336E-2</v>
      </c>
      <c r="O21" s="23">
        <v>41.12</v>
      </c>
      <c r="P21" s="24">
        <v>132.15</v>
      </c>
      <c r="Q21" s="25">
        <v>0.121</v>
      </c>
      <c r="R21" s="25">
        <v>0.121</v>
      </c>
      <c r="S21" s="21">
        <f t="shared" si="2"/>
        <v>706.59046692607012</v>
      </c>
      <c r="T21" s="21">
        <f t="shared" si="3"/>
        <v>240123.96694214878</v>
      </c>
      <c r="U21" s="26">
        <f t="shared" si="4"/>
        <v>5.5124877626755922</v>
      </c>
      <c r="V21" s="25">
        <v>40</v>
      </c>
      <c r="W21" s="25">
        <f t="shared" si="5"/>
        <v>36000</v>
      </c>
      <c r="X21" s="25">
        <f t="shared" si="6"/>
        <v>900</v>
      </c>
      <c r="Y21" s="27" t="s">
        <v>763</v>
      </c>
      <c r="Z21" s="19" t="s">
        <v>35</v>
      </c>
      <c r="AA21" s="19" t="s">
        <v>35</v>
      </c>
      <c r="AB21" s="19" t="s">
        <v>764</v>
      </c>
      <c r="AC21" s="19">
        <v>0</v>
      </c>
      <c r="AD21" s="19">
        <v>1</v>
      </c>
      <c r="AE21" s="19" t="s">
        <v>42</v>
      </c>
      <c r="AF21" s="19" t="s">
        <v>35</v>
      </c>
      <c r="AG21" s="19" t="s">
        <v>38</v>
      </c>
      <c r="AH21" s="19" t="s">
        <v>92</v>
      </c>
    </row>
    <row r="22" spans="1:34" x14ac:dyDescent="0.3">
      <c r="A22" s="74" t="s">
        <v>764</v>
      </c>
      <c r="B22" s="10" t="s">
        <v>765</v>
      </c>
      <c r="C22" s="10" t="s">
        <v>766</v>
      </c>
      <c r="D22" s="11">
        <v>45569</v>
      </c>
      <c r="E22" s="12">
        <v>151000</v>
      </c>
      <c r="F22" s="10" t="s">
        <v>32</v>
      </c>
      <c r="G22" s="10" t="s">
        <v>33</v>
      </c>
      <c r="H22" s="12">
        <v>151000</v>
      </c>
      <c r="I22" s="12">
        <v>56000</v>
      </c>
      <c r="J22" s="13">
        <f t="shared" si="0"/>
        <v>37.086092715231786</v>
      </c>
      <c r="K22" s="12">
        <v>127992</v>
      </c>
      <c r="L22" s="12">
        <f>H22-120703</f>
        <v>30297</v>
      </c>
      <c r="M22" s="12">
        <v>7289</v>
      </c>
      <c r="N22" s="66">
        <f t="shared" si="1"/>
        <v>4.8271523178807944E-2</v>
      </c>
      <c r="O22" s="14">
        <v>41.65</v>
      </c>
      <c r="P22" s="15">
        <v>129</v>
      </c>
      <c r="Q22" s="16">
        <v>0.121</v>
      </c>
      <c r="R22" s="16">
        <v>0.121</v>
      </c>
      <c r="S22" s="12">
        <f t="shared" si="2"/>
        <v>727.41896758703479</v>
      </c>
      <c r="T22" s="12">
        <f t="shared" si="3"/>
        <v>250388.42975206612</v>
      </c>
      <c r="U22" s="17">
        <f t="shared" si="4"/>
        <v>5.7481274047765405</v>
      </c>
      <c r="V22" s="16">
        <v>41</v>
      </c>
      <c r="W22" s="16">
        <f t="shared" si="5"/>
        <v>30200</v>
      </c>
      <c r="X22" s="16">
        <f t="shared" si="6"/>
        <v>736.58536585365857</v>
      </c>
      <c r="Y22" s="18" t="s">
        <v>763</v>
      </c>
      <c r="Z22" s="10" t="s">
        <v>35</v>
      </c>
      <c r="AA22" s="10" t="s">
        <v>35</v>
      </c>
      <c r="AB22" s="10" t="s">
        <v>764</v>
      </c>
      <c r="AC22" s="10">
        <v>0</v>
      </c>
      <c r="AD22" s="10">
        <v>1</v>
      </c>
      <c r="AE22" s="10" t="s">
        <v>37</v>
      </c>
      <c r="AF22" s="10" t="s">
        <v>35</v>
      </c>
      <c r="AG22" s="10" t="s">
        <v>38</v>
      </c>
      <c r="AH22" s="10" t="s">
        <v>92</v>
      </c>
    </row>
    <row r="23" spans="1:34" x14ac:dyDescent="0.3">
      <c r="A23" s="74" t="s">
        <v>764</v>
      </c>
      <c r="B23" s="10" t="s">
        <v>795</v>
      </c>
      <c r="C23" s="10" t="s">
        <v>796</v>
      </c>
      <c r="D23" s="11">
        <v>45503</v>
      </c>
      <c r="E23" s="12">
        <v>164900</v>
      </c>
      <c r="F23" s="10" t="s">
        <v>32</v>
      </c>
      <c r="G23" s="10" t="s">
        <v>33</v>
      </c>
      <c r="H23" s="12">
        <v>164900</v>
      </c>
      <c r="I23" s="12">
        <v>61800</v>
      </c>
      <c r="J23" s="13">
        <f t="shared" si="0"/>
        <v>37.477258944815041</v>
      </c>
      <c r="K23" s="12">
        <v>140467</v>
      </c>
      <c r="L23" s="12">
        <f>H23-133011</f>
        <v>31889</v>
      </c>
      <c r="M23" s="12">
        <v>7456</v>
      </c>
      <c r="N23" s="66">
        <f t="shared" si="1"/>
        <v>4.5215281989084297E-2</v>
      </c>
      <c r="O23" s="14">
        <v>42.6</v>
      </c>
      <c r="P23" s="15">
        <v>135</v>
      </c>
      <c r="Q23" s="16">
        <v>0.127</v>
      </c>
      <c r="R23" s="16">
        <v>0.127</v>
      </c>
      <c r="S23" s="12">
        <f t="shared" si="2"/>
        <v>748.56807511737088</v>
      </c>
      <c r="T23" s="12">
        <f t="shared" si="3"/>
        <v>251094.48818897636</v>
      </c>
      <c r="U23" s="17">
        <f t="shared" si="4"/>
        <v>5.7643362761472998</v>
      </c>
      <c r="V23" s="16">
        <v>41</v>
      </c>
      <c r="W23" s="16">
        <f t="shared" si="5"/>
        <v>32980</v>
      </c>
      <c r="X23" s="16">
        <f t="shared" si="6"/>
        <v>804.39024390243901</v>
      </c>
      <c r="Y23" s="18" t="s">
        <v>763</v>
      </c>
      <c r="Z23" s="10" t="s">
        <v>35</v>
      </c>
      <c r="AA23" s="10" t="s">
        <v>35</v>
      </c>
      <c r="AB23" s="10" t="s">
        <v>764</v>
      </c>
      <c r="AC23" s="10">
        <v>0</v>
      </c>
      <c r="AD23" s="10">
        <v>1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764</v>
      </c>
      <c r="B24" s="19" t="s">
        <v>791</v>
      </c>
      <c r="C24" s="19" t="s">
        <v>792</v>
      </c>
      <c r="D24" s="20">
        <v>45672</v>
      </c>
      <c r="E24" s="21">
        <v>170000</v>
      </c>
      <c r="F24" s="19" t="s">
        <v>32</v>
      </c>
      <c r="G24" s="19" t="s">
        <v>33</v>
      </c>
      <c r="H24" s="21">
        <v>170000</v>
      </c>
      <c r="I24" s="21">
        <v>62300</v>
      </c>
      <c r="J24" s="22">
        <f t="shared" si="0"/>
        <v>36.647058823529413</v>
      </c>
      <c r="K24" s="21">
        <v>141894</v>
      </c>
      <c r="L24" s="21">
        <f>H24-134256</f>
        <v>35744</v>
      </c>
      <c r="M24" s="21">
        <v>7638</v>
      </c>
      <c r="N24" s="67">
        <f t="shared" si="1"/>
        <v>4.4929411764705884E-2</v>
      </c>
      <c r="O24" s="23">
        <v>43.64</v>
      </c>
      <c r="P24" s="24">
        <v>135</v>
      </c>
      <c r="Q24" s="25">
        <v>0.13</v>
      </c>
      <c r="R24" s="25">
        <v>0.13</v>
      </c>
      <c r="S24" s="21">
        <f t="shared" si="2"/>
        <v>819.06507791017418</v>
      </c>
      <c r="T24" s="21">
        <f t="shared" si="3"/>
        <v>274953.84615384613</v>
      </c>
      <c r="U24" s="26">
        <f t="shared" si="4"/>
        <v>6.3120717666172208</v>
      </c>
      <c r="V24" s="25">
        <v>42</v>
      </c>
      <c r="W24" s="25">
        <f t="shared" si="5"/>
        <v>34000</v>
      </c>
      <c r="X24" s="25">
        <f t="shared" si="6"/>
        <v>809.52380952380952</v>
      </c>
      <c r="Y24" s="27" t="s">
        <v>763</v>
      </c>
      <c r="Z24" s="19" t="s">
        <v>35</v>
      </c>
      <c r="AA24" s="19" t="s">
        <v>35</v>
      </c>
      <c r="AB24" s="19" t="s">
        <v>764</v>
      </c>
      <c r="AC24" s="19">
        <v>0</v>
      </c>
      <c r="AD24" s="19">
        <v>1</v>
      </c>
      <c r="AE24" s="19" t="s">
        <v>42</v>
      </c>
      <c r="AF24" s="19" t="s">
        <v>35</v>
      </c>
      <c r="AG24" s="19" t="s">
        <v>38</v>
      </c>
      <c r="AH24" s="19" t="s">
        <v>92</v>
      </c>
    </row>
    <row r="25" spans="1:34" x14ac:dyDescent="0.3">
      <c r="A25" s="74" t="s">
        <v>764</v>
      </c>
      <c r="B25" s="10" t="s">
        <v>1233</v>
      </c>
      <c r="C25" s="10" t="s">
        <v>1234</v>
      </c>
      <c r="D25" s="11">
        <v>45415</v>
      </c>
      <c r="E25" s="12">
        <v>168000</v>
      </c>
      <c r="F25" s="10" t="s">
        <v>32</v>
      </c>
      <c r="G25" s="10" t="s">
        <v>33</v>
      </c>
      <c r="H25" s="12">
        <v>168000</v>
      </c>
      <c r="I25" s="12">
        <v>62500</v>
      </c>
      <c r="J25" s="13">
        <f t="shared" si="0"/>
        <v>37.202380952380956</v>
      </c>
      <c r="K25" s="12">
        <v>142347</v>
      </c>
      <c r="L25" s="12">
        <f>H25-135452</f>
        <v>32548</v>
      </c>
      <c r="M25" s="12">
        <v>6895</v>
      </c>
      <c r="N25" s="66">
        <f t="shared" si="1"/>
        <v>4.1041666666666664E-2</v>
      </c>
      <c r="O25" s="14">
        <v>39.39</v>
      </c>
      <c r="P25" s="15">
        <v>110</v>
      </c>
      <c r="Q25" s="16">
        <v>0.106</v>
      </c>
      <c r="R25" s="16">
        <v>0.106</v>
      </c>
      <c r="S25" s="12">
        <f t="shared" si="2"/>
        <v>826.30109164762632</v>
      </c>
      <c r="T25" s="12">
        <f t="shared" si="3"/>
        <v>307056.60377358494</v>
      </c>
      <c r="U25" s="17">
        <f t="shared" si="4"/>
        <v>7.0490496734064498</v>
      </c>
      <c r="V25" s="16">
        <v>42</v>
      </c>
      <c r="W25" s="16">
        <f t="shared" si="5"/>
        <v>33600</v>
      </c>
      <c r="X25" s="16">
        <f t="shared" si="6"/>
        <v>800</v>
      </c>
      <c r="Y25" s="18" t="s">
        <v>763</v>
      </c>
      <c r="Z25" s="10" t="s">
        <v>35</v>
      </c>
      <c r="AA25" s="10" t="s">
        <v>35</v>
      </c>
      <c r="AB25" s="10" t="s">
        <v>764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5" t="s">
        <v>764</v>
      </c>
      <c r="B26" s="19" t="s">
        <v>785</v>
      </c>
      <c r="C26" s="19" t="s">
        <v>786</v>
      </c>
      <c r="D26" s="20">
        <v>45509</v>
      </c>
      <c r="E26" s="21">
        <v>154000</v>
      </c>
      <c r="F26" s="19" t="s">
        <v>32</v>
      </c>
      <c r="G26" s="19" t="s">
        <v>33</v>
      </c>
      <c r="H26" s="21">
        <v>154000</v>
      </c>
      <c r="I26" s="21">
        <v>55900</v>
      </c>
      <c r="J26" s="22">
        <f t="shared" si="0"/>
        <v>36.298701298701296</v>
      </c>
      <c r="K26" s="21">
        <v>126575</v>
      </c>
      <c r="L26" s="21">
        <f>H26-119844</f>
        <v>34156</v>
      </c>
      <c r="M26" s="21">
        <v>6731</v>
      </c>
      <c r="N26" s="67">
        <f t="shared" si="1"/>
        <v>4.3707792207792209E-2</v>
      </c>
      <c r="O26" s="23">
        <v>38.46</v>
      </c>
      <c r="P26" s="24">
        <v>110</v>
      </c>
      <c r="Q26" s="25">
        <v>0.104</v>
      </c>
      <c r="R26" s="25">
        <v>0.104</v>
      </c>
      <c r="S26" s="21">
        <f t="shared" si="2"/>
        <v>888.09152366094645</v>
      </c>
      <c r="T26" s="21">
        <f t="shared" si="3"/>
        <v>328423.07692307694</v>
      </c>
      <c r="U26" s="26">
        <f t="shared" si="4"/>
        <v>7.5395564031927673</v>
      </c>
      <c r="V26" s="25">
        <v>41</v>
      </c>
      <c r="W26" s="25">
        <f t="shared" si="5"/>
        <v>30800</v>
      </c>
      <c r="X26" s="25">
        <f t="shared" si="6"/>
        <v>751.21951219512198</v>
      </c>
      <c r="Y26" s="27" t="s">
        <v>763</v>
      </c>
      <c r="Z26" s="19" t="s">
        <v>35</v>
      </c>
      <c r="AA26" s="19" t="s">
        <v>35</v>
      </c>
      <c r="AB26" s="19" t="s">
        <v>764</v>
      </c>
      <c r="AC26" s="19">
        <v>0</v>
      </c>
      <c r="AD26" s="19">
        <v>1</v>
      </c>
      <c r="AE26" s="19" t="s">
        <v>37</v>
      </c>
      <c r="AF26" s="19" t="s">
        <v>43</v>
      </c>
      <c r="AG26" s="19" t="s">
        <v>38</v>
      </c>
      <c r="AH26" s="19" t="s">
        <v>92</v>
      </c>
    </row>
    <row r="27" spans="1:34" x14ac:dyDescent="0.3">
      <c r="A27" s="74" t="s">
        <v>764</v>
      </c>
      <c r="B27" s="10" t="s">
        <v>1211</v>
      </c>
      <c r="C27" s="10" t="s">
        <v>1212</v>
      </c>
      <c r="D27" s="11">
        <v>45210</v>
      </c>
      <c r="E27" s="12">
        <v>180000</v>
      </c>
      <c r="F27" s="10" t="s">
        <v>32</v>
      </c>
      <c r="G27" s="10" t="s">
        <v>33</v>
      </c>
      <c r="H27" s="12">
        <v>180000</v>
      </c>
      <c r="I27" s="12">
        <v>59000</v>
      </c>
      <c r="J27" s="13">
        <f t="shared" si="0"/>
        <v>32.777777777777779</v>
      </c>
      <c r="K27" s="12">
        <v>152219</v>
      </c>
      <c r="L27" s="12">
        <f>H27-145973</f>
        <v>34027</v>
      </c>
      <c r="M27" s="12">
        <v>6246</v>
      </c>
      <c r="N27" s="66">
        <f t="shared" si="1"/>
        <v>3.4700000000000002E-2</v>
      </c>
      <c r="O27" s="14">
        <v>35.69</v>
      </c>
      <c r="P27" s="15">
        <v>130</v>
      </c>
      <c r="Q27" s="16">
        <v>0.104</v>
      </c>
      <c r="R27" s="16">
        <v>0.104</v>
      </c>
      <c r="S27" s="12">
        <f t="shared" si="2"/>
        <v>953.40431493415531</v>
      </c>
      <c r="T27" s="12">
        <f t="shared" si="3"/>
        <v>327182.69230769231</v>
      </c>
      <c r="U27" s="17">
        <f t="shared" si="4"/>
        <v>7.5110810906265453</v>
      </c>
      <c r="V27" s="16">
        <v>35</v>
      </c>
      <c r="W27" s="16">
        <f t="shared" si="5"/>
        <v>36000</v>
      </c>
      <c r="X27" s="16">
        <f t="shared" si="6"/>
        <v>1028.5714285714287</v>
      </c>
      <c r="Y27" s="18" t="s">
        <v>763</v>
      </c>
      <c r="Z27" s="10" t="s">
        <v>35</v>
      </c>
      <c r="AA27" s="10" t="s">
        <v>35</v>
      </c>
      <c r="AB27" s="10" t="s">
        <v>764</v>
      </c>
      <c r="AC27" s="10">
        <v>0</v>
      </c>
      <c r="AD27" s="10">
        <v>1</v>
      </c>
      <c r="AE27" s="10" t="s">
        <v>42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5" t="s">
        <v>764</v>
      </c>
      <c r="B28" s="19" t="s">
        <v>769</v>
      </c>
      <c r="C28" s="19" t="s">
        <v>770</v>
      </c>
      <c r="D28" s="20">
        <v>45519</v>
      </c>
      <c r="E28" s="21">
        <v>145000</v>
      </c>
      <c r="F28" s="19" t="s">
        <v>32</v>
      </c>
      <c r="G28" s="19" t="s">
        <v>33</v>
      </c>
      <c r="H28" s="21">
        <v>145000</v>
      </c>
      <c r="I28" s="21">
        <v>48000</v>
      </c>
      <c r="J28" s="22">
        <f t="shared" si="0"/>
        <v>33.103448275862071</v>
      </c>
      <c r="K28" s="21">
        <v>109502</v>
      </c>
      <c r="L28" s="21">
        <f>H28-102155</f>
        <v>42845</v>
      </c>
      <c r="M28" s="21">
        <v>7347</v>
      </c>
      <c r="N28" s="67">
        <f t="shared" si="1"/>
        <v>5.0668965517241378E-2</v>
      </c>
      <c r="O28" s="23">
        <v>41.98</v>
      </c>
      <c r="P28" s="24">
        <v>137.71</v>
      </c>
      <c r="Q28" s="25">
        <v>0.126</v>
      </c>
      <c r="R28" s="25">
        <v>0.126</v>
      </c>
      <c r="S28" s="21">
        <f t="shared" si="2"/>
        <v>1020.6050500238209</v>
      </c>
      <c r="T28" s="21">
        <f t="shared" si="3"/>
        <v>340039.68253968254</v>
      </c>
      <c r="U28" s="26">
        <f t="shared" si="4"/>
        <v>7.8062369729036396</v>
      </c>
      <c r="V28" s="25">
        <v>40</v>
      </c>
      <c r="W28" s="25">
        <f t="shared" si="5"/>
        <v>29000</v>
      </c>
      <c r="X28" s="25">
        <f t="shared" si="6"/>
        <v>725</v>
      </c>
      <c r="Y28" s="27" t="s">
        <v>763</v>
      </c>
      <c r="Z28" s="19" t="s">
        <v>35</v>
      </c>
      <c r="AA28" s="19" t="s">
        <v>35</v>
      </c>
      <c r="AB28" s="19" t="s">
        <v>764</v>
      </c>
      <c r="AC28" s="19">
        <v>0</v>
      </c>
      <c r="AD28" s="19">
        <v>1</v>
      </c>
      <c r="AE28" s="19" t="s">
        <v>37</v>
      </c>
      <c r="AF28" s="19" t="s">
        <v>43</v>
      </c>
      <c r="AG28" s="19" t="s">
        <v>38</v>
      </c>
      <c r="AH28" s="19" t="s">
        <v>92</v>
      </c>
    </row>
    <row r="29" spans="1:34" x14ac:dyDescent="0.3">
      <c r="A29" s="75" t="s">
        <v>764</v>
      </c>
      <c r="B29" s="19" t="s">
        <v>1199</v>
      </c>
      <c r="C29" s="19" t="s">
        <v>1200</v>
      </c>
      <c r="D29" s="20">
        <v>45441</v>
      </c>
      <c r="E29" s="21">
        <v>174995</v>
      </c>
      <c r="F29" s="19" t="s">
        <v>32</v>
      </c>
      <c r="G29" s="19" t="s">
        <v>33</v>
      </c>
      <c r="H29" s="21">
        <v>174995</v>
      </c>
      <c r="I29" s="21">
        <v>62700</v>
      </c>
      <c r="J29" s="22">
        <f t="shared" si="0"/>
        <v>35.829595131289466</v>
      </c>
      <c r="K29" s="21">
        <v>136717</v>
      </c>
      <c r="L29" s="21">
        <f>H29-129415</f>
        <v>45580</v>
      </c>
      <c r="M29" s="21">
        <v>7302</v>
      </c>
      <c r="N29" s="67">
        <f t="shared" si="1"/>
        <v>4.1726906483042371E-2</v>
      </c>
      <c r="O29" s="23">
        <v>41.72</v>
      </c>
      <c r="P29" s="24">
        <v>136</v>
      </c>
      <c r="Q29" s="25">
        <v>0.125</v>
      </c>
      <c r="R29" s="25">
        <v>0.125</v>
      </c>
      <c r="S29" s="21">
        <f t="shared" si="2"/>
        <v>1092.5215723873441</v>
      </c>
      <c r="T29" s="21">
        <f t="shared" si="3"/>
        <v>364640</v>
      </c>
      <c r="U29" s="26">
        <f t="shared" si="4"/>
        <v>8.3709825528007347</v>
      </c>
      <c r="V29" s="25">
        <v>40</v>
      </c>
      <c r="W29" s="25">
        <f t="shared" si="5"/>
        <v>34999</v>
      </c>
      <c r="X29" s="25">
        <f t="shared" si="6"/>
        <v>874.97500000000002</v>
      </c>
      <c r="Y29" s="27" t="s">
        <v>763</v>
      </c>
      <c r="Z29" s="19" t="s">
        <v>35</v>
      </c>
      <c r="AA29" s="19" t="s">
        <v>35</v>
      </c>
      <c r="AB29" s="19" t="s">
        <v>764</v>
      </c>
      <c r="AC29" s="19">
        <v>0</v>
      </c>
      <c r="AD29" s="19">
        <v>1</v>
      </c>
      <c r="AE29" s="19" t="s">
        <v>42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4" t="s">
        <v>764</v>
      </c>
      <c r="B30" s="10" t="s">
        <v>1209</v>
      </c>
      <c r="C30" s="10" t="s">
        <v>1210</v>
      </c>
      <c r="D30" s="11">
        <v>45408</v>
      </c>
      <c r="E30" s="12">
        <v>205000</v>
      </c>
      <c r="F30" s="10" t="s">
        <v>32</v>
      </c>
      <c r="G30" s="10" t="s">
        <v>33</v>
      </c>
      <c r="H30" s="12">
        <v>205000</v>
      </c>
      <c r="I30" s="12">
        <v>75800</v>
      </c>
      <c r="J30" s="13">
        <f t="shared" si="0"/>
        <v>36.975609756097562</v>
      </c>
      <c r="K30" s="12">
        <v>164438</v>
      </c>
      <c r="L30" s="12">
        <f>H30-156764</f>
        <v>48236</v>
      </c>
      <c r="M30" s="12">
        <v>7674</v>
      </c>
      <c r="N30" s="66">
        <f t="shared" si="1"/>
        <v>3.7434146341463415E-2</v>
      </c>
      <c r="O30" s="14">
        <v>43.85</v>
      </c>
      <c r="P30" s="15">
        <v>130</v>
      </c>
      <c r="Q30" s="16">
        <v>0.128</v>
      </c>
      <c r="R30" s="16">
        <v>0.128</v>
      </c>
      <c r="S30" s="12">
        <f t="shared" si="2"/>
        <v>1100.0228050171038</v>
      </c>
      <c r="T30" s="12">
        <f t="shared" si="3"/>
        <v>376843.75</v>
      </c>
      <c r="U30" s="17">
        <f t="shared" si="4"/>
        <v>8.6511421028466486</v>
      </c>
      <c r="V30" s="16">
        <v>43</v>
      </c>
      <c r="W30" s="16">
        <f t="shared" si="5"/>
        <v>41000</v>
      </c>
      <c r="X30" s="16">
        <f t="shared" si="6"/>
        <v>953.48837209302326</v>
      </c>
      <c r="Y30" s="18" t="s">
        <v>763</v>
      </c>
      <c r="Z30" s="10" t="s">
        <v>35</v>
      </c>
      <c r="AA30" s="10" t="s">
        <v>35</v>
      </c>
      <c r="AB30" s="10" t="s">
        <v>764</v>
      </c>
      <c r="AC30" s="10">
        <v>0</v>
      </c>
      <c r="AD30" s="10">
        <v>1</v>
      </c>
      <c r="AE30" s="10" t="s">
        <v>42</v>
      </c>
      <c r="AF30" s="10" t="s">
        <v>43</v>
      </c>
      <c r="AG30" s="10" t="s">
        <v>38</v>
      </c>
      <c r="AH30" s="10" t="s">
        <v>92</v>
      </c>
    </row>
    <row r="31" spans="1:34" x14ac:dyDescent="0.3">
      <c r="A31" s="74" t="s">
        <v>764</v>
      </c>
      <c r="B31" s="10" t="s">
        <v>781</v>
      </c>
      <c r="C31" s="10" t="s">
        <v>782</v>
      </c>
      <c r="D31" s="11">
        <v>45566</v>
      </c>
      <c r="E31" s="12">
        <v>175000</v>
      </c>
      <c r="F31" s="10" t="s">
        <v>32</v>
      </c>
      <c r="G31" s="10" t="s">
        <v>33</v>
      </c>
      <c r="H31" s="12">
        <v>175000</v>
      </c>
      <c r="I31" s="12">
        <v>60900</v>
      </c>
      <c r="J31" s="13">
        <f t="shared" si="0"/>
        <v>34.799999999999997</v>
      </c>
      <c r="K31" s="12">
        <v>138556</v>
      </c>
      <c r="L31" s="12">
        <f>H31-131661</f>
        <v>43339</v>
      </c>
      <c r="M31" s="12">
        <v>6895</v>
      </c>
      <c r="N31" s="66">
        <f t="shared" si="1"/>
        <v>3.9399999999999998E-2</v>
      </c>
      <c r="O31" s="14">
        <v>39.39</v>
      </c>
      <c r="P31" s="15">
        <v>110</v>
      </c>
      <c r="Q31" s="16">
        <v>0.106</v>
      </c>
      <c r="R31" s="16">
        <v>0.106</v>
      </c>
      <c r="S31" s="12">
        <f t="shared" si="2"/>
        <v>1100.2538715410003</v>
      </c>
      <c r="T31" s="12">
        <f t="shared" si="3"/>
        <v>408858.49056603777</v>
      </c>
      <c r="U31" s="17">
        <f t="shared" si="4"/>
        <v>9.3860994161165703</v>
      </c>
      <c r="V31" s="16">
        <v>42</v>
      </c>
      <c r="W31" s="16">
        <f t="shared" si="5"/>
        <v>35000</v>
      </c>
      <c r="X31" s="16">
        <f t="shared" si="6"/>
        <v>833.33333333333337</v>
      </c>
      <c r="Y31" s="18" t="s">
        <v>763</v>
      </c>
      <c r="Z31" s="10" t="s">
        <v>35</v>
      </c>
      <c r="AA31" s="10" t="s">
        <v>35</v>
      </c>
      <c r="AB31" s="10" t="s">
        <v>764</v>
      </c>
      <c r="AC31" s="10">
        <v>0</v>
      </c>
      <c r="AD31" s="10">
        <v>1</v>
      </c>
      <c r="AE31" s="10" t="s">
        <v>37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5" t="s">
        <v>764</v>
      </c>
      <c r="B32" s="19" t="s">
        <v>1187</v>
      </c>
      <c r="C32" s="19" t="s">
        <v>1188</v>
      </c>
      <c r="D32" s="20">
        <v>45604</v>
      </c>
      <c r="E32" s="21">
        <v>198000</v>
      </c>
      <c r="F32" s="19" t="s">
        <v>32</v>
      </c>
      <c r="G32" s="19" t="s">
        <v>33</v>
      </c>
      <c r="H32" s="21">
        <v>198000</v>
      </c>
      <c r="I32" s="21">
        <v>72400</v>
      </c>
      <c r="J32" s="22">
        <f t="shared" si="0"/>
        <v>36.565656565656568</v>
      </c>
      <c r="K32" s="21">
        <v>158086</v>
      </c>
      <c r="L32" s="21">
        <f>H32-150840</f>
        <v>47160</v>
      </c>
      <c r="M32" s="21">
        <v>7246</v>
      </c>
      <c r="N32" s="67">
        <f t="shared" si="1"/>
        <v>3.6595959595959598E-2</v>
      </c>
      <c r="O32" s="23">
        <v>41.4</v>
      </c>
      <c r="P32" s="24">
        <v>133.94999999999999</v>
      </c>
      <c r="Q32" s="25">
        <v>0.123</v>
      </c>
      <c r="R32" s="25">
        <v>0.123</v>
      </c>
      <c r="S32" s="21">
        <f t="shared" si="2"/>
        <v>1139.1304347826087</v>
      </c>
      <c r="T32" s="21">
        <f t="shared" si="3"/>
        <v>383414.63414634147</v>
      </c>
      <c r="U32" s="26">
        <f t="shared" si="4"/>
        <v>8.8019888463347442</v>
      </c>
      <c r="V32" s="25">
        <v>40</v>
      </c>
      <c r="W32" s="25">
        <f t="shared" si="5"/>
        <v>39600</v>
      </c>
      <c r="X32" s="25">
        <f t="shared" si="6"/>
        <v>990</v>
      </c>
      <c r="Y32" s="27" t="s">
        <v>763</v>
      </c>
      <c r="Z32" s="19" t="s">
        <v>35</v>
      </c>
      <c r="AA32" s="19" t="s">
        <v>35</v>
      </c>
      <c r="AB32" s="19" t="s">
        <v>764</v>
      </c>
      <c r="AC32" s="19">
        <v>0</v>
      </c>
      <c r="AD32" s="19">
        <v>1</v>
      </c>
      <c r="AE32" s="19" t="s">
        <v>42</v>
      </c>
      <c r="AF32" s="19" t="s">
        <v>35</v>
      </c>
      <c r="AG32" s="19" t="s">
        <v>38</v>
      </c>
      <c r="AH32" s="19" t="s">
        <v>92</v>
      </c>
    </row>
    <row r="33" spans="1:34" ht="15" thickBot="1" x14ac:dyDescent="0.35">
      <c r="A33" s="74" t="s">
        <v>764</v>
      </c>
      <c r="B33" s="10" t="s">
        <v>1217</v>
      </c>
      <c r="C33" s="10" t="s">
        <v>1218</v>
      </c>
      <c r="D33" s="11">
        <v>45667</v>
      </c>
      <c r="E33" s="12">
        <v>188000</v>
      </c>
      <c r="F33" s="10" t="s">
        <v>32</v>
      </c>
      <c r="G33" s="10" t="s">
        <v>33</v>
      </c>
      <c r="H33" s="12">
        <v>188000</v>
      </c>
      <c r="I33" s="12">
        <v>65500</v>
      </c>
      <c r="J33" s="13">
        <f t="shared" si="0"/>
        <v>34.840425531914896</v>
      </c>
      <c r="K33" s="12">
        <v>142705</v>
      </c>
      <c r="L33" s="12">
        <f>H33-134705</f>
        <v>53295</v>
      </c>
      <c r="M33" s="12">
        <v>8000</v>
      </c>
      <c r="N33" s="66">
        <f t="shared" si="1"/>
        <v>4.2553191489361701E-2</v>
      </c>
      <c r="O33" s="14">
        <v>45.71</v>
      </c>
      <c r="P33" s="15">
        <v>129</v>
      </c>
      <c r="Q33" s="16">
        <v>0.13300000000000001</v>
      </c>
      <c r="R33" s="16">
        <v>0.13300000000000001</v>
      </c>
      <c r="S33" s="12">
        <f t="shared" si="2"/>
        <v>1165.9374316342157</v>
      </c>
      <c r="T33" s="12">
        <f t="shared" si="3"/>
        <v>400714.28571428568</v>
      </c>
      <c r="U33" s="17">
        <f t="shared" si="4"/>
        <v>9.1991341991341979</v>
      </c>
      <c r="V33" s="16">
        <v>45</v>
      </c>
      <c r="W33" s="16">
        <f t="shared" si="5"/>
        <v>37600</v>
      </c>
      <c r="X33" s="16">
        <f t="shared" si="6"/>
        <v>835.55555555555554</v>
      </c>
      <c r="Y33" s="18" t="s">
        <v>763</v>
      </c>
      <c r="Z33" s="10" t="s">
        <v>35</v>
      </c>
      <c r="AA33" s="10" t="s">
        <v>35</v>
      </c>
      <c r="AB33" s="10" t="s">
        <v>764</v>
      </c>
      <c r="AC33" s="10">
        <v>0</v>
      </c>
      <c r="AD33" s="10">
        <v>1</v>
      </c>
      <c r="AE33" s="10" t="s">
        <v>42</v>
      </c>
      <c r="AF33" s="10" t="s">
        <v>35</v>
      </c>
      <c r="AG33" s="10" t="s">
        <v>38</v>
      </c>
      <c r="AH33" s="10" t="s">
        <v>92</v>
      </c>
    </row>
    <row r="34" spans="1:34" ht="15" thickTop="1" x14ac:dyDescent="0.3">
      <c r="A34" s="76"/>
      <c r="B34" s="37"/>
      <c r="C34" s="37"/>
      <c r="D34" s="38" t="s">
        <v>2876</v>
      </c>
      <c r="E34" s="39">
        <f>+SUM(E2:E33)</f>
        <v>5210395</v>
      </c>
      <c r="F34" s="37"/>
      <c r="G34" s="37"/>
      <c r="H34" s="39">
        <f>+SUM(H2:H33)</f>
        <v>5210395</v>
      </c>
      <c r="I34" s="39">
        <f>+SUM(I2:I33)</f>
        <v>1970200</v>
      </c>
      <c r="J34" s="40"/>
      <c r="K34" s="39">
        <f>+SUM(K2:K33)</f>
        <v>4646578</v>
      </c>
      <c r="L34" s="39">
        <f>+SUM(L2:L33)</f>
        <v>817033</v>
      </c>
      <c r="M34" s="39">
        <f>+SUM(M2:M33)</f>
        <v>253216</v>
      </c>
      <c r="N34" s="81">
        <f>AVERAGE(N2:N33)</f>
        <v>4.9110765503952512E-2</v>
      </c>
      <c r="O34" s="41">
        <f>+SUM(O2:O33)</f>
        <v>1446.8000000000004</v>
      </c>
      <c r="P34" s="42"/>
      <c r="Q34" s="43">
        <f>+SUM(Q2:Q33)</f>
        <v>4.157</v>
      </c>
      <c r="R34" s="43">
        <f>+SUM(R2:R33)</f>
        <v>4.157</v>
      </c>
      <c r="S34" s="39"/>
      <c r="T34" s="39"/>
      <c r="U34" s="44"/>
      <c r="V34" s="43"/>
      <c r="W34" s="82">
        <f>AVERAGE(W2:W33)</f>
        <v>32564.96875</v>
      </c>
      <c r="X34" s="83">
        <f>AVERAGE(X2:X33)</f>
        <v>745.56485761418537</v>
      </c>
      <c r="Y34" s="45"/>
      <c r="Z34" s="37"/>
      <c r="AA34" s="37"/>
      <c r="AB34" s="37"/>
      <c r="AC34" s="37"/>
      <c r="AD34" s="37"/>
      <c r="AE34" s="37"/>
      <c r="AF34" s="37"/>
      <c r="AG34" s="37"/>
      <c r="AH34" s="37"/>
    </row>
    <row r="35" spans="1:34" x14ac:dyDescent="0.3">
      <c r="A35" s="77"/>
      <c r="B35" s="28"/>
      <c r="C35" s="28"/>
      <c r="D35" s="29"/>
      <c r="E35" s="30"/>
      <c r="F35" s="28"/>
      <c r="G35" s="28"/>
      <c r="H35" s="30"/>
      <c r="I35" s="30" t="s">
        <v>2877</v>
      </c>
      <c r="J35" s="31">
        <f>I34/H34*100</f>
        <v>37.812872152687085</v>
      </c>
      <c r="K35" s="30"/>
      <c r="L35" s="30"/>
      <c r="M35" s="30" t="s">
        <v>2879</v>
      </c>
      <c r="N35" s="79"/>
      <c r="O35" s="32"/>
      <c r="P35" s="33"/>
      <c r="Q35" s="34" t="s">
        <v>2879</v>
      </c>
      <c r="R35" s="34"/>
      <c r="S35" s="30"/>
      <c r="T35" s="30" t="s">
        <v>2879</v>
      </c>
      <c r="U35" s="35"/>
      <c r="V35" s="34"/>
      <c r="W35" s="63"/>
      <c r="X35" s="68"/>
      <c r="Y35" s="36"/>
      <c r="Z35" s="28"/>
      <c r="AA35" s="28"/>
      <c r="AB35" s="28"/>
      <c r="AC35" s="28"/>
      <c r="AD35" s="28"/>
      <c r="AE35" s="28"/>
      <c r="AF35" s="28"/>
      <c r="AG35" s="28"/>
      <c r="AH35" s="28"/>
    </row>
    <row r="36" spans="1:34" x14ac:dyDescent="0.3">
      <c r="A36" s="78"/>
      <c r="B36" s="46"/>
      <c r="C36" s="46"/>
      <c r="D36" s="47"/>
      <c r="E36" s="48"/>
      <c r="F36" s="46"/>
      <c r="G36" s="46"/>
      <c r="H36" s="48"/>
      <c r="I36" s="48" t="s">
        <v>2878</v>
      </c>
      <c r="J36" s="49">
        <f>STDEV(J2:J33)</f>
        <v>3.0721473904285181</v>
      </c>
      <c r="K36" s="48"/>
      <c r="L36" s="48"/>
      <c r="M36" s="48" t="s">
        <v>2880</v>
      </c>
      <c r="N36" s="80"/>
      <c r="O36" s="54">
        <f>L34/O34</f>
        <v>564.71730716063018</v>
      </c>
      <c r="P36" s="50"/>
      <c r="Q36" s="51" t="s">
        <v>2881</v>
      </c>
      <c r="R36" s="51">
        <f>L34/Q34</f>
        <v>196543.90185229733</v>
      </c>
      <c r="S36" s="48"/>
      <c r="T36" s="48" t="s">
        <v>2882</v>
      </c>
      <c r="U36" s="52">
        <f>L34/Q34/43560</f>
        <v>4.5120271315954392</v>
      </c>
      <c r="V36" s="51"/>
      <c r="W36" s="64"/>
      <c r="X36" s="69"/>
      <c r="Y36" s="53"/>
      <c r="Z36" s="46"/>
      <c r="AA36" s="46"/>
      <c r="AB36" s="46"/>
      <c r="AC36" s="46"/>
      <c r="AD36" s="46"/>
      <c r="AE36" s="46"/>
      <c r="AF36" s="46"/>
      <c r="AG36" s="46"/>
      <c r="AH36" s="46"/>
    </row>
    <row r="37" spans="1:34" x14ac:dyDescent="0.3">
      <c r="E37" s="94" t="s">
        <v>3099</v>
      </c>
      <c r="L37" s="95"/>
    </row>
    <row r="38" spans="1:34" x14ac:dyDescent="0.3">
      <c r="E38" s="383" t="s">
        <v>3163</v>
      </c>
      <c r="F38" s="383"/>
      <c r="G38" s="383"/>
      <c r="H38" s="383"/>
      <c r="I38" s="383"/>
      <c r="J38" s="383"/>
      <c r="K38" s="383"/>
      <c r="L38" s="383"/>
    </row>
    <row r="39" spans="1:34" x14ac:dyDescent="0.3">
      <c r="E39" s="383" t="s">
        <v>3164</v>
      </c>
      <c r="F39" s="383"/>
      <c r="G39" s="383"/>
      <c r="H39" s="383"/>
      <c r="I39" s="383"/>
      <c r="J39" s="383"/>
      <c r="K39" s="383"/>
      <c r="L39" s="383"/>
    </row>
    <row r="40" spans="1:34" x14ac:dyDescent="0.3">
      <c r="E40" s="383" t="s">
        <v>3165</v>
      </c>
      <c r="F40" s="383"/>
      <c r="G40" s="383"/>
      <c r="H40" s="383"/>
      <c r="I40" s="383"/>
      <c r="J40" s="383"/>
      <c r="K40" s="383"/>
      <c r="L40" s="383"/>
    </row>
    <row r="41" spans="1:34" x14ac:dyDescent="0.3">
      <c r="E41" s="383" t="s">
        <v>3166</v>
      </c>
      <c r="F41" s="383"/>
      <c r="G41" s="383"/>
      <c r="H41" s="383"/>
      <c r="I41" s="383"/>
      <c r="J41" s="96"/>
      <c r="K41" s="96"/>
      <c r="L41" s="96"/>
    </row>
    <row r="42" spans="1:34" x14ac:dyDescent="0.3">
      <c r="E42" s="383" t="s">
        <v>3167</v>
      </c>
      <c r="F42" s="383"/>
      <c r="G42" s="383"/>
      <c r="H42" s="383"/>
      <c r="I42" s="383"/>
      <c r="L42" s="95"/>
    </row>
    <row r="43" spans="1:34" x14ac:dyDescent="0.3">
      <c r="E43" s="383" t="s">
        <v>3100</v>
      </c>
      <c r="F43" s="383"/>
      <c r="G43" s="383"/>
      <c r="H43" s="383"/>
      <c r="I43" s="383"/>
      <c r="L43" s="95"/>
    </row>
    <row r="44" spans="1:34" x14ac:dyDescent="0.3">
      <c r="E44" s="96"/>
      <c r="F44" s="96"/>
      <c r="G44" s="96"/>
      <c r="H44" s="96"/>
      <c r="I44" s="96"/>
      <c r="L44" s="95"/>
    </row>
    <row r="45" spans="1:34" x14ac:dyDescent="0.3">
      <c r="A45" s="55" t="s">
        <v>3092</v>
      </c>
      <c r="E45" s="96"/>
      <c r="F45" s="96"/>
      <c r="G45" s="96"/>
      <c r="H45" s="96"/>
      <c r="I45" s="96"/>
      <c r="L45" s="95"/>
    </row>
    <row r="46" spans="1:34" x14ac:dyDescent="0.3">
      <c r="A46" s="75" t="s">
        <v>764</v>
      </c>
      <c r="B46" s="19" t="s">
        <v>777</v>
      </c>
      <c r="C46" s="19" t="s">
        <v>778</v>
      </c>
      <c r="D46" s="20">
        <v>45391</v>
      </c>
      <c r="E46" s="21">
        <v>90000</v>
      </c>
      <c r="F46" s="19" t="s">
        <v>32</v>
      </c>
      <c r="G46" s="19" t="s">
        <v>33</v>
      </c>
      <c r="H46" s="21">
        <v>90000</v>
      </c>
      <c r="I46" s="21">
        <v>65900</v>
      </c>
      <c r="J46" s="22">
        <f>I46/H46*100</f>
        <v>73.222222222222229</v>
      </c>
      <c r="K46" s="21">
        <v>149392</v>
      </c>
      <c r="L46" s="21">
        <f>H46-141273</f>
        <v>-51273</v>
      </c>
      <c r="M46" s="21">
        <v>8119</v>
      </c>
      <c r="N46" s="67">
        <f>M46/E46</f>
        <v>9.0211111111111117E-2</v>
      </c>
      <c r="O46" s="23">
        <v>46.39</v>
      </c>
      <c r="P46" s="24">
        <v>129</v>
      </c>
      <c r="Q46" s="25">
        <v>0.13500000000000001</v>
      </c>
      <c r="R46" s="25">
        <v>0.13500000000000001</v>
      </c>
      <c r="S46" s="21">
        <f>L46/O46</f>
        <v>-1105.2597542573831</v>
      </c>
      <c r="T46" s="21">
        <f>L46/Q46</f>
        <v>-379800</v>
      </c>
      <c r="U46" s="26">
        <f>L46/Q46/43560</f>
        <v>-8.7190082644628095</v>
      </c>
      <c r="V46" s="25">
        <v>45.67</v>
      </c>
      <c r="W46" s="25">
        <f>0.2*E46</f>
        <v>18000</v>
      </c>
      <c r="X46" s="25">
        <f>W46/V46</f>
        <v>394.13181519597106</v>
      </c>
      <c r="Y46" s="27" t="s">
        <v>763</v>
      </c>
      <c r="Z46" s="19" t="s">
        <v>35</v>
      </c>
      <c r="AA46" s="19" t="s">
        <v>35</v>
      </c>
      <c r="AB46" s="19" t="s">
        <v>764</v>
      </c>
      <c r="AC46" s="19">
        <v>0</v>
      </c>
      <c r="AD46" s="19">
        <v>1</v>
      </c>
      <c r="AE46" s="19" t="s">
        <v>37</v>
      </c>
      <c r="AF46" s="19" t="s">
        <v>43</v>
      </c>
      <c r="AG46" s="19" t="s">
        <v>38</v>
      </c>
      <c r="AH46" s="19" t="s">
        <v>92</v>
      </c>
    </row>
    <row r="47" spans="1:34" x14ac:dyDescent="0.3">
      <c r="A47" s="75" t="s">
        <v>764</v>
      </c>
      <c r="B47" s="19" t="s">
        <v>771</v>
      </c>
      <c r="C47" s="19" t="s">
        <v>772</v>
      </c>
      <c r="D47" s="20">
        <v>45566</v>
      </c>
      <c r="E47" s="21">
        <v>100000</v>
      </c>
      <c r="F47" s="19" t="s">
        <v>32</v>
      </c>
      <c r="G47" s="19" t="s">
        <v>33</v>
      </c>
      <c r="H47" s="21">
        <v>100000</v>
      </c>
      <c r="I47" s="21">
        <v>66500</v>
      </c>
      <c r="J47" s="22">
        <f>I47/H47*100</f>
        <v>66.5</v>
      </c>
      <c r="K47" s="21">
        <v>151264</v>
      </c>
      <c r="L47" s="21">
        <f>H47-143766</f>
        <v>-43766</v>
      </c>
      <c r="M47" s="21">
        <v>7498</v>
      </c>
      <c r="N47" s="67">
        <f>M47/E47</f>
        <v>7.4980000000000005E-2</v>
      </c>
      <c r="O47" s="23">
        <v>42.84</v>
      </c>
      <c r="P47" s="24">
        <v>136.52000000000001</v>
      </c>
      <c r="Q47" s="25">
        <v>0.128</v>
      </c>
      <c r="R47" s="25">
        <v>0.128</v>
      </c>
      <c r="S47" s="21">
        <f>L47/O47</f>
        <v>-1021.6153127917833</v>
      </c>
      <c r="T47" s="21">
        <f>L47/Q47</f>
        <v>-341921.875</v>
      </c>
      <c r="U47" s="26">
        <f>L47/Q47/43560</f>
        <v>-7.8494461662075299</v>
      </c>
      <c r="V47" s="25">
        <v>41</v>
      </c>
      <c r="W47" s="25">
        <f>0.2*E47</f>
        <v>20000</v>
      </c>
      <c r="X47" s="25">
        <f>W47/V47</f>
        <v>487.80487804878049</v>
      </c>
      <c r="Y47" s="27" t="s">
        <v>763</v>
      </c>
      <c r="Z47" s="19" t="s">
        <v>35</v>
      </c>
      <c r="AA47" s="19" t="s">
        <v>35</v>
      </c>
      <c r="AB47" s="19" t="s">
        <v>764</v>
      </c>
      <c r="AC47" s="19">
        <v>0</v>
      </c>
      <c r="AD47" s="19">
        <v>1</v>
      </c>
      <c r="AE47" s="19" t="s">
        <v>42</v>
      </c>
      <c r="AF47" s="19" t="s">
        <v>43</v>
      </c>
      <c r="AG47" s="19" t="s">
        <v>38</v>
      </c>
      <c r="AH47" s="19" t="s">
        <v>92</v>
      </c>
    </row>
    <row r="48" spans="1:34" x14ac:dyDescent="0.3">
      <c r="A48" s="74" t="s">
        <v>764</v>
      </c>
      <c r="B48" s="10" t="s">
        <v>773</v>
      </c>
      <c r="C48" s="10" t="s">
        <v>774</v>
      </c>
      <c r="D48" s="11">
        <v>45604</v>
      </c>
      <c r="E48" s="12">
        <v>100000</v>
      </c>
      <c r="F48" s="10" t="s">
        <v>32</v>
      </c>
      <c r="G48" s="10" t="s">
        <v>33</v>
      </c>
      <c r="H48" s="12">
        <v>100000</v>
      </c>
      <c r="I48" s="12">
        <v>64800</v>
      </c>
      <c r="J48" s="13">
        <f>I48/H48*100</f>
        <v>64.8</v>
      </c>
      <c r="K48" s="12">
        <v>147255</v>
      </c>
      <c r="L48" s="12">
        <f>H48-139395</f>
        <v>-39395</v>
      </c>
      <c r="M48" s="12">
        <v>7860</v>
      </c>
      <c r="N48" s="66">
        <f>M48/E48</f>
        <v>7.8600000000000003E-2</v>
      </c>
      <c r="O48" s="14">
        <v>44.91</v>
      </c>
      <c r="P48" s="15">
        <v>137.97</v>
      </c>
      <c r="Q48" s="16">
        <v>0.13500000000000001</v>
      </c>
      <c r="R48" s="16">
        <v>0.13500000000000001</v>
      </c>
      <c r="S48" s="12">
        <f>L48/O48</f>
        <v>-877.19884212870193</v>
      </c>
      <c r="T48" s="12">
        <f>L48/Q48</f>
        <v>-291814.81481481477</v>
      </c>
      <c r="U48" s="17">
        <f>L48/Q48/43560</f>
        <v>-6.6991463456109912</v>
      </c>
      <c r="V48" s="16">
        <v>42.75</v>
      </c>
      <c r="W48" s="16">
        <f>0.2*E48</f>
        <v>20000</v>
      </c>
      <c r="X48" s="16">
        <f>W48/V48</f>
        <v>467.83625730994152</v>
      </c>
      <c r="Y48" s="18" t="s">
        <v>763</v>
      </c>
      <c r="Z48" s="10" t="s">
        <v>35</v>
      </c>
      <c r="AA48" s="10" t="s">
        <v>35</v>
      </c>
      <c r="AB48" s="10" t="s">
        <v>764</v>
      </c>
      <c r="AC48" s="10">
        <v>0</v>
      </c>
      <c r="AD48" s="10">
        <v>1</v>
      </c>
      <c r="AE48" s="10" t="s">
        <v>37</v>
      </c>
      <c r="AF48" s="10" t="s">
        <v>35</v>
      </c>
      <c r="AG48" s="10" t="s">
        <v>38</v>
      </c>
      <c r="AH48" s="10" t="s">
        <v>92</v>
      </c>
    </row>
    <row r="49" spans="1:34" x14ac:dyDescent="0.3">
      <c r="A49" s="74" t="s">
        <v>764</v>
      </c>
      <c r="B49" s="10" t="s">
        <v>779</v>
      </c>
      <c r="C49" s="10" t="s">
        <v>780</v>
      </c>
      <c r="D49" s="11">
        <v>45259</v>
      </c>
      <c r="E49" s="12">
        <v>160000</v>
      </c>
      <c r="F49" s="10" t="s">
        <v>32</v>
      </c>
      <c r="G49" s="10" t="s">
        <v>33</v>
      </c>
      <c r="H49" s="12">
        <v>160000</v>
      </c>
      <c r="I49" s="12">
        <v>32500</v>
      </c>
      <c r="J49" s="13">
        <f>I49/H49*100</f>
        <v>20.3125</v>
      </c>
      <c r="K49" s="12">
        <v>86193</v>
      </c>
      <c r="L49" s="12">
        <f>H49-78806</f>
        <v>81194</v>
      </c>
      <c r="M49" s="12">
        <v>7387</v>
      </c>
      <c r="N49" s="66">
        <f>M49/E49</f>
        <v>4.6168750000000001E-2</v>
      </c>
      <c r="O49" s="14">
        <v>42.21</v>
      </c>
      <c r="P49" s="15">
        <v>110</v>
      </c>
      <c r="Q49" s="16">
        <v>0.114</v>
      </c>
      <c r="R49" s="16">
        <v>0.114</v>
      </c>
      <c r="S49" s="12">
        <f>L49/O49</f>
        <v>1923.5726131248518</v>
      </c>
      <c r="T49" s="12">
        <f>L49/Q49</f>
        <v>712228.07017543854</v>
      </c>
      <c r="U49" s="17">
        <f>L49/Q49/43560</f>
        <v>16.350506661511446</v>
      </c>
      <c r="V49" s="16">
        <v>45</v>
      </c>
      <c r="W49" s="16">
        <f>0.2*E49</f>
        <v>32000</v>
      </c>
      <c r="X49" s="16">
        <f>W49/V49</f>
        <v>711.11111111111109</v>
      </c>
      <c r="Y49" s="18" t="s">
        <v>763</v>
      </c>
      <c r="Z49" s="10" t="s">
        <v>35</v>
      </c>
      <c r="AA49" s="10" t="s">
        <v>35</v>
      </c>
      <c r="AB49" s="10" t="s">
        <v>764</v>
      </c>
      <c r="AC49" s="10">
        <v>0</v>
      </c>
      <c r="AD49" s="10">
        <v>1</v>
      </c>
      <c r="AE49" s="10" t="s">
        <v>37</v>
      </c>
      <c r="AF49" s="10" t="s">
        <v>43</v>
      </c>
      <c r="AG49" s="10" t="s">
        <v>38</v>
      </c>
      <c r="AH49" s="10" t="s">
        <v>92</v>
      </c>
    </row>
    <row r="50" spans="1:34" x14ac:dyDescent="0.3">
      <c r="A50" s="75" t="s">
        <v>764</v>
      </c>
      <c r="B50" s="19" t="s">
        <v>1221</v>
      </c>
      <c r="C50" s="19" t="s">
        <v>1222</v>
      </c>
      <c r="D50" s="20">
        <v>45544</v>
      </c>
      <c r="E50" s="21">
        <v>203000</v>
      </c>
      <c r="F50" s="19" t="s">
        <v>32</v>
      </c>
      <c r="G50" s="19" t="s">
        <v>33</v>
      </c>
      <c r="H50" s="21">
        <v>203000</v>
      </c>
      <c r="I50" s="21">
        <v>71000</v>
      </c>
      <c r="J50" s="22">
        <f t="shared" ref="J50:J56" si="7">I50/H50*100</f>
        <v>34.975369458128078</v>
      </c>
      <c r="K50" s="21">
        <v>155479</v>
      </c>
      <c r="L50" s="21">
        <f>H50-148405</f>
        <v>54595</v>
      </c>
      <c r="M50" s="21">
        <v>7074</v>
      </c>
      <c r="N50" s="67">
        <f t="shared" ref="N50:N56" si="8">M50/E50</f>
        <v>3.4847290640394088E-2</v>
      </c>
      <c r="O50" s="23">
        <v>40.42</v>
      </c>
      <c r="P50" s="24">
        <v>127.66</v>
      </c>
      <c r="Q50" s="25">
        <v>0.11700000000000001</v>
      </c>
      <c r="R50" s="25">
        <v>0.11700000000000001</v>
      </c>
      <c r="S50" s="21">
        <f t="shared" ref="S50:S56" si="9">L50/O50</f>
        <v>1350.6927263730827</v>
      </c>
      <c r="T50" s="21">
        <f t="shared" ref="T50:T56" si="10">L50/Q50</f>
        <v>466623.93162393162</v>
      </c>
      <c r="U50" s="26">
        <f t="shared" ref="U50:U56" si="11">L50/Q50/43560</f>
        <v>10.712211469787228</v>
      </c>
      <c r="V50" s="25">
        <v>40</v>
      </c>
      <c r="W50" s="25">
        <f t="shared" ref="W50:W56" si="12">0.2*E50</f>
        <v>40600</v>
      </c>
      <c r="X50" s="25">
        <f t="shared" ref="X50:X56" si="13">W50/V50</f>
        <v>1015</v>
      </c>
      <c r="Y50" s="27" t="s">
        <v>763</v>
      </c>
      <c r="Z50" s="19" t="s">
        <v>35</v>
      </c>
      <c r="AA50" s="19" t="s">
        <v>35</v>
      </c>
      <c r="AB50" s="19" t="s">
        <v>764</v>
      </c>
      <c r="AC50" s="19">
        <v>0</v>
      </c>
      <c r="AD50" s="19">
        <v>1</v>
      </c>
      <c r="AE50" s="19" t="s">
        <v>42</v>
      </c>
      <c r="AF50" s="19" t="s">
        <v>43</v>
      </c>
      <c r="AG50" s="19" t="s">
        <v>38</v>
      </c>
      <c r="AH50" s="19" t="s">
        <v>92</v>
      </c>
    </row>
    <row r="51" spans="1:34" x14ac:dyDescent="0.3">
      <c r="A51" s="74" t="s">
        <v>764</v>
      </c>
      <c r="B51" s="10" t="s">
        <v>1254</v>
      </c>
      <c r="C51" s="10" t="s">
        <v>1255</v>
      </c>
      <c r="D51" s="11">
        <v>45336</v>
      </c>
      <c r="E51" s="12">
        <v>165900</v>
      </c>
      <c r="F51" s="10" t="s">
        <v>32</v>
      </c>
      <c r="G51" s="10" t="s">
        <v>33</v>
      </c>
      <c r="H51" s="12">
        <v>165900</v>
      </c>
      <c r="I51" s="12">
        <v>74500</v>
      </c>
      <c r="J51" s="13">
        <f t="shared" si="7"/>
        <v>44.906570223025923</v>
      </c>
      <c r="K51" s="12">
        <v>200830</v>
      </c>
      <c r="L51" s="12">
        <f>H51-192817</f>
        <v>-26917</v>
      </c>
      <c r="M51" s="12">
        <v>8013</v>
      </c>
      <c r="N51" s="66">
        <f t="shared" si="8"/>
        <v>4.8300180831826404E-2</v>
      </c>
      <c r="O51" s="14">
        <v>45.78</v>
      </c>
      <c r="P51" s="15">
        <v>135.35</v>
      </c>
      <c r="Q51" s="16">
        <v>0.13700000000000001</v>
      </c>
      <c r="R51" s="16">
        <v>0.13700000000000001</v>
      </c>
      <c r="S51" s="12">
        <f t="shared" si="9"/>
        <v>-587.96417649628654</v>
      </c>
      <c r="T51" s="12">
        <f t="shared" si="10"/>
        <v>-196474.45255474452</v>
      </c>
      <c r="U51" s="17">
        <f t="shared" si="11"/>
        <v>-4.5104327951043279</v>
      </c>
      <c r="V51" s="16">
        <v>44</v>
      </c>
      <c r="W51" s="16">
        <f t="shared" si="12"/>
        <v>33180</v>
      </c>
      <c r="X51" s="16">
        <f t="shared" si="13"/>
        <v>754.09090909090912</v>
      </c>
      <c r="Y51" s="18" t="s">
        <v>763</v>
      </c>
      <c r="Z51" s="10" t="s">
        <v>35</v>
      </c>
      <c r="AA51" s="10" t="s">
        <v>35</v>
      </c>
      <c r="AB51" s="10" t="s">
        <v>764</v>
      </c>
      <c r="AC51" s="10">
        <v>0</v>
      </c>
      <c r="AD51" s="10">
        <v>1</v>
      </c>
      <c r="AE51" s="10" t="s">
        <v>42</v>
      </c>
      <c r="AF51" s="10" t="s">
        <v>43</v>
      </c>
      <c r="AG51" s="10" t="s">
        <v>38</v>
      </c>
      <c r="AH51" s="10" t="s">
        <v>92</v>
      </c>
    </row>
    <row r="52" spans="1:34" x14ac:dyDescent="0.3">
      <c r="A52" s="75" t="s">
        <v>764</v>
      </c>
      <c r="B52" s="19" t="s">
        <v>783</v>
      </c>
      <c r="C52" s="19" t="s">
        <v>784</v>
      </c>
      <c r="D52" s="20">
        <v>45250</v>
      </c>
      <c r="E52" s="21">
        <v>134000</v>
      </c>
      <c r="F52" s="19" t="s">
        <v>32</v>
      </c>
      <c r="G52" s="19" t="s">
        <v>33</v>
      </c>
      <c r="H52" s="21">
        <v>134000</v>
      </c>
      <c r="I52" s="21">
        <v>57000</v>
      </c>
      <c r="J52" s="22">
        <f t="shared" si="7"/>
        <v>42.537313432835823</v>
      </c>
      <c r="K52" s="21">
        <v>154893</v>
      </c>
      <c r="L52" s="21">
        <f>H52-147998</f>
        <v>-13998</v>
      </c>
      <c r="M52" s="21">
        <v>6895</v>
      </c>
      <c r="N52" s="67">
        <f t="shared" si="8"/>
        <v>5.1455223880597013E-2</v>
      </c>
      <c r="O52" s="23">
        <v>39.39</v>
      </c>
      <c r="P52" s="24">
        <v>110</v>
      </c>
      <c r="Q52" s="25">
        <v>0.106</v>
      </c>
      <c r="R52" s="25">
        <v>0.106</v>
      </c>
      <c r="S52" s="21">
        <f t="shared" si="9"/>
        <v>-355.36938309215537</v>
      </c>
      <c r="T52" s="21">
        <f t="shared" si="10"/>
        <v>-132056.60377358491</v>
      </c>
      <c r="U52" s="26">
        <f t="shared" si="11"/>
        <v>-3.0316024741410676</v>
      </c>
      <c r="V52" s="25">
        <v>42</v>
      </c>
      <c r="W52" s="25">
        <f t="shared" si="12"/>
        <v>26800</v>
      </c>
      <c r="X52" s="25">
        <f t="shared" si="13"/>
        <v>638.09523809523807</v>
      </c>
      <c r="Y52" s="27" t="s">
        <v>763</v>
      </c>
      <c r="Z52" s="19" t="s">
        <v>35</v>
      </c>
      <c r="AA52" s="19" t="s">
        <v>35</v>
      </c>
      <c r="AB52" s="19" t="s">
        <v>764</v>
      </c>
      <c r="AC52" s="19">
        <v>0</v>
      </c>
      <c r="AD52" s="19">
        <v>1</v>
      </c>
      <c r="AE52" s="19" t="s">
        <v>42</v>
      </c>
      <c r="AF52" s="19" t="s">
        <v>43</v>
      </c>
      <c r="AG52" s="19" t="s">
        <v>38</v>
      </c>
      <c r="AH52" s="19" t="s">
        <v>92</v>
      </c>
    </row>
    <row r="53" spans="1:34" x14ac:dyDescent="0.3">
      <c r="A53" s="74" t="s">
        <v>764</v>
      </c>
      <c r="B53" s="10" t="s">
        <v>787</v>
      </c>
      <c r="C53" s="10" t="s">
        <v>788</v>
      </c>
      <c r="D53" s="11">
        <v>45197</v>
      </c>
      <c r="E53" s="12">
        <v>195000</v>
      </c>
      <c r="F53" s="10" t="s">
        <v>32</v>
      </c>
      <c r="G53" s="10" t="s">
        <v>33</v>
      </c>
      <c r="H53" s="12">
        <v>195000</v>
      </c>
      <c r="I53" s="12">
        <v>87000</v>
      </c>
      <c r="J53" s="13">
        <f t="shared" si="7"/>
        <v>44.61538461538462</v>
      </c>
      <c r="K53" s="12">
        <v>211217</v>
      </c>
      <c r="L53" s="12">
        <f>H53-204322</f>
        <v>-9322</v>
      </c>
      <c r="M53" s="12">
        <v>6895</v>
      </c>
      <c r="N53" s="66">
        <f t="shared" si="8"/>
        <v>3.5358974358974359E-2</v>
      </c>
      <c r="O53" s="14">
        <v>39.39</v>
      </c>
      <c r="P53" s="15">
        <v>110</v>
      </c>
      <c r="Q53" s="16">
        <v>0.106</v>
      </c>
      <c r="R53" s="16">
        <v>0.106</v>
      </c>
      <c r="S53" s="12">
        <f t="shared" si="9"/>
        <v>-236.65905052043667</v>
      </c>
      <c r="T53" s="12">
        <f t="shared" si="10"/>
        <v>-87943.39622641509</v>
      </c>
      <c r="U53" s="17">
        <f t="shared" si="11"/>
        <v>-2.018902576363983</v>
      </c>
      <c r="V53" s="16">
        <v>42</v>
      </c>
      <c r="W53" s="16">
        <f t="shared" si="12"/>
        <v>39000</v>
      </c>
      <c r="X53" s="16">
        <f t="shared" si="13"/>
        <v>928.57142857142856</v>
      </c>
      <c r="Y53" s="18" t="s">
        <v>763</v>
      </c>
      <c r="Z53" s="10" t="s">
        <v>35</v>
      </c>
      <c r="AA53" s="10" t="s">
        <v>35</v>
      </c>
      <c r="AB53" s="10" t="s">
        <v>764</v>
      </c>
      <c r="AC53" s="10">
        <v>0</v>
      </c>
      <c r="AD53" s="10">
        <v>1</v>
      </c>
      <c r="AE53" s="10" t="s">
        <v>42</v>
      </c>
      <c r="AF53" s="10" t="s">
        <v>43</v>
      </c>
      <c r="AG53" s="10" t="s">
        <v>38</v>
      </c>
      <c r="AH53" s="10" t="s">
        <v>92</v>
      </c>
    </row>
    <row r="54" spans="1:34" x14ac:dyDescent="0.3">
      <c r="A54" s="75" t="s">
        <v>764</v>
      </c>
      <c r="B54" s="19" t="s">
        <v>1213</v>
      </c>
      <c r="C54" s="19" t="s">
        <v>1214</v>
      </c>
      <c r="D54" s="20">
        <v>45260</v>
      </c>
      <c r="E54" s="21">
        <v>114000</v>
      </c>
      <c r="F54" s="19" t="s">
        <v>32</v>
      </c>
      <c r="G54" s="19" t="s">
        <v>33</v>
      </c>
      <c r="H54" s="21">
        <v>114000</v>
      </c>
      <c r="I54" s="21">
        <v>47900</v>
      </c>
      <c r="J54" s="22">
        <f t="shared" si="7"/>
        <v>42.017543859649123</v>
      </c>
      <c r="K54" s="21">
        <v>127577</v>
      </c>
      <c r="L54" s="21">
        <f>H54-118654</f>
        <v>-4654</v>
      </c>
      <c r="M54" s="21">
        <v>8923</v>
      </c>
      <c r="N54" s="67">
        <f t="shared" si="8"/>
        <v>7.8271929824561409E-2</v>
      </c>
      <c r="O54" s="23">
        <v>50.99</v>
      </c>
      <c r="P54" s="24">
        <v>130</v>
      </c>
      <c r="Q54" s="25">
        <v>0.14899999999999999</v>
      </c>
      <c r="R54" s="25">
        <v>0.14899999999999999</v>
      </c>
      <c r="S54" s="21">
        <f t="shared" si="9"/>
        <v>-91.27279858795842</v>
      </c>
      <c r="T54" s="21">
        <f t="shared" si="10"/>
        <v>-31234.899328859061</v>
      </c>
      <c r="U54" s="26">
        <f t="shared" si="11"/>
        <v>-0.71705462187463409</v>
      </c>
      <c r="V54" s="25">
        <v>50</v>
      </c>
      <c r="W54" s="25">
        <f t="shared" si="12"/>
        <v>22800</v>
      </c>
      <c r="X54" s="25">
        <f t="shared" si="13"/>
        <v>456</v>
      </c>
      <c r="Y54" s="27" t="s">
        <v>763</v>
      </c>
      <c r="Z54" s="19" t="s">
        <v>35</v>
      </c>
      <c r="AA54" s="19" t="s">
        <v>35</v>
      </c>
      <c r="AB54" s="19" t="s">
        <v>764</v>
      </c>
      <c r="AC54" s="19">
        <v>0</v>
      </c>
      <c r="AD54" s="19">
        <v>1</v>
      </c>
      <c r="AE54" s="19" t="s">
        <v>42</v>
      </c>
      <c r="AF54" s="19" t="s">
        <v>43</v>
      </c>
      <c r="AG54" s="19" t="s">
        <v>38</v>
      </c>
      <c r="AH54" s="19" t="s">
        <v>92</v>
      </c>
    </row>
    <row r="55" spans="1:34" x14ac:dyDescent="0.3">
      <c r="A55" s="75" t="s">
        <v>764</v>
      </c>
      <c r="B55" s="19" t="s">
        <v>777</v>
      </c>
      <c r="C55" s="19" t="s">
        <v>778</v>
      </c>
      <c r="D55" s="20">
        <v>45448</v>
      </c>
      <c r="E55" s="21">
        <v>140000</v>
      </c>
      <c r="F55" s="19" t="s">
        <v>32</v>
      </c>
      <c r="G55" s="19" t="s">
        <v>33</v>
      </c>
      <c r="H55" s="21">
        <v>140000</v>
      </c>
      <c r="I55" s="21">
        <v>65900</v>
      </c>
      <c r="J55" s="22">
        <f t="shared" si="7"/>
        <v>47.071428571428569</v>
      </c>
      <c r="K55" s="21">
        <v>149392</v>
      </c>
      <c r="L55" s="21">
        <f>H55-141273</f>
        <v>-1273</v>
      </c>
      <c r="M55" s="21">
        <v>8119</v>
      </c>
      <c r="N55" s="67">
        <f t="shared" si="8"/>
        <v>5.7992857142857145E-2</v>
      </c>
      <c r="O55" s="23">
        <v>46.39</v>
      </c>
      <c r="P55" s="24">
        <v>129</v>
      </c>
      <c r="Q55" s="25">
        <v>0.13500000000000001</v>
      </c>
      <c r="R55" s="25">
        <v>0.13500000000000001</v>
      </c>
      <c r="S55" s="21">
        <f t="shared" si="9"/>
        <v>-27.441258892002587</v>
      </c>
      <c r="T55" s="21">
        <f t="shared" si="10"/>
        <v>-9429.6296296296296</v>
      </c>
      <c r="U55" s="26">
        <f t="shared" si="11"/>
        <v>-0.21647450940380233</v>
      </c>
      <c r="V55" s="25">
        <v>45.67</v>
      </c>
      <c r="W55" s="25">
        <f t="shared" si="12"/>
        <v>28000</v>
      </c>
      <c r="X55" s="25">
        <f t="shared" si="13"/>
        <v>613.09393474928834</v>
      </c>
      <c r="Y55" s="27" t="s">
        <v>763</v>
      </c>
      <c r="Z55" s="19" t="s">
        <v>35</v>
      </c>
      <c r="AA55" s="19" t="s">
        <v>35</v>
      </c>
      <c r="AB55" s="19" t="s">
        <v>764</v>
      </c>
      <c r="AC55" s="19">
        <v>0</v>
      </c>
      <c r="AD55" s="19">
        <v>1</v>
      </c>
      <c r="AE55" s="19" t="s">
        <v>37</v>
      </c>
      <c r="AF55" s="19" t="s">
        <v>43</v>
      </c>
      <c r="AG55" s="19" t="s">
        <v>38</v>
      </c>
      <c r="AH55" s="19" t="s">
        <v>92</v>
      </c>
    </row>
    <row r="56" spans="1:34" x14ac:dyDescent="0.3">
      <c r="A56" s="75" t="s">
        <v>764</v>
      </c>
      <c r="B56" s="19" t="s">
        <v>1237</v>
      </c>
      <c r="C56" s="19" t="s">
        <v>1238</v>
      </c>
      <c r="D56" s="20">
        <v>45533</v>
      </c>
      <c r="E56" s="21">
        <v>145000</v>
      </c>
      <c r="F56" s="19" t="s">
        <v>32</v>
      </c>
      <c r="G56" s="19" t="s">
        <v>33</v>
      </c>
      <c r="H56" s="21">
        <v>145000</v>
      </c>
      <c r="I56" s="21">
        <v>68900</v>
      </c>
      <c r="J56" s="22">
        <f t="shared" si="7"/>
        <v>47.517241379310342</v>
      </c>
      <c r="K56" s="21">
        <v>156074</v>
      </c>
      <c r="L56" s="21">
        <f>H56-143147</f>
        <v>1853</v>
      </c>
      <c r="M56" s="21">
        <v>12927</v>
      </c>
      <c r="N56" s="67">
        <f t="shared" si="8"/>
        <v>8.9151724137931029E-2</v>
      </c>
      <c r="O56" s="23">
        <v>73.86</v>
      </c>
      <c r="P56" s="24">
        <v>134.68</v>
      </c>
      <c r="Q56" s="25">
        <v>0.44</v>
      </c>
      <c r="R56" s="25">
        <v>0.22</v>
      </c>
      <c r="S56" s="21">
        <f t="shared" si="9"/>
        <v>25.088004332520985</v>
      </c>
      <c r="T56" s="21">
        <f t="shared" si="10"/>
        <v>4211.363636363636</v>
      </c>
      <c r="U56" s="26">
        <f t="shared" si="11"/>
        <v>9.6679605977126631E-2</v>
      </c>
      <c r="V56" s="25">
        <v>71.13</v>
      </c>
      <c r="W56" s="25">
        <f t="shared" si="12"/>
        <v>29000</v>
      </c>
      <c r="X56" s="25">
        <f t="shared" si="13"/>
        <v>407.7042035709265</v>
      </c>
      <c r="Y56" s="27" t="s">
        <v>763</v>
      </c>
      <c r="Z56" s="19" t="s">
        <v>35</v>
      </c>
      <c r="AA56" s="19" t="s">
        <v>35</v>
      </c>
      <c r="AB56" s="19" t="s">
        <v>764</v>
      </c>
      <c r="AC56" s="19">
        <v>0</v>
      </c>
      <c r="AD56" s="19">
        <v>1</v>
      </c>
      <c r="AE56" s="19" t="s">
        <v>37</v>
      </c>
      <c r="AF56" s="19" t="s">
        <v>43</v>
      </c>
      <c r="AG56" s="19" t="s">
        <v>38</v>
      </c>
      <c r="AH56" s="19" t="s">
        <v>92</v>
      </c>
    </row>
  </sheetData>
  <sortState xmlns:xlrd2="http://schemas.microsoft.com/office/spreadsheetml/2017/richdata2" ref="A2:AH44">
    <sortCondition ref="S2:S44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tabColor rgb="FF00B050"/>
  </sheetPr>
  <dimension ref="A1:AH43"/>
  <sheetViews>
    <sheetView workbookViewId="0">
      <selection activeCell="D26" sqref="D26:M32"/>
    </sheetView>
  </sheetViews>
  <sheetFormatPr defaultRowHeight="14.4" x14ac:dyDescent="0.3"/>
  <cols>
    <col min="1" max="1" width="10.44140625" style="55" bestFit="1" customWidth="1" collapsed="1"/>
    <col min="2" max="2" width="17.5546875" customWidth="1" collapsed="1"/>
    <col min="3" max="3" width="18.109375" customWidth="1" collapsed="1"/>
    <col min="4" max="4" width="10.88671875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802</v>
      </c>
      <c r="B2" s="19" t="s">
        <v>835</v>
      </c>
      <c r="C2" s="19" t="s">
        <v>836</v>
      </c>
      <c r="D2" s="20">
        <v>45302</v>
      </c>
      <c r="E2" s="21">
        <v>165000</v>
      </c>
      <c r="F2" s="19" t="s">
        <v>32</v>
      </c>
      <c r="G2" s="19" t="s">
        <v>33</v>
      </c>
      <c r="H2" s="21">
        <v>165000</v>
      </c>
      <c r="I2" s="21">
        <v>65400</v>
      </c>
      <c r="J2" s="22">
        <f t="shared" ref="J2:J22" si="0">I2/H2*100</f>
        <v>39.636363636363633</v>
      </c>
      <c r="K2" s="21">
        <v>169193</v>
      </c>
      <c r="L2" s="21">
        <f>H2-159567</f>
        <v>5433</v>
      </c>
      <c r="M2" s="21">
        <v>9626</v>
      </c>
      <c r="N2" s="67">
        <f t="shared" ref="N2:N22" si="1">M2/E2</f>
        <v>5.8339393939393941E-2</v>
      </c>
      <c r="O2" s="23">
        <v>48.12</v>
      </c>
      <c r="P2" s="24">
        <v>115.88</v>
      </c>
      <c r="Q2" s="25">
        <v>0.13300000000000001</v>
      </c>
      <c r="R2" s="25">
        <v>0.13300000000000001</v>
      </c>
      <c r="S2" s="21">
        <f t="shared" ref="S2:S22" si="2">L2/O2</f>
        <v>112.90523690773068</v>
      </c>
      <c r="T2" s="21">
        <f t="shared" ref="T2:T22" si="3">L2/Q2</f>
        <v>40849.624060150374</v>
      </c>
      <c r="U2" s="26">
        <f t="shared" ref="U2:U22" si="4">L2/Q2/43560</f>
        <v>0.93777833012282774</v>
      </c>
      <c r="V2" s="25">
        <v>50</v>
      </c>
      <c r="W2" s="25">
        <f t="shared" ref="W2:W22" si="5">0.2*E2</f>
        <v>33000</v>
      </c>
      <c r="X2" s="25">
        <f t="shared" ref="X2:X22" si="6">W2/V2</f>
        <v>660</v>
      </c>
      <c r="Y2" s="27" t="s">
        <v>801</v>
      </c>
      <c r="Z2" s="19" t="s">
        <v>35</v>
      </c>
      <c r="AA2" s="19" t="s">
        <v>35</v>
      </c>
      <c r="AB2" s="19" t="s">
        <v>802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802</v>
      </c>
      <c r="B3" s="10" t="s">
        <v>823</v>
      </c>
      <c r="C3" s="10" t="s">
        <v>824</v>
      </c>
      <c r="D3" s="11">
        <v>45394</v>
      </c>
      <c r="E3" s="12">
        <v>172000</v>
      </c>
      <c r="F3" s="10" t="s">
        <v>32</v>
      </c>
      <c r="G3" s="10" t="s">
        <v>33</v>
      </c>
      <c r="H3" s="12">
        <v>172000</v>
      </c>
      <c r="I3" s="12">
        <v>80600</v>
      </c>
      <c r="J3" s="13">
        <f t="shared" si="0"/>
        <v>46.860465116279073</v>
      </c>
      <c r="K3" s="12">
        <v>175029</v>
      </c>
      <c r="L3" s="12">
        <f>H3-164637</f>
        <v>7363</v>
      </c>
      <c r="M3" s="12">
        <v>10392</v>
      </c>
      <c r="N3" s="66">
        <f t="shared" si="1"/>
        <v>6.0418604651162791E-2</v>
      </c>
      <c r="O3" s="14">
        <v>51.96</v>
      </c>
      <c r="P3" s="15">
        <v>135</v>
      </c>
      <c r="Q3" s="16">
        <v>0.155</v>
      </c>
      <c r="R3" s="16">
        <v>0.155</v>
      </c>
      <c r="S3" s="12">
        <f t="shared" si="2"/>
        <v>141.70515781370284</v>
      </c>
      <c r="T3" s="12">
        <f t="shared" si="3"/>
        <v>47503.225806451614</v>
      </c>
      <c r="U3" s="17">
        <f t="shared" si="4"/>
        <v>1.0905240084125716</v>
      </c>
      <c r="V3" s="16">
        <v>50</v>
      </c>
      <c r="W3" s="16">
        <f t="shared" si="5"/>
        <v>34400</v>
      </c>
      <c r="X3" s="16">
        <f t="shared" si="6"/>
        <v>688</v>
      </c>
      <c r="Y3" s="18" t="s">
        <v>801</v>
      </c>
      <c r="Z3" s="10" t="s">
        <v>35</v>
      </c>
      <c r="AA3" s="10" t="s">
        <v>35</v>
      </c>
      <c r="AB3" s="10" t="s">
        <v>802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802</v>
      </c>
      <c r="B4" s="10" t="s">
        <v>805</v>
      </c>
      <c r="C4" s="10" t="s">
        <v>806</v>
      </c>
      <c r="D4" s="11">
        <v>45257</v>
      </c>
      <c r="E4" s="12">
        <v>235000</v>
      </c>
      <c r="F4" s="10" t="s">
        <v>32</v>
      </c>
      <c r="G4" s="10" t="s">
        <v>33</v>
      </c>
      <c r="H4" s="12">
        <v>235000</v>
      </c>
      <c r="I4" s="12">
        <v>89700</v>
      </c>
      <c r="J4" s="13">
        <f t="shared" si="0"/>
        <v>38.170212765957444</v>
      </c>
      <c r="K4" s="12">
        <v>234176</v>
      </c>
      <c r="L4" s="12">
        <f>H4-223750</f>
        <v>11250</v>
      </c>
      <c r="M4" s="12">
        <v>10426</v>
      </c>
      <c r="N4" s="66">
        <f t="shared" si="1"/>
        <v>4.4365957446808511E-2</v>
      </c>
      <c r="O4" s="14">
        <v>52.12</v>
      </c>
      <c r="P4" s="15">
        <v>135.87</v>
      </c>
      <c r="Q4" s="16">
        <v>0.156</v>
      </c>
      <c r="R4" s="16">
        <v>0.156</v>
      </c>
      <c r="S4" s="12">
        <f t="shared" si="2"/>
        <v>215.84804297774369</v>
      </c>
      <c r="T4" s="12">
        <f t="shared" si="3"/>
        <v>72115.38461538461</v>
      </c>
      <c r="U4" s="17">
        <f t="shared" si="4"/>
        <v>1.6555414282687009</v>
      </c>
      <c r="V4" s="16">
        <v>50</v>
      </c>
      <c r="W4" s="16">
        <f t="shared" si="5"/>
        <v>47000</v>
      </c>
      <c r="X4" s="16">
        <f t="shared" si="6"/>
        <v>940</v>
      </c>
      <c r="Y4" s="18" t="s">
        <v>801</v>
      </c>
      <c r="Z4" s="10" t="s">
        <v>35</v>
      </c>
      <c r="AA4" s="10" t="s">
        <v>35</v>
      </c>
      <c r="AB4" s="10" t="s">
        <v>802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802</v>
      </c>
      <c r="B5" s="19" t="s">
        <v>811</v>
      </c>
      <c r="C5" s="19" t="s">
        <v>812</v>
      </c>
      <c r="D5" s="20">
        <v>45443</v>
      </c>
      <c r="E5" s="21">
        <v>180000</v>
      </c>
      <c r="F5" s="19" t="s">
        <v>32</v>
      </c>
      <c r="G5" s="19" t="s">
        <v>33</v>
      </c>
      <c r="H5" s="21">
        <v>180000</v>
      </c>
      <c r="I5" s="21">
        <v>82000</v>
      </c>
      <c r="J5" s="22">
        <f t="shared" si="0"/>
        <v>45.555555555555557</v>
      </c>
      <c r="K5" s="21">
        <v>178028</v>
      </c>
      <c r="L5" s="21">
        <f>H5-166147</f>
        <v>13853</v>
      </c>
      <c r="M5" s="21">
        <v>11881</v>
      </c>
      <c r="N5" s="67">
        <f t="shared" si="1"/>
        <v>6.6005555555555553E-2</v>
      </c>
      <c r="O5" s="23">
        <v>59.4</v>
      </c>
      <c r="P5" s="24">
        <v>149.33000000000001</v>
      </c>
      <c r="Q5" s="25">
        <v>0.161</v>
      </c>
      <c r="R5" s="25">
        <v>0.161</v>
      </c>
      <c r="S5" s="21">
        <f t="shared" si="2"/>
        <v>233.21548821548822</v>
      </c>
      <c r="T5" s="21">
        <f t="shared" si="3"/>
        <v>86043.478260869568</v>
      </c>
      <c r="U5" s="26">
        <f t="shared" si="4"/>
        <v>1.9752864614524694</v>
      </c>
      <c r="V5" s="25">
        <v>69.23</v>
      </c>
      <c r="W5" s="25">
        <f t="shared" si="5"/>
        <v>36000</v>
      </c>
      <c r="X5" s="25">
        <f t="shared" si="6"/>
        <v>520.00577784197594</v>
      </c>
      <c r="Y5" s="27" t="s">
        <v>801</v>
      </c>
      <c r="Z5" s="19" t="s">
        <v>35</v>
      </c>
      <c r="AA5" s="19" t="s">
        <v>35</v>
      </c>
      <c r="AB5" s="19" t="s">
        <v>802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802</v>
      </c>
      <c r="B6" s="19" t="s">
        <v>819</v>
      </c>
      <c r="C6" s="19" t="s">
        <v>820</v>
      </c>
      <c r="D6" s="20">
        <v>45569</v>
      </c>
      <c r="E6" s="21">
        <v>200000</v>
      </c>
      <c r="F6" s="19" t="s">
        <v>32</v>
      </c>
      <c r="G6" s="19" t="s">
        <v>33</v>
      </c>
      <c r="H6" s="21">
        <v>200000</v>
      </c>
      <c r="I6" s="21">
        <v>89600</v>
      </c>
      <c r="J6" s="22">
        <f t="shared" si="0"/>
        <v>44.800000000000004</v>
      </c>
      <c r="K6" s="21">
        <v>195839</v>
      </c>
      <c r="L6" s="21">
        <f>H6-185447</f>
        <v>14553</v>
      </c>
      <c r="M6" s="21">
        <v>10392</v>
      </c>
      <c r="N6" s="67">
        <f t="shared" si="1"/>
        <v>5.1959999999999999E-2</v>
      </c>
      <c r="O6" s="23">
        <v>51.96</v>
      </c>
      <c r="P6" s="24">
        <v>135</v>
      </c>
      <c r="Q6" s="25">
        <v>0.155</v>
      </c>
      <c r="R6" s="25">
        <v>0.155</v>
      </c>
      <c r="S6" s="21">
        <f t="shared" si="2"/>
        <v>280.08083140877596</v>
      </c>
      <c r="T6" s="21">
        <f t="shared" si="3"/>
        <v>93890.322580645166</v>
      </c>
      <c r="U6" s="26">
        <f t="shared" si="4"/>
        <v>2.1554252199413493</v>
      </c>
      <c r="V6" s="25">
        <v>50</v>
      </c>
      <c r="W6" s="25">
        <f t="shared" si="5"/>
        <v>40000</v>
      </c>
      <c r="X6" s="25">
        <f t="shared" si="6"/>
        <v>800</v>
      </c>
      <c r="Y6" s="27" t="s">
        <v>801</v>
      </c>
      <c r="Z6" s="19" t="s">
        <v>35</v>
      </c>
      <c r="AA6" s="19" t="s">
        <v>35</v>
      </c>
      <c r="AB6" s="19" t="s">
        <v>802</v>
      </c>
      <c r="AC6" s="19">
        <v>0</v>
      </c>
      <c r="AD6" s="19">
        <v>1</v>
      </c>
      <c r="AE6" s="19" t="s">
        <v>42</v>
      </c>
      <c r="AF6" s="19" t="s">
        <v>35</v>
      </c>
      <c r="AG6" s="19" t="s">
        <v>38</v>
      </c>
      <c r="AH6" s="19" t="s">
        <v>92</v>
      </c>
    </row>
    <row r="7" spans="1:34" x14ac:dyDescent="0.3">
      <c r="A7" s="75" t="s">
        <v>802</v>
      </c>
      <c r="B7" s="19" t="s">
        <v>833</v>
      </c>
      <c r="C7" s="19" t="s">
        <v>834</v>
      </c>
      <c r="D7" s="20">
        <v>45440</v>
      </c>
      <c r="E7" s="21">
        <v>175000</v>
      </c>
      <c r="F7" s="19" t="s">
        <v>32</v>
      </c>
      <c r="G7" s="19" t="s">
        <v>33</v>
      </c>
      <c r="H7" s="21">
        <v>175000</v>
      </c>
      <c r="I7" s="21">
        <v>78100</v>
      </c>
      <c r="J7" s="22">
        <f t="shared" si="0"/>
        <v>44.628571428571426</v>
      </c>
      <c r="K7" s="21">
        <v>169896</v>
      </c>
      <c r="L7" s="21">
        <f>H7-160180</f>
        <v>14820</v>
      </c>
      <c r="M7" s="21">
        <v>9716</v>
      </c>
      <c r="N7" s="67">
        <f t="shared" si="1"/>
        <v>5.552E-2</v>
      </c>
      <c r="O7" s="23">
        <v>48.57</v>
      </c>
      <c r="P7" s="24">
        <v>118</v>
      </c>
      <c r="Q7" s="25">
        <v>0.13500000000000001</v>
      </c>
      <c r="R7" s="25">
        <v>0.13500000000000001</v>
      </c>
      <c r="S7" s="21">
        <f t="shared" si="2"/>
        <v>305.1266213712168</v>
      </c>
      <c r="T7" s="21">
        <f t="shared" si="3"/>
        <v>109777.77777777777</v>
      </c>
      <c r="U7" s="26">
        <f t="shared" si="4"/>
        <v>2.5201510049994895</v>
      </c>
      <c r="V7" s="25">
        <v>50</v>
      </c>
      <c r="W7" s="25">
        <f t="shared" si="5"/>
        <v>35000</v>
      </c>
      <c r="X7" s="25">
        <f t="shared" si="6"/>
        <v>700</v>
      </c>
      <c r="Y7" s="27" t="s">
        <v>801</v>
      </c>
      <c r="Z7" s="19" t="s">
        <v>35</v>
      </c>
      <c r="AA7" s="19" t="s">
        <v>35</v>
      </c>
      <c r="AB7" s="19" t="s">
        <v>802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802</v>
      </c>
      <c r="B8" s="10" t="s">
        <v>813</v>
      </c>
      <c r="C8" s="10" t="s">
        <v>814</v>
      </c>
      <c r="D8" s="11">
        <v>45061</v>
      </c>
      <c r="E8" s="12">
        <v>185000</v>
      </c>
      <c r="F8" s="10" t="s">
        <v>32</v>
      </c>
      <c r="G8" s="10" t="s">
        <v>33</v>
      </c>
      <c r="H8" s="12">
        <v>185000</v>
      </c>
      <c r="I8" s="12">
        <v>69300</v>
      </c>
      <c r="J8" s="13">
        <f t="shared" si="0"/>
        <v>37.45945945945946</v>
      </c>
      <c r="K8" s="12">
        <v>179093</v>
      </c>
      <c r="L8" s="12">
        <f>H8-168286</f>
        <v>16714</v>
      </c>
      <c r="M8" s="12">
        <v>10807</v>
      </c>
      <c r="N8" s="66">
        <f t="shared" si="1"/>
        <v>5.8416216216216219E-2</v>
      </c>
      <c r="O8" s="14">
        <v>54.03</v>
      </c>
      <c r="P8" s="15">
        <v>146</v>
      </c>
      <c r="Q8" s="16">
        <v>0.16800000000000001</v>
      </c>
      <c r="R8" s="16">
        <v>0.16800000000000001</v>
      </c>
      <c r="S8" s="12">
        <f t="shared" si="2"/>
        <v>309.3466592633722</v>
      </c>
      <c r="T8" s="12">
        <f t="shared" si="3"/>
        <v>99488.095238095237</v>
      </c>
      <c r="U8" s="17">
        <f t="shared" si="4"/>
        <v>2.2839323975687611</v>
      </c>
      <c r="V8" s="16">
        <v>50</v>
      </c>
      <c r="W8" s="16">
        <f t="shared" si="5"/>
        <v>37000</v>
      </c>
      <c r="X8" s="16">
        <f t="shared" si="6"/>
        <v>740</v>
      </c>
      <c r="Y8" s="18" t="s">
        <v>801</v>
      </c>
      <c r="Z8" s="10" t="s">
        <v>35</v>
      </c>
      <c r="AA8" s="10" t="s">
        <v>35</v>
      </c>
      <c r="AB8" s="10" t="s">
        <v>802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4" t="s">
        <v>802</v>
      </c>
      <c r="B9" s="10" t="s">
        <v>847</v>
      </c>
      <c r="C9" s="10" t="s">
        <v>848</v>
      </c>
      <c r="D9" s="11">
        <v>45175</v>
      </c>
      <c r="E9" s="12">
        <v>200000</v>
      </c>
      <c r="F9" s="10" t="s">
        <v>32</v>
      </c>
      <c r="G9" s="10" t="s">
        <v>33</v>
      </c>
      <c r="H9" s="12">
        <v>200000</v>
      </c>
      <c r="I9" s="12">
        <v>72100</v>
      </c>
      <c r="J9" s="13">
        <f t="shared" si="0"/>
        <v>36.049999999999997</v>
      </c>
      <c r="K9" s="12">
        <v>186435</v>
      </c>
      <c r="L9" s="12">
        <f>H9-172898</f>
        <v>27102</v>
      </c>
      <c r="M9" s="12">
        <v>13537</v>
      </c>
      <c r="N9" s="66">
        <f t="shared" si="1"/>
        <v>6.7684999999999995E-2</v>
      </c>
      <c r="O9" s="14">
        <v>67.680000000000007</v>
      </c>
      <c r="P9" s="15">
        <v>114.98</v>
      </c>
      <c r="Q9" s="16">
        <v>0.185</v>
      </c>
      <c r="R9" s="16">
        <v>0.185</v>
      </c>
      <c r="S9" s="12">
        <f t="shared" si="2"/>
        <v>400.44326241134746</v>
      </c>
      <c r="T9" s="12">
        <f t="shared" si="3"/>
        <v>146497.29729729731</v>
      </c>
      <c r="U9" s="17">
        <f t="shared" si="4"/>
        <v>3.3631151812969997</v>
      </c>
      <c r="V9" s="16">
        <v>71.41</v>
      </c>
      <c r="W9" s="16">
        <f t="shared" si="5"/>
        <v>40000</v>
      </c>
      <c r="X9" s="16">
        <f t="shared" si="6"/>
        <v>560.14563786584517</v>
      </c>
      <c r="Y9" s="18" t="s">
        <v>801</v>
      </c>
      <c r="Z9" s="10" t="s">
        <v>35</v>
      </c>
      <c r="AA9" s="10" t="s">
        <v>35</v>
      </c>
      <c r="AB9" s="10" t="s">
        <v>802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4" t="s">
        <v>802</v>
      </c>
      <c r="B10" s="10" t="s">
        <v>839</v>
      </c>
      <c r="C10" s="10" t="s">
        <v>840</v>
      </c>
      <c r="D10" s="11">
        <v>45152</v>
      </c>
      <c r="E10" s="12">
        <v>221500</v>
      </c>
      <c r="F10" s="10" t="s">
        <v>32</v>
      </c>
      <c r="G10" s="10" t="s">
        <v>33</v>
      </c>
      <c r="H10" s="12">
        <v>221500</v>
      </c>
      <c r="I10" s="12">
        <v>79300</v>
      </c>
      <c r="J10" s="13">
        <f t="shared" si="0"/>
        <v>35.801354401805867</v>
      </c>
      <c r="K10" s="12">
        <v>202654</v>
      </c>
      <c r="L10" s="12">
        <f>H10-186637</f>
        <v>34863</v>
      </c>
      <c r="M10" s="12">
        <v>16017</v>
      </c>
      <c r="N10" s="66">
        <f t="shared" si="1"/>
        <v>7.2311512415349888E-2</v>
      </c>
      <c r="O10" s="14">
        <v>80.08</v>
      </c>
      <c r="P10" s="15">
        <v>117.68</v>
      </c>
      <c r="Q10" s="16">
        <v>0.254</v>
      </c>
      <c r="R10" s="16">
        <v>0.222</v>
      </c>
      <c r="S10" s="12">
        <f t="shared" si="2"/>
        <v>435.35214785214788</v>
      </c>
      <c r="T10" s="12">
        <f t="shared" si="3"/>
        <v>137255.90551181103</v>
      </c>
      <c r="U10" s="17">
        <f t="shared" si="4"/>
        <v>3.1509620181774798</v>
      </c>
      <c r="V10" s="16">
        <v>82.98</v>
      </c>
      <c r="W10" s="16">
        <f t="shared" si="5"/>
        <v>44300</v>
      </c>
      <c r="X10" s="16">
        <f t="shared" si="6"/>
        <v>533.86358158592429</v>
      </c>
      <c r="Y10" s="18" t="s">
        <v>801</v>
      </c>
      <c r="Z10" s="10" t="s">
        <v>35</v>
      </c>
      <c r="AA10" s="10" t="s">
        <v>35</v>
      </c>
      <c r="AB10" s="10" t="s">
        <v>802</v>
      </c>
      <c r="AC10" s="10">
        <v>0</v>
      </c>
      <c r="AD10" s="10">
        <v>1</v>
      </c>
      <c r="AE10" s="10" t="s">
        <v>37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4" t="s">
        <v>802</v>
      </c>
      <c r="B11" s="10" t="s">
        <v>853</v>
      </c>
      <c r="C11" s="10" t="s">
        <v>854</v>
      </c>
      <c r="D11" s="11">
        <v>45068</v>
      </c>
      <c r="E11" s="12">
        <v>185000</v>
      </c>
      <c r="F11" s="10" t="s">
        <v>32</v>
      </c>
      <c r="G11" s="10" t="s">
        <v>33</v>
      </c>
      <c r="H11" s="12">
        <v>185000</v>
      </c>
      <c r="I11" s="12">
        <v>66800</v>
      </c>
      <c r="J11" s="13">
        <f t="shared" si="0"/>
        <v>36.108108108108105</v>
      </c>
      <c r="K11" s="12">
        <v>172969</v>
      </c>
      <c r="L11" s="12">
        <f>H11-163804</f>
        <v>21196</v>
      </c>
      <c r="M11" s="12">
        <v>9165</v>
      </c>
      <c r="N11" s="66">
        <f t="shared" si="1"/>
        <v>4.9540540540540544E-2</v>
      </c>
      <c r="O11" s="14">
        <v>45.82</v>
      </c>
      <c r="P11" s="15">
        <v>105</v>
      </c>
      <c r="Q11" s="16">
        <v>0.121</v>
      </c>
      <c r="R11" s="16">
        <v>0.121</v>
      </c>
      <c r="S11" s="12">
        <f t="shared" si="2"/>
        <v>462.59275425578352</v>
      </c>
      <c r="T11" s="12">
        <f t="shared" si="3"/>
        <v>175173.55371900828</v>
      </c>
      <c r="U11" s="17">
        <f t="shared" si="4"/>
        <v>4.0214314444216779</v>
      </c>
      <c r="V11" s="16">
        <v>50</v>
      </c>
      <c r="W11" s="16">
        <f t="shared" si="5"/>
        <v>37000</v>
      </c>
      <c r="X11" s="16">
        <f t="shared" si="6"/>
        <v>740</v>
      </c>
      <c r="Y11" s="18" t="s">
        <v>801</v>
      </c>
      <c r="Z11" s="10" t="s">
        <v>35</v>
      </c>
      <c r="AA11" s="10" t="s">
        <v>35</v>
      </c>
      <c r="AB11" s="10" t="s">
        <v>802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802</v>
      </c>
      <c r="B12" s="19" t="s">
        <v>803</v>
      </c>
      <c r="C12" s="19" t="s">
        <v>804</v>
      </c>
      <c r="D12" s="20">
        <v>45468</v>
      </c>
      <c r="E12" s="21">
        <v>190000</v>
      </c>
      <c r="F12" s="19" t="s">
        <v>32</v>
      </c>
      <c r="G12" s="19" t="s">
        <v>33</v>
      </c>
      <c r="H12" s="21">
        <v>190000</v>
      </c>
      <c r="I12" s="21">
        <v>80300</v>
      </c>
      <c r="J12" s="22">
        <f t="shared" si="0"/>
        <v>42.263157894736842</v>
      </c>
      <c r="K12" s="21">
        <v>174281</v>
      </c>
      <c r="L12" s="21">
        <f>H12-163804</f>
        <v>26196</v>
      </c>
      <c r="M12" s="21">
        <v>10477</v>
      </c>
      <c r="N12" s="67">
        <f t="shared" si="1"/>
        <v>5.5142105263157895E-2</v>
      </c>
      <c r="O12" s="23">
        <v>52.38</v>
      </c>
      <c r="P12" s="24">
        <v>137.19999999999999</v>
      </c>
      <c r="Q12" s="25">
        <v>0.14599999999999999</v>
      </c>
      <c r="R12" s="25">
        <v>0.157</v>
      </c>
      <c r="S12" s="21">
        <f t="shared" si="2"/>
        <v>500.11454753722791</v>
      </c>
      <c r="T12" s="21">
        <f t="shared" si="3"/>
        <v>179424.65753424659</v>
      </c>
      <c r="U12" s="26">
        <f t="shared" si="4"/>
        <v>4.1190233593720524</v>
      </c>
      <c r="V12" s="25">
        <v>50</v>
      </c>
      <c r="W12" s="25">
        <f t="shared" si="5"/>
        <v>38000</v>
      </c>
      <c r="X12" s="25">
        <f t="shared" si="6"/>
        <v>760</v>
      </c>
      <c r="Y12" s="27" t="s">
        <v>801</v>
      </c>
      <c r="Z12" s="19" t="s">
        <v>35</v>
      </c>
      <c r="AA12" s="19" t="s">
        <v>35</v>
      </c>
      <c r="AB12" s="19" t="s">
        <v>802</v>
      </c>
      <c r="AC12" s="19">
        <v>0</v>
      </c>
      <c r="AD12" s="19">
        <v>1</v>
      </c>
      <c r="AE12" s="19" t="s">
        <v>37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4" t="s">
        <v>802</v>
      </c>
      <c r="B13" s="10" t="s">
        <v>821</v>
      </c>
      <c r="C13" s="10" t="s">
        <v>822</v>
      </c>
      <c r="D13" s="11">
        <v>45602</v>
      </c>
      <c r="E13" s="12">
        <v>190000</v>
      </c>
      <c r="F13" s="10" t="s">
        <v>32</v>
      </c>
      <c r="G13" s="10" t="s">
        <v>33</v>
      </c>
      <c r="H13" s="12">
        <v>190000</v>
      </c>
      <c r="I13" s="12">
        <v>80200</v>
      </c>
      <c r="J13" s="13">
        <f t="shared" si="0"/>
        <v>42.21052631578948</v>
      </c>
      <c r="K13" s="12">
        <v>174196</v>
      </c>
      <c r="L13" s="12">
        <f>H13-163804</f>
        <v>26196</v>
      </c>
      <c r="M13" s="12">
        <v>10392</v>
      </c>
      <c r="N13" s="66">
        <f t="shared" si="1"/>
        <v>5.4694736842105261E-2</v>
      </c>
      <c r="O13" s="14">
        <v>51.96</v>
      </c>
      <c r="P13" s="15">
        <v>135</v>
      </c>
      <c r="Q13" s="16">
        <v>0.155</v>
      </c>
      <c r="R13" s="16">
        <v>0.155</v>
      </c>
      <c r="S13" s="12">
        <f t="shared" si="2"/>
        <v>504.15704387990763</v>
      </c>
      <c r="T13" s="12">
        <f t="shared" si="3"/>
        <v>169006.45161290321</v>
      </c>
      <c r="U13" s="17">
        <f t="shared" si="4"/>
        <v>3.8798542610859323</v>
      </c>
      <c r="V13" s="16">
        <v>50</v>
      </c>
      <c r="W13" s="16">
        <f t="shared" si="5"/>
        <v>38000</v>
      </c>
      <c r="X13" s="16">
        <f t="shared" si="6"/>
        <v>760</v>
      </c>
      <c r="Y13" s="18" t="s">
        <v>801</v>
      </c>
      <c r="Z13" s="10" t="s">
        <v>35</v>
      </c>
      <c r="AA13" s="10" t="s">
        <v>35</v>
      </c>
      <c r="AB13" s="10" t="s">
        <v>802</v>
      </c>
      <c r="AC13" s="10">
        <v>0</v>
      </c>
      <c r="AD13" s="10">
        <v>1</v>
      </c>
      <c r="AE13" s="10" t="s">
        <v>37</v>
      </c>
      <c r="AF13" s="10" t="s">
        <v>35</v>
      </c>
      <c r="AG13" s="10" t="s">
        <v>38</v>
      </c>
      <c r="AH13" s="10" t="s">
        <v>92</v>
      </c>
    </row>
    <row r="14" spans="1:34" x14ac:dyDescent="0.3">
      <c r="A14" s="75" t="s">
        <v>802</v>
      </c>
      <c r="B14" s="19" t="s">
        <v>859</v>
      </c>
      <c r="C14" s="19" t="s">
        <v>860</v>
      </c>
      <c r="D14" s="20">
        <v>45317</v>
      </c>
      <c r="E14" s="21">
        <v>185000</v>
      </c>
      <c r="F14" s="19" t="s">
        <v>32</v>
      </c>
      <c r="G14" s="19" t="s">
        <v>33</v>
      </c>
      <c r="H14" s="21">
        <v>185000</v>
      </c>
      <c r="I14" s="21">
        <v>64100</v>
      </c>
      <c r="J14" s="22">
        <f t="shared" si="0"/>
        <v>34.648648648648653</v>
      </c>
      <c r="K14" s="21">
        <v>165460</v>
      </c>
      <c r="L14" s="21">
        <f>H14-153012</f>
        <v>31988</v>
      </c>
      <c r="M14" s="21">
        <v>12448</v>
      </c>
      <c r="N14" s="67">
        <f t="shared" si="1"/>
        <v>6.7286486486486483E-2</v>
      </c>
      <c r="O14" s="23">
        <v>62.23</v>
      </c>
      <c r="P14" s="24">
        <v>119.46</v>
      </c>
      <c r="Q14" s="25">
        <v>0.21</v>
      </c>
      <c r="R14" s="25">
        <v>0.21</v>
      </c>
      <c r="S14" s="21">
        <f t="shared" si="2"/>
        <v>514.02860356741121</v>
      </c>
      <c r="T14" s="21">
        <f t="shared" si="3"/>
        <v>152323.80952380953</v>
      </c>
      <c r="U14" s="26">
        <f t="shared" si="4"/>
        <v>3.4968734968734969</v>
      </c>
      <c r="V14" s="25">
        <v>38</v>
      </c>
      <c r="W14" s="25">
        <f t="shared" si="5"/>
        <v>37000</v>
      </c>
      <c r="X14" s="25">
        <f t="shared" si="6"/>
        <v>973.68421052631584</v>
      </c>
      <c r="Y14" s="27" t="s">
        <v>801</v>
      </c>
      <c r="Z14" s="19" t="s">
        <v>35</v>
      </c>
      <c r="AA14" s="19" t="s">
        <v>35</v>
      </c>
      <c r="AB14" s="19" t="s">
        <v>802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5" t="s">
        <v>802</v>
      </c>
      <c r="B15" s="19" t="s">
        <v>841</v>
      </c>
      <c r="C15" s="19" t="s">
        <v>842</v>
      </c>
      <c r="D15" s="20">
        <v>45415</v>
      </c>
      <c r="E15" s="21">
        <v>215000</v>
      </c>
      <c r="F15" s="19" t="s">
        <v>32</v>
      </c>
      <c r="G15" s="19" t="s">
        <v>33</v>
      </c>
      <c r="H15" s="21">
        <v>215000</v>
      </c>
      <c r="I15" s="21">
        <v>87500</v>
      </c>
      <c r="J15" s="22">
        <f t="shared" si="0"/>
        <v>40.697674418604649</v>
      </c>
      <c r="K15" s="21">
        <v>189873</v>
      </c>
      <c r="L15" s="21">
        <f>H15-174396</f>
        <v>40604</v>
      </c>
      <c r="M15" s="21">
        <v>15477</v>
      </c>
      <c r="N15" s="67">
        <f t="shared" si="1"/>
        <v>7.1986046511627905E-2</v>
      </c>
      <c r="O15" s="23">
        <v>77.38</v>
      </c>
      <c r="P15" s="24">
        <v>101.16</v>
      </c>
      <c r="Q15" s="25">
        <v>0.2</v>
      </c>
      <c r="R15" s="25">
        <v>0.2</v>
      </c>
      <c r="S15" s="21">
        <f t="shared" si="2"/>
        <v>524.73507366244507</v>
      </c>
      <c r="T15" s="21">
        <f t="shared" si="3"/>
        <v>203020</v>
      </c>
      <c r="U15" s="26">
        <f t="shared" si="4"/>
        <v>4.6606978879706151</v>
      </c>
      <c r="V15" s="25">
        <v>86.03</v>
      </c>
      <c r="W15" s="25">
        <f t="shared" si="5"/>
        <v>43000</v>
      </c>
      <c r="X15" s="25">
        <f t="shared" si="6"/>
        <v>499.82564221783099</v>
      </c>
      <c r="Y15" s="27" t="s">
        <v>801</v>
      </c>
      <c r="Z15" s="19" t="s">
        <v>35</v>
      </c>
      <c r="AA15" s="19" t="s">
        <v>35</v>
      </c>
      <c r="AB15" s="19" t="s">
        <v>802</v>
      </c>
      <c r="AC15" s="19">
        <v>0</v>
      </c>
      <c r="AD15" s="19">
        <v>1</v>
      </c>
      <c r="AE15" s="19" t="s">
        <v>42</v>
      </c>
      <c r="AF15" s="19" t="s">
        <v>43</v>
      </c>
      <c r="AG15" s="19" t="s">
        <v>38</v>
      </c>
      <c r="AH15" s="19" t="s">
        <v>92</v>
      </c>
    </row>
    <row r="16" spans="1:34" x14ac:dyDescent="0.3">
      <c r="A16" s="75" t="s">
        <v>802</v>
      </c>
      <c r="B16" s="19" t="s">
        <v>843</v>
      </c>
      <c r="C16" s="19" t="s">
        <v>844</v>
      </c>
      <c r="D16" s="20">
        <v>45390</v>
      </c>
      <c r="E16" s="21">
        <v>180000</v>
      </c>
      <c r="F16" s="19" t="s">
        <v>32</v>
      </c>
      <c r="G16" s="19" t="s">
        <v>33</v>
      </c>
      <c r="H16" s="21">
        <v>180000</v>
      </c>
      <c r="I16" s="21">
        <v>72700</v>
      </c>
      <c r="J16" s="22">
        <f t="shared" si="0"/>
        <v>40.388888888888893</v>
      </c>
      <c r="K16" s="21">
        <v>160742</v>
      </c>
      <c r="L16" s="21">
        <f>H16-149821</f>
        <v>30179</v>
      </c>
      <c r="M16" s="21">
        <v>10921</v>
      </c>
      <c r="N16" s="67">
        <f t="shared" si="1"/>
        <v>6.0672222222222225E-2</v>
      </c>
      <c r="O16" s="23">
        <v>54.6</v>
      </c>
      <c r="P16" s="24">
        <v>127.25</v>
      </c>
      <c r="Q16" s="25">
        <v>0.16400000000000001</v>
      </c>
      <c r="R16" s="25">
        <v>0.16400000000000001</v>
      </c>
      <c r="S16" s="21">
        <f t="shared" si="2"/>
        <v>552.72893772893769</v>
      </c>
      <c r="T16" s="21">
        <f t="shared" si="3"/>
        <v>184018.29268292681</v>
      </c>
      <c r="U16" s="26">
        <f t="shared" si="4"/>
        <v>4.2244787117292653</v>
      </c>
      <c r="V16" s="25">
        <v>50</v>
      </c>
      <c r="W16" s="25">
        <f t="shared" si="5"/>
        <v>36000</v>
      </c>
      <c r="X16" s="25">
        <f t="shared" si="6"/>
        <v>720</v>
      </c>
      <c r="Y16" s="27" t="s">
        <v>801</v>
      </c>
      <c r="Z16" s="19" t="s">
        <v>35</v>
      </c>
      <c r="AA16" s="19" t="s">
        <v>35</v>
      </c>
      <c r="AB16" s="19" t="s">
        <v>802</v>
      </c>
      <c r="AC16" s="19">
        <v>0</v>
      </c>
      <c r="AD16" s="19">
        <v>1</v>
      </c>
      <c r="AE16" s="19" t="s">
        <v>37</v>
      </c>
      <c r="AF16" s="19" t="s">
        <v>43</v>
      </c>
      <c r="AG16" s="19" t="s">
        <v>38</v>
      </c>
      <c r="AH16" s="19" t="s">
        <v>92</v>
      </c>
    </row>
    <row r="17" spans="1:34" x14ac:dyDescent="0.3">
      <c r="A17" s="75" t="s">
        <v>802</v>
      </c>
      <c r="B17" s="19" t="s">
        <v>799</v>
      </c>
      <c r="C17" s="19" t="s">
        <v>800</v>
      </c>
      <c r="D17" s="20">
        <v>45605</v>
      </c>
      <c r="E17" s="21">
        <v>205000</v>
      </c>
      <c r="F17" s="19" t="s">
        <v>32</v>
      </c>
      <c r="G17" s="19" t="s">
        <v>33</v>
      </c>
      <c r="H17" s="21">
        <v>205000</v>
      </c>
      <c r="I17" s="21">
        <v>83900</v>
      </c>
      <c r="J17" s="22">
        <f t="shared" si="0"/>
        <v>40.926829268292678</v>
      </c>
      <c r="K17" s="21">
        <v>182292</v>
      </c>
      <c r="L17" s="21">
        <f>H17-170482</f>
        <v>34518</v>
      </c>
      <c r="M17" s="21">
        <v>11810</v>
      </c>
      <c r="N17" s="67">
        <f t="shared" si="1"/>
        <v>5.7609756097560978E-2</v>
      </c>
      <c r="O17" s="23">
        <v>59.05</v>
      </c>
      <c r="P17" s="24">
        <v>113.38</v>
      </c>
      <c r="Q17" s="25">
        <v>0.17699999999999999</v>
      </c>
      <c r="R17" s="25">
        <v>0.17699999999999999</v>
      </c>
      <c r="S17" s="21">
        <f t="shared" si="2"/>
        <v>584.55546147332768</v>
      </c>
      <c r="T17" s="21">
        <f t="shared" si="3"/>
        <v>195016.94915254239</v>
      </c>
      <c r="U17" s="26">
        <f t="shared" si="4"/>
        <v>4.4769731210409178</v>
      </c>
      <c r="V17" s="25">
        <v>50</v>
      </c>
      <c r="W17" s="25">
        <f t="shared" si="5"/>
        <v>41000</v>
      </c>
      <c r="X17" s="25">
        <f t="shared" si="6"/>
        <v>820</v>
      </c>
      <c r="Y17" s="27" t="s">
        <v>801</v>
      </c>
      <c r="Z17" s="19" t="s">
        <v>35</v>
      </c>
      <c r="AA17" s="19" t="s">
        <v>35</v>
      </c>
      <c r="AB17" s="19" t="s">
        <v>802</v>
      </c>
      <c r="AC17" s="19">
        <v>0</v>
      </c>
      <c r="AD17" s="19">
        <v>1</v>
      </c>
      <c r="AE17" s="19" t="s">
        <v>42</v>
      </c>
      <c r="AF17" s="19" t="s">
        <v>35</v>
      </c>
      <c r="AG17" s="19" t="s">
        <v>38</v>
      </c>
      <c r="AH17" s="19" t="s">
        <v>92</v>
      </c>
    </row>
    <row r="18" spans="1:34" x14ac:dyDescent="0.3">
      <c r="A18" s="75" t="s">
        <v>802</v>
      </c>
      <c r="B18" s="19" t="s">
        <v>851</v>
      </c>
      <c r="C18" s="19" t="s">
        <v>852</v>
      </c>
      <c r="D18" s="20">
        <v>45534</v>
      </c>
      <c r="E18" s="21">
        <v>191000</v>
      </c>
      <c r="F18" s="19" t="s">
        <v>32</v>
      </c>
      <c r="G18" s="19" t="s">
        <v>33</v>
      </c>
      <c r="H18" s="21">
        <v>191000</v>
      </c>
      <c r="I18" s="21">
        <v>78300</v>
      </c>
      <c r="J18" s="22">
        <f t="shared" si="0"/>
        <v>40.994764397905762</v>
      </c>
      <c r="K18" s="21">
        <v>170001</v>
      </c>
      <c r="L18" s="21">
        <f>H18-160411</f>
        <v>30589</v>
      </c>
      <c r="M18" s="21">
        <v>9590</v>
      </c>
      <c r="N18" s="67">
        <f t="shared" si="1"/>
        <v>5.0209424083769633E-2</v>
      </c>
      <c r="O18" s="23">
        <v>47.95</v>
      </c>
      <c r="P18" s="24">
        <v>114.97</v>
      </c>
      <c r="Q18" s="25">
        <v>0.13200000000000001</v>
      </c>
      <c r="R18" s="25">
        <v>0.13200000000000001</v>
      </c>
      <c r="S18" s="21">
        <f t="shared" si="2"/>
        <v>637.93534932221064</v>
      </c>
      <c r="T18" s="21">
        <f t="shared" si="3"/>
        <v>231734.84848484848</v>
      </c>
      <c r="U18" s="26">
        <f t="shared" si="4"/>
        <v>5.3199001029579538</v>
      </c>
      <c r="V18" s="25">
        <v>50</v>
      </c>
      <c r="W18" s="25">
        <f t="shared" si="5"/>
        <v>38200</v>
      </c>
      <c r="X18" s="25">
        <f t="shared" si="6"/>
        <v>764</v>
      </c>
      <c r="Y18" s="27" t="s">
        <v>801</v>
      </c>
      <c r="Z18" s="19" t="s">
        <v>35</v>
      </c>
      <c r="AA18" s="19" t="s">
        <v>35</v>
      </c>
      <c r="AB18" s="19" t="s">
        <v>802</v>
      </c>
      <c r="AC18" s="19">
        <v>0</v>
      </c>
      <c r="AD18" s="19">
        <v>1</v>
      </c>
      <c r="AE18" s="19" t="s">
        <v>37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5" t="s">
        <v>802</v>
      </c>
      <c r="B19" s="19" t="s">
        <v>825</v>
      </c>
      <c r="C19" s="19" t="s">
        <v>826</v>
      </c>
      <c r="D19" s="20">
        <v>45162</v>
      </c>
      <c r="E19" s="21">
        <v>204900</v>
      </c>
      <c r="F19" s="19" t="s">
        <v>32</v>
      </c>
      <c r="G19" s="19" t="s">
        <v>33</v>
      </c>
      <c r="H19" s="21">
        <v>204900</v>
      </c>
      <c r="I19" s="21">
        <v>70400</v>
      </c>
      <c r="J19" s="22">
        <f t="shared" si="0"/>
        <v>34.358223523670084</v>
      </c>
      <c r="K19" s="21">
        <v>181934</v>
      </c>
      <c r="L19" s="21">
        <f>H19-171542</f>
        <v>33358</v>
      </c>
      <c r="M19" s="21">
        <v>10392</v>
      </c>
      <c r="N19" s="67">
        <f t="shared" si="1"/>
        <v>5.0717423133235726E-2</v>
      </c>
      <c r="O19" s="23">
        <v>51.96</v>
      </c>
      <c r="P19" s="24">
        <v>135</v>
      </c>
      <c r="Q19" s="25">
        <v>0.155</v>
      </c>
      <c r="R19" s="25">
        <v>0.155</v>
      </c>
      <c r="S19" s="21">
        <f t="shared" si="2"/>
        <v>641.9938414164742</v>
      </c>
      <c r="T19" s="21">
        <f t="shared" si="3"/>
        <v>215212.90322580645</v>
      </c>
      <c r="U19" s="26">
        <f t="shared" si="4"/>
        <v>4.9406084303445006</v>
      </c>
      <c r="V19" s="25">
        <v>50</v>
      </c>
      <c r="W19" s="25">
        <f t="shared" si="5"/>
        <v>40980</v>
      </c>
      <c r="X19" s="25">
        <f t="shared" si="6"/>
        <v>819.6</v>
      </c>
      <c r="Y19" s="27" t="s">
        <v>801</v>
      </c>
      <c r="Z19" s="19" t="s">
        <v>35</v>
      </c>
      <c r="AA19" s="19" t="s">
        <v>35</v>
      </c>
      <c r="AB19" s="19" t="s">
        <v>802</v>
      </c>
      <c r="AC19" s="19">
        <v>0</v>
      </c>
      <c r="AD19" s="19">
        <v>1</v>
      </c>
      <c r="AE19" s="19" t="s">
        <v>42</v>
      </c>
      <c r="AF19" s="19" t="s">
        <v>43</v>
      </c>
      <c r="AG19" s="19" t="s">
        <v>38</v>
      </c>
      <c r="AH19" s="19" t="s">
        <v>92</v>
      </c>
    </row>
    <row r="20" spans="1:34" x14ac:dyDescent="0.3">
      <c r="A20" s="75" t="s">
        <v>802</v>
      </c>
      <c r="B20" s="19" t="s">
        <v>817</v>
      </c>
      <c r="C20" s="19" t="s">
        <v>818</v>
      </c>
      <c r="D20" s="20">
        <v>45503</v>
      </c>
      <c r="E20" s="21">
        <v>207500</v>
      </c>
      <c r="F20" s="19" t="s">
        <v>32</v>
      </c>
      <c r="G20" s="19" t="s">
        <v>33</v>
      </c>
      <c r="H20" s="21">
        <v>207500</v>
      </c>
      <c r="I20" s="21">
        <v>82300</v>
      </c>
      <c r="J20" s="22">
        <f t="shared" si="0"/>
        <v>39.662650602409641</v>
      </c>
      <c r="K20" s="21">
        <v>182556</v>
      </c>
      <c r="L20" s="21">
        <f>H20-171749</f>
        <v>35751</v>
      </c>
      <c r="M20" s="21">
        <v>10807</v>
      </c>
      <c r="N20" s="67">
        <f t="shared" si="1"/>
        <v>5.208192771084337E-2</v>
      </c>
      <c r="O20" s="23">
        <v>54.03</v>
      </c>
      <c r="P20" s="24">
        <v>146</v>
      </c>
      <c r="Q20" s="25">
        <v>0.16800000000000001</v>
      </c>
      <c r="R20" s="25">
        <v>0.16800000000000001</v>
      </c>
      <c r="S20" s="21">
        <f t="shared" si="2"/>
        <v>661.68795113825649</v>
      </c>
      <c r="T20" s="21">
        <f t="shared" si="3"/>
        <v>212803.57142857142</v>
      </c>
      <c r="U20" s="26">
        <f t="shared" si="4"/>
        <v>4.8852977830250559</v>
      </c>
      <c r="V20" s="25">
        <v>50</v>
      </c>
      <c r="W20" s="25">
        <f t="shared" si="5"/>
        <v>41500</v>
      </c>
      <c r="X20" s="25">
        <f t="shared" si="6"/>
        <v>830</v>
      </c>
      <c r="Y20" s="27" t="s">
        <v>801</v>
      </c>
      <c r="Z20" s="19" t="s">
        <v>35</v>
      </c>
      <c r="AA20" s="19" t="s">
        <v>35</v>
      </c>
      <c r="AB20" s="19" t="s">
        <v>802</v>
      </c>
      <c r="AC20" s="19">
        <v>0</v>
      </c>
      <c r="AD20" s="19">
        <v>1</v>
      </c>
      <c r="AE20" s="19" t="s">
        <v>42</v>
      </c>
      <c r="AF20" s="19" t="s">
        <v>43</v>
      </c>
      <c r="AG20" s="19" t="s">
        <v>38</v>
      </c>
      <c r="AH20" s="19" t="s">
        <v>92</v>
      </c>
    </row>
    <row r="21" spans="1:34" x14ac:dyDescent="0.3">
      <c r="A21" s="74" t="s">
        <v>802</v>
      </c>
      <c r="B21" s="10" t="s">
        <v>831</v>
      </c>
      <c r="C21" s="10" t="s">
        <v>832</v>
      </c>
      <c r="D21" s="11">
        <v>45693</v>
      </c>
      <c r="E21" s="12">
        <v>209900</v>
      </c>
      <c r="F21" s="10" t="s">
        <v>32</v>
      </c>
      <c r="G21" s="10" t="s">
        <v>33</v>
      </c>
      <c r="H21" s="12">
        <v>209900</v>
      </c>
      <c r="I21" s="12">
        <v>85700</v>
      </c>
      <c r="J21" s="13">
        <f t="shared" si="0"/>
        <v>40.828966174368745</v>
      </c>
      <c r="K21" s="12">
        <v>185968</v>
      </c>
      <c r="L21" s="12">
        <f>H21-176252</f>
        <v>33648</v>
      </c>
      <c r="M21" s="12">
        <v>9716</v>
      </c>
      <c r="N21" s="66">
        <f t="shared" si="1"/>
        <v>4.6288708909004286E-2</v>
      </c>
      <c r="O21" s="14">
        <v>48.57</v>
      </c>
      <c r="P21" s="15">
        <v>118</v>
      </c>
      <c r="Q21" s="16">
        <v>0.13500000000000001</v>
      </c>
      <c r="R21" s="16">
        <v>0.13500000000000001</v>
      </c>
      <c r="S21" s="12">
        <f t="shared" si="2"/>
        <v>692.77331686226069</v>
      </c>
      <c r="T21" s="12">
        <f t="shared" si="3"/>
        <v>249244.44444444444</v>
      </c>
      <c r="U21" s="17">
        <f t="shared" si="4"/>
        <v>5.7218651158045093</v>
      </c>
      <c r="V21" s="16">
        <v>50</v>
      </c>
      <c r="W21" s="16">
        <f t="shared" si="5"/>
        <v>41980</v>
      </c>
      <c r="X21" s="16">
        <f t="shared" si="6"/>
        <v>839.6</v>
      </c>
      <c r="Y21" s="18" t="s">
        <v>801</v>
      </c>
      <c r="Z21" s="10" t="s">
        <v>35</v>
      </c>
      <c r="AA21" s="10" t="s">
        <v>35</v>
      </c>
      <c r="AB21" s="10" t="s">
        <v>802</v>
      </c>
      <c r="AC21" s="10">
        <v>0</v>
      </c>
      <c r="AD21" s="10">
        <v>1</v>
      </c>
      <c r="AE21" s="10" t="s">
        <v>42</v>
      </c>
      <c r="AF21" s="10" t="s">
        <v>35</v>
      </c>
      <c r="AG21" s="10" t="s">
        <v>38</v>
      </c>
      <c r="AH21" s="10" t="s">
        <v>92</v>
      </c>
    </row>
    <row r="22" spans="1:34" ht="15" thickBot="1" x14ac:dyDescent="0.35">
      <c r="A22" s="74" t="s">
        <v>802</v>
      </c>
      <c r="B22" s="10" t="s">
        <v>815</v>
      </c>
      <c r="C22" s="10" t="s">
        <v>816</v>
      </c>
      <c r="D22" s="11">
        <v>45450</v>
      </c>
      <c r="E22" s="12">
        <v>205000</v>
      </c>
      <c r="F22" s="10" t="s">
        <v>32</v>
      </c>
      <c r="G22" s="10" t="s">
        <v>33</v>
      </c>
      <c r="H22" s="12">
        <v>205000</v>
      </c>
      <c r="I22" s="12">
        <v>79900</v>
      </c>
      <c r="J22" s="13">
        <f t="shared" si="0"/>
        <v>38.975609756097562</v>
      </c>
      <c r="K22" s="12">
        <v>173564</v>
      </c>
      <c r="L22" s="12">
        <f>H22-162757</f>
        <v>42243</v>
      </c>
      <c r="M22" s="12">
        <v>10807</v>
      </c>
      <c r="N22" s="66">
        <f t="shared" si="1"/>
        <v>5.271707317073171E-2</v>
      </c>
      <c r="O22" s="14">
        <v>54.03</v>
      </c>
      <c r="P22" s="15">
        <v>146</v>
      </c>
      <c r="Q22" s="16">
        <v>0.16800000000000001</v>
      </c>
      <c r="R22" s="16">
        <v>0.16800000000000001</v>
      </c>
      <c r="S22" s="12">
        <f t="shared" si="2"/>
        <v>781.84342032204324</v>
      </c>
      <c r="T22" s="12">
        <f t="shared" si="3"/>
        <v>251446.42857142855</v>
      </c>
      <c r="U22" s="17">
        <f t="shared" si="4"/>
        <v>5.7724157155975329</v>
      </c>
      <c r="V22" s="16">
        <v>50</v>
      </c>
      <c r="W22" s="16">
        <f t="shared" si="5"/>
        <v>41000</v>
      </c>
      <c r="X22" s="16">
        <f t="shared" si="6"/>
        <v>820</v>
      </c>
      <c r="Y22" s="18" t="s">
        <v>801</v>
      </c>
      <c r="Z22" s="10" t="s">
        <v>35</v>
      </c>
      <c r="AA22" s="10" t="s">
        <v>35</v>
      </c>
      <c r="AB22" s="10" t="s">
        <v>802</v>
      </c>
      <c r="AC22" s="10">
        <v>0</v>
      </c>
      <c r="AD22" s="10">
        <v>1</v>
      </c>
      <c r="AE22" s="10" t="s">
        <v>37</v>
      </c>
      <c r="AF22" s="10" t="s">
        <v>43</v>
      </c>
      <c r="AG22" s="10" t="s">
        <v>38</v>
      </c>
      <c r="AH22" s="10" t="s">
        <v>92</v>
      </c>
    </row>
    <row r="23" spans="1:34" ht="15" thickTop="1" x14ac:dyDescent="0.3">
      <c r="A23" s="76"/>
      <c r="B23" s="37"/>
      <c r="C23" s="37"/>
      <c r="D23" s="38" t="s">
        <v>2876</v>
      </c>
      <c r="E23" s="39">
        <f>+SUM(E2:E22)</f>
        <v>4101800</v>
      </c>
      <c r="F23" s="37"/>
      <c r="G23" s="37"/>
      <c r="H23" s="39">
        <f>+SUM(H2:H22)</f>
        <v>4101800</v>
      </c>
      <c r="I23" s="39">
        <f>+SUM(I2:I22)</f>
        <v>1638200</v>
      </c>
      <c r="J23" s="40"/>
      <c r="K23" s="39">
        <f>+SUM(K2:K22)</f>
        <v>3804179</v>
      </c>
      <c r="L23" s="39">
        <f>+SUM(L2:L22)</f>
        <v>532417</v>
      </c>
      <c r="M23" s="39">
        <f>+SUM(M2:M22)</f>
        <v>234796</v>
      </c>
      <c r="N23" s="81">
        <f>AVERAGE(N2:N22)</f>
        <v>5.7331842437893944E-2</v>
      </c>
      <c r="O23" s="41">
        <f>+SUM(O2:O22)</f>
        <v>1173.8800000000001</v>
      </c>
      <c r="P23" s="42"/>
      <c r="Q23" s="43">
        <f>+SUM(Q2:Q22)</f>
        <v>3.4330000000000007</v>
      </c>
      <c r="R23" s="43">
        <f>+SUM(R2:R22)</f>
        <v>3.4120000000000008</v>
      </c>
      <c r="S23" s="39"/>
      <c r="T23" s="39"/>
      <c r="U23" s="44"/>
      <c r="V23" s="43"/>
      <c r="W23" s="82">
        <f>AVERAGE(W2:W22)</f>
        <v>39064.761904761908</v>
      </c>
      <c r="X23" s="83">
        <f>AVERAGE(X2:X22)</f>
        <v>737.55832619228056</v>
      </c>
      <c r="Y23" s="45"/>
      <c r="Z23" s="37"/>
      <c r="AA23" s="37"/>
      <c r="AB23" s="37"/>
      <c r="AC23" s="37"/>
      <c r="AD23" s="37"/>
      <c r="AE23" s="37"/>
      <c r="AF23" s="37"/>
      <c r="AG23" s="37"/>
      <c r="AH23" s="37"/>
    </row>
    <row r="24" spans="1:34" x14ac:dyDescent="0.3">
      <c r="A24" s="77"/>
      <c r="B24" s="28"/>
      <c r="C24" s="28"/>
      <c r="D24" s="29"/>
      <c r="E24" s="30"/>
      <c r="F24" s="28"/>
      <c r="G24" s="28"/>
      <c r="H24" s="30"/>
      <c r="I24" s="30" t="s">
        <v>2877</v>
      </c>
      <c r="J24" s="31">
        <f>I23/H23*100</f>
        <v>39.938563557462572</v>
      </c>
      <c r="K24" s="30"/>
      <c r="L24" s="30"/>
      <c r="M24" s="30" t="s">
        <v>2879</v>
      </c>
      <c r="N24" s="79"/>
      <c r="O24" s="32"/>
      <c r="P24" s="33"/>
      <c r="Q24" s="34" t="s">
        <v>2879</v>
      </c>
      <c r="R24" s="34"/>
      <c r="S24" s="30"/>
      <c r="T24" s="30" t="s">
        <v>2879</v>
      </c>
      <c r="U24" s="35"/>
      <c r="V24" s="34"/>
      <c r="W24" s="63"/>
      <c r="X24" s="68"/>
      <c r="Y24" s="36"/>
      <c r="Z24" s="28"/>
      <c r="AA24" s="28"/>
      <c r="AB24" s="28"/>
      <c r="AC24" s="28"/>
      <c r="AD24" s="28"/>
      <c r="AE24" s="28"/>
      <c r="AF24" s="28"/>
      <c r="AG24" s="28"/>
      <c r="AH24" s="28"/>
    </row>
    <row r="25" spans="1:34" x14ac:dyDescent="0.3">
      <c r="A25" s="78"/>
      <c r="B25" s="46"/>
      <c r="C25" s="46"/>
      <c r="D25" s="47"/>
      <c r="E25" s="48"/>
      <c r="F25" s="46"/>
      <c r="G25" s="46"/>
      <c r="H25" s="48"/>
      <c r="I25" s="48" t="s">
        <v>2878</v>
      </c>
      <c r="J25" s="49">
        <f>STDEV(J2:J22)</f>
        <v>3.5739907641948432</v>
      </c>
      <c r="K25" s="48"/>
      <c r="L25" s="48"/>
      <c r="M25" s="48" t="s">
        <v>2880</v>
      </c>
      <c r="N25" s="80"/>
      <c r="O25" s="54">
        <f>L23/O23</f>
        <v>453.55317408934468</v>
      </c>
      <c r="P25" s="50"/>
      <c r="Q25" s="51" t="s">
        <v>2881</v>
      </c>
      <c r="R25" s="51">
        <f>L23/Q23</f>
        <v>155087.96970579666</v>
      </c>
      <c r="S25" s="48"/>
      <c r="T25" s="48" t="s">
        <v>2882</v>
      </c>
      <c r="U25" s="52">
        <f>L23/Q23/43560</f>
        <v>3.5603298830531829</v>
      </c>
      <c r="V25" s="51"/>
      <c r="W25" s="64"/>
      <c r="X25" s="69"/>
      <c r="Y25" s="53"/>
      <c r="Z25" s="46"/>
      <c r="AA25" s="46"/>
      <c r="AB25" s="46"/>
      <c r="AC25" s="46"/>
      <c r="AD25" s="46"/>
      <c r="AE25" s="46"/>
      <c r="AF25" s="46"/>
      <c r="AG25" s="46"/>
      <c r="AH25" s="46"/>
    </row>
    <row r="26" spans="1:34" x14ac:dyDescent="0.3">
      <c r="E26" s="94" t="s">
        <v>3099</v>
      </c>
      <c r="L26" s="95"/>
    </row>
    <row r="27" spans="1:34" x14ac:dyDescent="0.3">
      <c r="E27" s="383" t="s">
        <v>3163</v>
      </c>
      <c r="F27" s="383"/>
      <c r="G27" s="383"/>
      <c r="H27" s="383"/>
      <c r="I27" s="383"/>
      <c r="J27" s="383"/>
      <c r="K27" s="383"/>
      <c r="L27" s="383"/>
    </row>
    <row r="28" spans="1:34" x14ac:dyDescent="0.3">
      <c r="E28" s="383" t="s">
        <v>3164</v>
      </c>
      <c r="F28" s="383"/>
      <c r="G28" s="383"/>
      <c r="H28" s="383"/>
      <c r="I28" s="383"/>
      <c r="J28" s="383"/>
      <c r="K28" s="383"/>
      <c r="L28" s="383"/>
    </row>
    <row r="29" spans="1:34" x14ac:dyDescent="0.3">
      <c r="E29" s="383" t="s">
        <v>3165</v>
      </c>
      <c r="F29" s="383"/>
      <c r="G29" s="383"/>
      <c r="H29" s="383"/>
      <c r="I29" s="383"/>
      <c r="J29" s="383"/>
      <c r="K29" s="383"/>
      <c r="L29" s="383"/>
    </row>
    <row r="30" spans="1:34" x14ac:dyDescent="0.3">
      <c r="E30" s="383" t="s">
        <v>3166</v>
      </c>
      <c r="F30" s="383"/>
      <c r="G30" s="383"/>
      <c r="H30" s="383"/>
      <c r="I30" s="383"/>
      <c r="J30" s="96"/>
      <c r="K30" s="96"/>
      <c r="L30" s="96"/>
    </row>
    <row r="31" spans="1:34" x14ac:dyDescent="0.3">
      <c r="E31" s="383" t="s">
        <v>3167</v>
      </c>
      <c r="F31" s="383"/>
      <c r="G31" s="383"/>
      <c r="H31" s="383"/>
      <c r="I31" s="383"/>
      <c r="L31" s="95"/>
    </row>
    <row r="32" spans="1:34" x14ac:dyDescent="0.3">
      <c r="E32" s="383" t="s">
        <v>3100</v>
      </c>
      <c r="F32" s="383"/>
      <c r="G32" s="383"/>
      <c r="H32" s="383"/>
      <c r="I32" s="383"/>
      <c r="L32" s="95"/>
    </row>
    <row r="33" spans="1:34" x14ac:dyDescent="0.3">
      <c r="E33" s="96"/>
      <c r="F33" s="96"/>
      <c r="G33" s="96"/>
      <c r="H33" s="96"/>
      <c r="I33" s="96"/>
      <c r="L33" s="95"/>
    </row>
    <row r="34" spans="1:34" x14ac:dyDescent="0.3">
      <c r="A34" s="55" t="s">
        <v>3092</v>
      </c>
      <c r="E34" s="96"/>
      <c r="F34" s="96"/>
      <c r="G34" s="96"/>
      <c r="H34" s="96"/>
      <c r="I34" s="96"/>
      <c r="L34" s="95"/>
    </row>
    <row r="35" spans="1:34" x14ac:dyDescent="0.3">
      <c r="A35" s="74" t="s">
        <v>802</v>
      </c>
      <c r="B35" s="10" t="s">
        <v>829</v>
      </c>
      <c r="C35" s="10" t="s">
        <v>830</v>
      </c>
      <c r="D35" s="11">
        <v>45547</v>
      </c>
      <c r="E35" s="12">
        <v>223000</v>
      </c>
      <c r="F35" s="10" t="s">
        <v>32</v>
      </c>
      <c r="G35" s="10" t="s">
        <v>33</v>
      </c>
      <c r="H35" s="12">
        <v>223000</v>
      </c>
      <c r="I35" s="12">
        <v>78800</v>
      </c>
      <c r="J35" s="13">
        <f>I35/H35*100</f>
        <v>35.336322869955154</v>
      </c>
      <c r="K35" s="12">
        <v>171185</v>
      </c>
      <c r="L35" s="12">
        <f>H35-160744</f>
        <v>62256</v>
      </c>
      <c r="M35" s="12">
        <v>10441</v>
      </c>
      <c r="N35" s="66">
        <f>M35/E35</f>
        <v>4.6820627802690584E-2</v>
      </c>
      <c r="O35" s="14">
        <v>52.2</v>
      </c>
      <c r="P35" s="15">
        <v>136.28</v>
      </c>
      <c r="Q35" s="16">
        <v>0.156</v>
      </c>
      <c r="R35" s="16">
        <v>0.156</v>
      </c>
      <c r="S35" s="12">
        <f>L35/O35</f>
        <v>1192.6436781609195</v>
      </c>
      <c r="T35" s="12">
        <f>L35/Q35</f>
        <v>399076.92307692306</v>
      </c>
      <c r="U35" s="17">
        <f>L35/Q35/43560</f>
        <v>9.1615455251818894</v>
      </c>
      <c r="V35" s="16">
        <v>50</v>
      </c>
      <c r="W35" s="16">
        <f>0.2*E35</f>
        <v>44600</v>
      </c>
      <c r="X35" s="16">
        <f>W35/V35</f>
        <v>892</v>
      </c>
      <c r="Y35" s="18" t="s">
        <v>801</v>
      </c>
      <c r="Z35" s="10" t="s">
        <v>35</v>
      </c>
      <c r="AA35" s="10" t="s">
        <v>35</v>
      </c>
      <c r="AB35" s="10" t="s">
        <v>802</v>
      </c>
      <c r="AC35" s="10">
        <v>0</v>
      </c>
      <c r="AD35" s="10">
        <v>1</v>
      </c>
      <c r="AE35" s="10" t="s">
        <v>37</v>
      </c>
      <c r="AF35" s="10" t="s">
        <v>43</v>
      </c>
      <c r="AG35" s="10" t="s">
        <v>38</v>
      </c>
      <c r="AH35" s="10" t="s">
        <v>92</v>
      </c>
    </row>
    <row r="36" spans="1:34" x14ac:dyDescent="0.3">
      <c r="A36" s="75" t="s">
        <v>802</v>
      </c>
      <c r="B36" s="19" t="s">
        <v>827</v>
      </c>
      <c r="C36" s="19" t="s">
        <v>828</v>
      </c>
      <c r="D36" s="20">
        <v>45386</v>
      </c>
      <c r="E36" s="21">
        <v>233000</v>
      </c>
      <c r="F36" s="19" t="s">
        <v>32</v>
      </c>
      <c r="G36" s="19" t="s">
        <v>33</v>
      </c>
      <c r="H36" s="21">
        <v>233000</v>
      </c>
      <c r="I36" s="21">
        <v>80200</v>
      </c>
      <c r="J36" s="22">
        <f>I36/H36*100</f>
        <v>34.420600858369099</v>
      </c>
      <c r="K36" s="21">
        <v>174196</v>
      </c>
      <c r="L36" s="21">
        <f>H36-163804</f>
        <v>69196</v>
      </c>
      <c r="M36" s="21">
        <v>10392</v>
      </c>
      <c r="N36" s="67">
        <f>M36/E36</f>
        <v>4.460085836909871E-2</v>
      </c>
      <c r="O36" s="23">
        <v>51.96</v>
      </c>
      <c r="P36" s="24">
        <v>135</v>
      </c>
      <c r="Q36" s="25">
        <v>0.155</v>
      </c>
      <c r="R36" s="25">
        <v>0.155</v>
      </c>
      <c r="S36" s="21">
        <f>L36/O36</f>
        <v>1331.7167051578137</v>
      </c>
      <c r="T36" s="21">
        <f>L36/Q36</f>
        <v>446425.80645161291</v>
      </c>
      <c r="U36" s="26">
        <f>L36/Q36/43560</f>
        <v>10.248526318907551</v>
      </c>
      <c r="V36" s="25">
        <v>50</v>
      </c>
      <c r="W36" s="25">
        <f>0.2*E36</f>
        <v>46600</v>
      </c>
      <c r="X36" s="25">
        <f>W36/V36</f>
        <v>932</v>
      </c>
      <c r="Y36" s="27" t="s">
        <v>801</v>
      </c>
      <c r="Z36" s="19" t="s">
        <v>35</v>
      </c>
      <c r="AA36" s="19" t="s">
        <v>35</v>
      </c>
      <c r="AB36" s="19" t="s">
        <v>802</v>
      </c>
      <c r="AC36" s="19">
        <v>0</v>
      </c>
      <c r="AD36" s="19">
        <v>1</v>
      </c>
      <c r="AE36" s="19" t="s">
        <v>37</v>
      </c>
      <c r="AF36" s="19" t="s">
        <v>43</v>
      </c>
      <c r="AG36" s="19" t="s">
        <v>38</v>
      </c>
      <c r="AH36" s="19" t="s">
        <v>92</v>
      </c>
    </row>
    <row r="37" spans="1:34" x14ac:dyDescent="0.3">
      <c r="A37" s="75" t="s">
        <v>802</v>
      </c>
      <c r="B37" s="19" t="s">
        <v>857</v>
      </c>
      <c r="C37" s="19" t="s">
        <v>858</v>
      </c>
      <c r="D37" s="20">
        <v>45406</v>
      </c>
      <c r="E37" s="21">
        <v>220000</v>
      </c>
      <c r="F37" s="19" t="s">
        <v>32</v>
      </c>
      <c r="G37" s="19" t="s">
        <v>33</v>
      </c>
      <c r="H37" s="21">
        <v>220000</v>
      </c>
      <c r="I37" s="21">
        <v>84200</v>
      </c>
      <c r="J37" s="22">
        <f>I37/H37*100</f>
        <v>38.272727272727273</v>
      </c>
      <c r="K37" s="21">
        <v>183156</v>
      </c>
      <c r="L37" s="21">
        <f>H37-172795</f>
        <v>47205</v>
      </c>
      <c r="M37" s="21">
        <v>10361</v>
      </c>
      <c r="N37" s="67">
        <f>M37/E37</f>
        <v>4.7095454545454545E-2</v>
      </c>
      <c r="O37" s="23">
        <v>51.8</v>
      </c>
      <c r="P37" s="24">
        <v>134.18</v>
      </c>
      <c r="Q37" s="25">
        <v>0.154</v>
      </c>
      <c r="R37" s="25">
        <v>0.154</v>
      </c>
      <c r="S37" s="21">
        <f>L37/O37</f>
        <v>911.29343629343634</v>
      </c>
      <c r="T37" s="21">
        <f>L37/Q37</f>
        <v>306525.97402597405</v>
      </c>
      <c r="U37" s="26">
        <f>L37/Q37/43560</f>
        <v>7.0368680905870997</v>
      </c>
      <c r="V37" s="25">
        <v>50</v>
      </c>
      <c r="W37" s="25">
        <f>0.2*E37</f>
        <v>44000</v>
      </c>
      <c r="X37" s="25">
        <f>W37/V37</f>
        <v>880</v>
      </c>
      <c r="Y37" s="27" t="s">
        <v>801</v>
      </c>
      <c r="Z37" s="19" t="s">
        <v>35</v>
      </c>
      <c r="AA37" s="19" t="s">
        <v>35</v>
      </c>
      <c r="AB37" s="19" t="s">
        <v>802</v>
      </c>
      <c r="AC37" s="19">
        <v>0</v>
      </c>
      <c r="AD37" s="19">
        <v>1</v>
      </c>
      <c r="AE37" s="19" t="s">
        <v>42</v>
      </c>
      <c r="AF37" s="19" t="s">
        <v>43</v>
      </c>
      <c r="AG37" s="19" t="s">
        <v>38</v>
      </c>
      <c r="AH37" s="19" t="s">
        <v>92</v>
      </c>
    </row>
    <row r="38" spans="1:34" x14ac:dyDescent="0.3">
      <c r="A38" s="74" t="s">
        <v>802</v>
      </c>
      <c r="B38" s="10" t="s">
        <v>837</v>
      </c>
      <c r="C38" s="10" t="s">
        <v>838</v>
      </c>
      <c r="D38" s="11">
        <v>45447</v>
      </c>
      <c r="E38" s="12">
        <v>205000</v>
      </c>
      <c r="F38" s="10" t="s">
        <v>32</v>
      </c>
      <c r="G38" s="10" t="s">
        <v>33</v>
      </c>
      <c r="H38" s="12">
        <v>205000</v>
      </c>
      <c r="I38" s="12">
        <v>76600</v>
      </c>
      <c r="J38" s="13">
        <f>I38/H38*100</f>
        <v>37.365853658536587</v>
      </c>
      <c r="K38" s="12">
        <v>166656</v>
      </c>
      <c r="L38" s="12">
        <f>H38-156957</f>
        <v>48043</v>
      </c>
      <c r="M38" s="12">
        <v>9699</v>
      </c>
      <c r="N38" s="66">
        <f>M38/E38</f>
        <v>4.7312195121951221E-2</v>
      </c>
      <c r="O38" s="14">
        <v>48.49</v>
      </c>
      <c r="P38" s="15">
        <v>117.58</v>
      </c>
      <c r="Q38" s="16">
        <v>0.13500000000000001</v>
      </c>
      <c r="R38" s="16">
        <v>0.13500000000000001</v>
      </c>
      <c r="S38" s="12">
        <f>L38/O38</f>
        <v>990.7816044545267</v>
      </c>
      <c r="T38" s="12">
        <f>L38/Q38</f>
        <v>355874.07407407404</v>
      </c>
      <c r="U38" s="17">
        <f>L38/Q38/43560</f>
        <v>8.169744583885997</v>
      </c>
      <c r="V38" s="16">
        <v>50</v>
      </c>
      <c r="W38" s="16">
        <f>0.2*E38</f>
        <v>41000</v>
      </c>
      <c r="X38" s="16">
        <f>W38/V38</f>
        <v>820</v>
      </c>
      <c r="Y38" s="18" t="s">
        <v>801</v>
      </c>
      <c r="Z38" s="10" t="s">
        <v>35</v>
      </c>
      <c r="AA38" s="10" t="s">
        <v>35</v>
      </c>
      <c r="AB38" s="10" t="s">
        <v>802</v>
      </c>
      <c r="AC38" s="10">
        <v>0</v>
      </c>
      <c r="AD38" s="10">
        <v>1</v>
      </c>
      <c r="AE38" s="10" t="s">
        <v>42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4" t="s">
        <v>802</v>
      </c>
      <c r="B39" s="10" t="s">
        <v>855</v>
      </c>
      <c r="C39" s="10" t="s">
        <v>856</v>
      </c>
      <c r="D39" s="11">
        <v>45288</v>
      </c>
      <c r="E39" s="12">
        <v>157000</v>
      </c>
      <c r="F39" s="10" t="s">
        <v>32</v>
      </c>
      <c r="G39" s="10" t="s">
        <v>33</v>
      </c>
      <c r="H39" s="12">
        <v>157000</v>
      </c>
      <c r="I39" s="12">
        <v>67500</v>
      </c>
      <c r="J39" s="13">
        <f t="shared" ref="J39:J43" si="7">I39/H39*100</f>
        <v>42.99363057324841</v>
      </c>
      <c r="K39" s="12">
        <v>177957</v>
      </c>
      <c r="L39" s="12">
        <f>H39-167337</f>
        <v>-10337</v>
      </c>
      <c r="M39" s="12">
        <v>10620</v>
      </c>
      <c r="N39" s="66">
        <f t="shared" ref="N39:N43" si="8">M39/E39</f>
        <v>6.7643312101910824E-2</v>
      </c>
      <c r="O39" s="14">
        <v>53.09</v>
      </c>
      <c r="P39" s="15">
        <v>140.97</v>
      </c>
      <c r="Q39" s="16">
        <v>0.16200000000000001</v>
      </c>
      <c r="R39" s="16">
        <v>0.16200000000000001</v>
      </c>
      <c r="S39" s="12">
        <f t="shared" ref="S39:S43" si="9">L39/O39</f>
        <v>-194.70710114899225</v>
      </c>
      <c r="T39" s="12">
        <f t="shared" ref="T39:T43" si="10">L39/Q39</f>
        <v>-63808.641975308637</v>
      </c>
      <c r="U39" s="17">
        <f t="shared" ref="U39:U43" si="11">L39/Q39/43560</f>
        <v>-1.4648448571007493</v>
      </c>
      <c r="V39" s="16">
        <v>50</v>
      </c>
      <c r="W39" s="16">
        <f t="shared" ref="W39:W43" si="12">0.2*E39</f>
        <v>31400</v>
      </c>
      <c r="X39" s="16">
        <f t="shared" ref="X39:X43" si="13">W39/V39</f>
        <v>628</v>
      </c>
      <c r="Y39" s="18" t="s">
        <v>801</v>
      </c>
      <c r="Z39" s="10" t="s">
        <v>35</v>
      </c>
      <c r="AA39" s="10" t="s">
        <v>35</v>
      </c>
      <c r="AB39" s="10" t="s">
        <v>802</v>
      </c>
      <c r="AC39" s="10">
        <v>0</v>
      </c>
      <c r="AD39" s="10">
        <v>1</v>
      </c>
      <c r="AE39" s="10" t="s">
        <v>37</v>
      </c>
      <c r="AF39" s="10" t="s">
        <v>43</v>
      </c>
      <c r="AG39" s="10" t="s">
        <v>38</v>
      </c>
      <c r="AH39" s="10" t="s">
        <v>92</v>
      </c>
    </row>
    <row r="40" spans="1:34" x14ac:dyDescent="0.3">
      <c r="A40" s="74" t="s">
        <v>802</v>
      </c>
      <c r="B40" s="10" t="s">
        <v>807</v>
      </c>
      <c r="C40" s="10" t="s">
        <v>808</v>
      </c>
      <c r="D40" s="11">
        <v>45202</v>
      </c>
      <c r="E40" s="12">
        <v>157000</v>
      </c>
      <c r="F40" s="10" t="s">
        <v>32</v>
      </c>
      <c r="G40" s="10" t="s">
        <v>33</v>
      </c>
      <c r="H40" s="12">
        <v>157000</v>
      </c>
      <c r="I40" s="12">
        <v>67300</v>
      </c>
      <c r="J40" s="13">
        <f t="shared" si="7"/>
        <v>42.866242038216562</v>
      </c>
      <c r="K40" s="12">
        <v>174027</v>
      </c>
      <c r="L40" s="12">
        <f>H40-163652</f>
        <v>-6652</v>
      </c>
      <c r="M40" s="12">
        <v>10375</v>
      </c>
      <c r="N40" s="66">
        <f t="shared" si="8"/>
        <v>6.60828025477707E-2</v>
      </c>
      <c r="O40" s="14">
        <v>51.87</v>
      </c>
      <c r="P40" s="15">
        <v>146</v>
      </c>
      <c r="Q40" s="16">
        <v>0.161</v>
      </c>
      <c r="R40" s="16">
        <v>0.161</v>
      </c>
      <c r="S40" s="12">
        <f t="shared" si="9"/>
        <v>-128.24368613842299</v>
      </c>
      <c r="T40" s="12">
        <f t="shared" si="10"/>
        <v>-41316.770186335401</v>
      </c>
      <c r="U40" s="17">
        <f t="shared" si="11"/>
        <v>-0.94850252953019742</v>
      </c>
      <c r="V40" s="16">
        <v>48</v>
      </c>
      <c r="W40" s="16">
        <f t="shared" si="12"/>
        <v>31400</v>
      </c>
      <c r="X40" s="16">
        <f t="shared" si="13"/>
        <v>654.16666666666663</v>
      </c>
      <c r="Y40" s="18" t="s">
        <v>801</v>
      </c>
      <c r="Z40" s="10" t="s">
        <v>35</v>
      </c>
      <c r="AA40" s="10" t="s">
        <v>35</v>
      </c>
      <c r="AB40" s="10" t="s">
        <v>802</v>
      </c>
      <c r="AC40" s="10">
        <v>0</v>
      </c>
      <c r="AD40" s="10">
        <v>1</v>
      </c>
      <c r="AE40" s="10" t="s">
        <v>42</v>
      </c>
      <c r="AF40" s="10" t="s">
        <v>43</v>
      </c>
      <c r="AG40" s="10" t="s">
        <v>38</v>
      </c>
      <c r="AH40" s="10" t="s">
        <v>92</v>
      </c>
    </row>
    <row r="41" spans="1:34" x14ac:dyDescent="0.3">
      <c r="A41" s="74" t="s">
        <v>802</v>
      </c>
      <c r="B41" s="10" t="s">
        <v>845</v>
      </c>
      <c r="C41" s="10" t="s">
        <v>846</v>
      </c>
      <c r="D41" s="11">
        <v>45460</v>
      </c>
      <c r="E41" s="12">
        <v>160000</v>
      </c>
      <c r="F41" s="10" t="s">
        <v>32</v>
      </c>
      <c r="G41" s="10" t="s">
        <v>33</v>
      </c>
      <c r="H41" s="12">
        <v>160000</v>
      </c>
      <c r="I41" s="12">
        <v>79000</v>
      </c>
      <c r="J41" s="13">
        <f t="shared" si="7"/>
        <v>49.375</v>
      </c>
      <c r="K41" s="12">
        <v>171578</v>
      </c>
      <c r="L41" s="12">
        <f>H41-161780</f>
        <v>-1780</v>
      </c>
      <c r="M41" s="12">
        <v>9798</v>
      </c>
      <c r="N41" s="66">
        <f t="shared" si="8"/>
        <v>6.12375E-2</v>
      </c>
      <c r="O41" s="14">
        <v>48.98</v>
      </c>
      <c r="P41" s="15">
        <v>120</v>
      </c>
      <c r="Q41" s="16">
        <v>0.13800000000000001</v>
      </c>
      <c r="R41" s="16">
        <v>0.13800000000000001</v>
      </c>
      <c r="S41" s="12">
        <f t="shared" si="9"/>
        <v>-36.341363821968152</v>
      </c>
      <c r="T41" s="12">
        <f t="shared" si="10"/>
        <v>-12898.55072463768</v>
      </c>
      <c r="U41" s="17">
        <f t="shared" si="11"/>
        <v>-0.29610997990444626</v>
      </c>
      <c r="V41" s="16">
        <v>50</v>
      </c>
      <c r="W41" s="16">
        <f t="shared" si="12"/>
        <v>32000</v>
      </c>
      <c r="X41" s="16">
        <f t="shared" si="13"/>
        <v>640</v>
      </c>
      <c r="Y41" s="18" t="s">
        <v>801</v>
      </c>
      <c r="Z41" s="10" t="s">
        <v>35</v>
      </c>
      <c r="AA41" s="10" t="s">
        <v>35</v>
      </c>
      <c r="AB41" s="10" t="s">
        <v>802</v>
      </c>
      <c r="AC41" s="10">
        <v>0</v>
      </c>
      <c r="AD41" s="10">
        <v>1</v>
      </c>
      <c r="AE41" s="10" t="s">
        <v>37</v>
      </c>
      <c r="AF41" s="10" t="s">
        <v>43</v>
      </c>
      <c r="AG41" s="10" t="s">
        <v>38</v>
      </c>
      <c r="AH41" s="10" t="s">
        <v>92</v>
      </c>
    </row>
    <row r="42" spans="1:34" x14ac:dyDescent="0.3">
      <c r="A42" s="75" t="s">
        <v>802</v>
      </c>
      <c r="B42" s="19" t="s">
        <v>809</v>
      </c>
      <c r="C42" s="19" t="s">
        <v>810</v>
      </c>
      <c r="D42" s="20">
        <v>45448</v>
      </c>
      <c r="E42" s="21">
        <v>180000</v>
      </c>
      <c r="F42" s="19" t="s">
        <v>32</v>
      </c>
      <c r="G42" s="19" t="s">
        <v>33</v>
      </c>
      <c r="H42" s="21">
        <v>180000</v>
      </c>
      <c r="I42" s="21">
        <v>87500</v>
      </c>
      <c r="J42" s="22">
        <f t="shared" si="7"/>
        <v>48.611111111111107</v>
      </c>
      <c r="K42" s="21">
        <v>189591</v>
      </c>
      <c r="L42" s="21">
        <f>H42-178784</f>
        <v>1216</v>
      </c>
      <c r="M42" s="21">
        <v>10807</v>
      </c>
      <c r="N42" s="67">
        <f t="shared" si="8"/>
        <v>6.0038888888888892E-2</v>
      </c>
      <c r="O42" s="23">
        <v>54.03</v>
      </c>
      <c r="P42" s="24">
        <v>146</v>
      </c>
      <c r="Q42" s="25">
        <v>0.16800000000000001</v>
      </c>
      <c r="R42" s="25">
        <v>0.16800000000000001</v>
      </c>
      <c r="S42" s="21">
        <f t="shared" si="9"/>
        <v>22.506015176753653</v>
      </c>
      <c r="T42" s="21">
        <f t="shared" si="10"/>
        <v>7238.0952380952376</v>
      </c>
      <c r="U42" s="26">
        <f t="shared" si="11"/>
        <v>0.16616380252743887</v>
      </c>
      <c r="V42" s="25">
        <v>50</v>
      </c>
      <c r="W42" s="25">
        <f t="shared" si="12"/>
        <v>36000</v>
      </c>
      <c r="X42" s="25">
        <f t="shared" si="13"/>
        <v>720</v>
      </c>
      <c r="Y42" s="27" t="s">
        <v>801</v>
      </c>
      <c r="Z42" s="19" t="s">
        <v>35</v>
      </c>
      <c r="AA42" s="19" t="s">
        <v>35</v>
      </c>
      <c r="AB42" s="19" t="s">
        <v>802</v>
      </c>
      <c r="AC42" s="19">
        <v>0</v>
      </c>
      <c r="AD42" s="19">
        <v>1</v>
      </c>
      <c r="AE42" s="19" t="s">
        <v>42</v>
      </c>
      <c r="AF42" s="19" t="s">
        <v>43</v>
      </c>
      <c r="AG42" s="19" t="s">
        <v>38</v>
      </c>
      <c r="AH42" s="19" t="s">
        <v>92</v>
      </c>
    </row>
    <row r="43" spans="1:34" x14ac:dyDescent="0.3">
      <c r="A43" s="75" t="s">
        <v>802</v>
      </c>
      <c r="B43" s="19" t="s">
        <v>849</v>
      </c>
      <c r="C43" s="19" t="s">
        <v>850</v>
      </c>
      <c r="D43" s="20">
        <v>45681</v>
      </c>
      <c r="E43" s="21">
        <v>185000</v>
      </c>
      <c r="F43" s="19" t="s">
        <v>32</v>
      </c>
      <c r="G43" s="19" t="s">
        <v>33</v>
      </c>
      <c r="H43" s="21">
        <v>185000</v>
      </c>
      <c r="I43" s="21">
        <v>89100</v>
      </c>
      <c r="J43" s="22">
        <f t="shared" si="7"/>
        <v>48.162162162162161</v>
      </c>
      <c r="K43" s="21">
        <v>192966</v>
      </c>
      <c r="L43" s="21">
        <f>H43-178508</f>
        <v>6492</v>
      </c>
      <c r="M43" s="21">
        <v>14458</v>
      </c>
      <c r="N43" s="67">
        <f t="shared" si="8"/>
        <v>7.8151351351351345E-2</v>
      </c>
      <c r="O43" s="23">
        <v>72.28</v>
      </c>
      <c r="P43" s="24">
        <v>114.98</v>
      </c>
      <c r="Q43" s="25">
        <v>0.19900000000000001</v>
      </c>
      <c r="R43" s="25">
        <v>0.19900000000000001</v>
      </c>
      <c r="S43" s="21">
        <f t="shared" si="9"/>
        <v>89.817376867736584</v>
      </c>
      <c r="T43" s="21">
        <f t="shared" si="10"/>
        <v>32623.115577889446</v>
      </c>
      <c r="U43" s="26">
        <f t="shared" si="11"/>
        <v>0.74892368176973012</v>
      </c>
      <c r="V43" s="25">
        <v>75.11</v>
      </c>
      <c r="W43" s="25">
        <f t="shared" si="12"/>
        <v>37000</v>
      </c>
      <c r="X43" s="25">
        <f t="shared" si="13"/>
        <v>492.61083743842363</v>
      </c>
      <c r="Y43" s="27" t="s">
        <v>801</v>
      </c>
      <c r="Z43" s="19" t="s">
        <v>35</v>
      </c>
      <c r="AA43" s="19" t="s">
        <v>35</v>
      </c>
      <c r="AB43" s="19" t="s">
        <v>802</v>
      </c>
      <c r="AC43" s="19">
        <v>0</v>
      </c>
      <c r="AD43" s="19">
        <v>1</v>
      </c>
      <c r="AE43" s="19" t="s">
        <v>42</v>
      </c>
      <c r="AF43" s="19" t="s">
        <v>35</v>
      </c>
      <c r="AG43" s="19" t="s">
        <v>38</v>
      </c>
      <c r="AH43" s="19" t="s">
        <v>92</v>
      </c>
    </row>
  </sheetData>
  <sortState xmlns:xlrd2="http://schemas.microsoft.com/office/spreadsheetml/2017/richdata2" ref="A2:AH31">
    <sortCondition ref="S2:S31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rgb="FF00B050"/>
  </sheetPr>
  <dimension ref="A1:AH21"/>
  <sheetViews>
    <sheetView workbookViewId="0">
      <selection activeCell="E11" sqref="E11:L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942</v>
      </c>
      <c r="B2" s="10" t="s">
        <v>939</v>
      </c>
      <c r="C2" s="10" t="s">
        <v>940</v>
      </c>
      <c r="D2" s="11">
        <v>45019</v>
      </c>
      <c r="E2" s="12">
        <v>155000</v>
      </c>
      <c r="F2" s="10" t="s">
        <v>32</v>
      </c>
      <c r="G2" s="10" t="s">
        <v>33</v>
      </c>
      <c r="H2" s="12">
        <v>155000</v>
      </c>
      <c r="I2" s="12">
        <v>70000</v>
      </c>
      <c r="J2" s="13">
        <f t="shared" ref="J2:J7" si="0">I2/H2*100</f>
        <v>45.161290322580641</v>
      </c>
      <c r="K2" s="12">
        <v>167662</v>
      </c>
      <c r="L2" s="12">
        <f>H2-161144</f>
        <v>-6144</v>
      </c>
      <c r="M2" s="12">
        <v>6518</v>
      </c>
      <c r="N2" s="66">
        <f t="shared" ref="N2:N7" si="1">M2/E2</f>
        <v>4.2051612903225809E-2</v>
      </c>
      <c r="O2" s="14">
        <v>46.55</v>
      </c>
      <c r="P2" s="15">
        <v>104.04</v>
      </c>
      <c r="Q2" s="16">
        <v>0.11899999999999999</v>
      </c>
      <c r="R2" s="16">
        <v>0.11899999999999999</v>
      </c>
      <c r="S2" s="12">
        <f t="shared" ref="S2:S7" si="2">L2/O2</f>
        <v>-131.98711063372718</v>
      </c>
      <c r="T2" s="12">
        <f t="shared" ref="T2:T7" si="3">L2/Q2</f>
        <v>-51630.252100840342</v>
      </c>
      <c r="U2" s="17">
        <f t="shared" ref="U2:U7" si="4">L2/Q2/43560</f>
        <v>-1.1852674954279234</v>
      </c>
      <c r="V2" s="16">
        <v>50</v>
      </c>
      <c r="W2" s="16">
        <f t="shared" ref="W2:W7" si="5">0.2*E2</f>
        <v>31000</v>
      </c>
      <c r="X2" s="16">
        <f t="shared" ref="X2:X7" si="6">W2/V2</f>
        <v>620</v>
      </c>
      <c r="Y2" s="18" t="s">
        <v>941</v>
      </c>
      <c r="Z2" s="10" t="s">
        <v>35</v>
      </c>
      <c r="AA2" s="10" t="s">
        <v>35</v>
      </c>
      <c r="AB2" s="10" t="s">
        <v>942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942</v>
      </c>
      <c r="B3" s="19" t="s">
        <v>953</v>
      </c>
      <c r="C3" s="19" t="s">
        <v>954</v>
      </c>
      <c r="D3" s="20">
        <v>45084</v>
      </c>
      <c r="E3" s="21">
        <v>172000</v>
      </c>
      <c r="F3" s="19" t="s">
        <v>32</v>
      </c>
      <c r="G3" s="19" t="s">
        <v>33</v>
      </c>
      <c r="H3" s="21">
        <v>172000</v>
      </c>
      <c r="I3" s="21">
        <v>66700</v>
      </c>
      <c r="J3" s="22">
        <f t="shared" si="0"/>
        <v>38.779069767441861</v>
      </c>
      <c r="K3" s="21">
        <v>159162</v>
      </c>
      <c r="L3" s="21">
        <f>H3-150761</f>
        <v>21239</v>
      </c>
      <c r="M3" s="21">
        <v>8401</v>
      </c>
      <c r="N3" s="67">
        <f t="shared" si="1"/>
        <v>4.8843023255813953E-2</v>
      </c>
      <c r="O3" s="23">
        <v>60.01</v>
      </c>
      <c r="P3" s="24">
        <v>120</v>
      </c>
      <c r="Q3" s="25">
        <v>0.16500000000000001</v>
      </c>
      <c r="R3" s="25">
        <v>0.16500000000000001</v>
      </c>
      <c r="S3" s="21">
        <f t="shared" si="2"/>
        <v>353.92434594234294</v>
      </c>
      <c r="T3" s="21">
        <f t="shared" si="3"/>
        <v>128721.21212121211</v>
      </c>
      <c r="U3" s="26">
        <f t="shared" si="4"/>
        <v>2.9550324178423351</v>
      </c>
      <c r="V3" s="25">
        <v>60</v>
      </c>
      <c r="W3" s="25">
        <f t="shared" si="5"/>
        <v>34400</v>
      </c>
      <c r="X3" s="25">
        <f t="shared" si="6"/>
        <v>573.33333333333337</v>
      </c>
      <c r="Y3" s="27" t="s">
        <v>941</v>
      </c>
      <c r="Z3" s="19" t="s">
        <v>35</v>
      </c>
      <c r="AA3" s="19" t="s">
        <v>35</v>
      </c>
      <c r="AB3" s="19" t="s">
        <v>942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942</v>
      </c>
      <c r="B4" s="10" t="s">
        <v>943</v>
      </c>
      <c r="C4" s="10" t="s">
        <v>944</v>
      </c>
      <c r="D4" s="11">
        <v>45552</v>
      </c>
      <c r="E4" s="12">
        <v>186000</v>
      </c>
      <c r="F4" s="10" t="s">
        <v>32</v>
      </c>
      <c r="G4" s="10" t="s">
        <v>33</v>
      </c>
      <c r="H4" s="12">
        <v>186000</v>
      </c>
      <c r="I4" s="12">
        <v>77400</v>
      </c>
      <c r="J4" s="13">
        <f t="shared" si="0"/>
        <v>41.612903225806456</v>
      </c>
      <c r="K4" s="12">
        <v>169275</v>
      </c>
      <c r="L4" s="12">
        <f>H4-160885</f>
        <v>25115</v>
      </c>
      <c r="M4" s="12">
        <v>8390</v>
      </c>
      <c r="N4" s="66">
        <f t="shared" si="1"/>
        <v>4.5107526881720428E-2</v>
      </c>
      <c r="O4" s="14">
        <v>59.92</v>
      </c>
      <c r="P4" s="15">
        <v>102</v>
      </c>
      <c r="Q4" s="16">
        <v>0.152</v>
      </c>
      <c r="R4" s="16">
        <v>0.152</v>
      </c>
      <c r="S4" s="12">
        <f t="shared" si="2"/>
        <v>419.1421895861148</v>
      </c>
      <c r="T4" s="12">
        <f t="shared" si="3"/>
        <v>165230.26315789475</v>
      </c>
      <c r="U4" s="17">
        <f t="shared" si="4"/>
        <v>3.7931649026146634</v>
      </c>
      <c r="V4" s="16">
        <v>65</v>
      </c>
      <c r="W4" s="16">
        <f t="shared" si="5"/>
        <v>37200</v>
      </c>
      <c r="X4" s="16">
        <f t="shared" si="6"/>
        <v>572.30769230769226</v>
      </c>
      <c r="Y4" s="18" t="s">
        <v>941</v>
      </c>
      <c r="Z4" s="10" t="s">
        <v>35</v>
      </c>
      <c r="AA4" s="10" t="s">
        <v>35</v>
      </c>
      <c r="AB4" s="10" t="s">
        <v>942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942</v>
      </c>
      <c r="B5" s="19" t="s">
        <v>945</v>
      </c>
      <c r="C5" s="19" t="s">
        <v>946</v>
      </c>
      <c r="D5" s="20">
        <v>45252</v>
      </c>
      <c r="E5" s="21">
        <v>194900</v>
      </c>
      <c r="F5" s="19" t="s">
        <v>32</v>
      </c>
      <c r="G5" s="19" t="s">
        <v>33</v>
      </c>
      <c r="H5" s="21">
        <v>194900</v>
      </c>
      <c r="I5" s="21">
        <v>73600</v>
      </c>
      <c r="J5" s="22">
        <f t="shared" si="0"/>
        <v>37.762955361723961</v>
      </c>
      <c r="K5" s="21">
        <v>178691</v>
      </c>
      <c r="L5" s="21">
        <f>H5-172108</f>
        <v>22792</v>
      </c>
      <c r="M5" s="21">
        <v>6583</v>
      </c>
      <c r="N5" s="67">
        <f t="shared" si="1"/>
        <v>3.3776295536172396E-2</v>
      </c>
      <c r="O5" s="23">
        <v>47.01</v>
      </c>
      <c r="P5" s="24">
        <v>102</v>
      </c>
      <c r="Q5" s="25">
        <v>0.11899999999999999</v>
      </c>
      <c r="R5" s="25">
        <v>0.11899999999999999</v>
      </c>
      <c r="S5" s="21">
        <f t="shared" si="2"/>
        <v>484.83301425228677</v>
      </c>
      <c r="T5" s="21">
        <f t="shared" si="3"/>
        <v>191529.4117647059</v>
      </c>
      <c r="U5" s="26">
        <f t="shared" si="4"/>
        <v>4.3969102792632206</v>
      </c>
      <c r="V5" s="25">
        <v>51</v>
      </c>
      <c r="W5" s="25">
        <f t="shared" si="5"/>
        <v>38980</v>
      </c>
      <c r="X5" s="25">
        <f t="shared" si="6"/>
        <v>764.31372549019613</v>
      </c>
      <c r="Y5" s="27" t="s">
        <v>941</v>
      </c>
      <c r="Z5" s="19" t="s">
        <v>35</v>
      </c>
      <c r="AA5" s="19" t="s">
        <v>35</v>
      </c>
      <c r="AB5" s="19" t="s">
        <v>942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942</v>
      </c>
      <c r="B6" s="10" t="s">
        <v>949</v>
      </c>
      <c r="C6" s="10" t="s">
        <v>950</v>
      </c>
      <c r="D6" s="11">
        <v>45177</v>
      </c>
      <c r="E6" s="12">
        <v>176000</v>
      </c>
      <c r="F6" s="10" t="s">
        <v>32</v>
      </c>
      <c r="G6" s="10" t="s">
        <v>33</v>
      </c>
      <c r="H6" s="12">
        <v>176000</v>
      </c>
      <c r="I6" s="12">
        <v>59000</v>
      </c>
      <c r="J6" s="13">
        <f t="shared" si="0"/>
        <v>33.522727272727273</v>
      </c>
      <c r="K6" s="12">
        <v>143593</v>
      </c>
      <c r="L6" s="12">
        <f>H6-137010</f>
        <v>38990</v>
      </c>
      <c r="M6" s="12">
        <v>6583</v>
      </c>
      <c r="N6" s="66">
        <f t="shared" si="1"/>
        <v>3.7403409090909091E-2</v>
      </c>
      <c r="O6" s="14">
        <v>47.01</v>
      </c>
      <c r="P6" s="15">
        <v>102</v>
      </c>
      <c r="Q6" s="16">
        <v>0.11899999999999999</v>
      </c>
      <c r="R6" s="16">
        <v>0.11899999999999999</v>
      </c>
      <c r="S6" s="12">
        <f t="shared" si="2"/>
        <v>829.39800042544141</v>
      </c>
      <c r="T6" s="12">
        <f t="shared" si="3"/>
        <v>327647.0588235294</v>
      </c>
      <c r="U6" s="17">
        <f t="shared" si="4"/>
        <v>7.5217414789607302</v>
      </c>
      <c r="V6" s="16">
        <v>51</v>
      </c>
      <c r="W6" s="16">
        <f t="shared" si="5"/>
        <v>35200</v>
      </c>
      <c r="X6" s="16">
        <f t="shared" si="6"/>
        <v>690.1960784313726</v>
      </c>
      <c r="Y6" s="18" t="s">
        <v>941</v>
      </c>
      <c r="Z6" s="10" t="s">
        <v>35</v>
      </c>
      <c r="AA6" s="10" t="s">
        <v>35</v>
      </c>
      <c r="AB6" s="10" t="s">
        <v>942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ht="15" thickBot="1" x14ac:dyDescent="0.35">
      <c r="A7" s="74" t="s">
        <v>942</v>
      </c>
      <c r="B7" s="10" t="s">
        <v>951</v>
      </c>
      <c r="C7" s="10" t="s">
        <v>952</v>
      </c>
      <c r="D7" s="11">
        <v>45197</v>
      </c>
      <c r="E7" s="12">
        <v>235050</v>
      </c>
      <c r="F7" s="10" t="s">
        <v>32</v>
      </c>
      <c r="G7" s="10" t="s">
        <v>33</v>
      </c>
      <c r="H7" s="12">
        <v>235050</v>
      </c>
      <c r="I7" s="12">
        <v>75100</v>
      </c>
      <c r="J7" s="13">
        <f t="shared" si="0"/>
        <v>31.950648798128057</v>
      </c>
      <c r="K7" s="12">
        <v>183350</v>
      </c>
      <c r="L7" s="12">
        <f>H7-176587</f>
        <v>58463</v>
      </c>
      <c r="M7" s="12">
        <v>6763</v>
      </c>
      <c r="N7" s="66">
        <f t="shared" si="1"/>
        <v>2.8772601574133163E-2</v>
      </c>
      <c r="O7" s="14">
        <v>48.3</v>
      </c>
      <c r="P7" s="15">
        <v>112</v>
      </c>
      <c r="Q7" s="16">
        <v>0.129</v>
      </c>
      <c r="R7" s="16">
        <v>0.129</v>
      </c>
      <c r="S7" s="12">
        <f t="shared" si="2"/>
        <v>1210.4140786749483</v>
      </c>
      <c r="T7" s="12">
        <f t="shared" si="3"/>
        <v>453201.55038759689</v>
      </c>
      <c r="U7" s="17">
        <f t="shared" si="4"/>
        <v>10.404075996042168</v>
      </c>
      <c r="V7" s="16">
        <v>50</v>
      </c>
      <c r="W7" s="16">
        <f t="shared" si="5"/>
        <v>47010</v>
      </c>
      <c r="X7" s="16">
        <f t="shared" si="6"/>
        <v>940.2</v>
      </c>
      <c r="Y7" s="18" t="s">
        <v>941</v>
      </c>
      <c r="Z7" s="10" t="s">
        <v>35</v>
      </c>
      <c r="AA7" s="10" t="s">
        <v>35</v>
      </c>
      <c r="AB7" s="10" t="s">
        <v>942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ht="15" thickTop="1" x14ac:dyDescent="0.3">
      <c r="A8" s="76"/>
      <c r="B8" s="37"/>
      <c r="C8" s="37"/>
      <c r="D8" s="38" t="s">
        <v>2876</v>
      </c>
      <c r="E8" s="39">
        <f>+SUM(E2:E7)</f>
        <v>1118950</v>
      </c>
      <c r="F8" s="37"/>
      <c r="G8" s="37"/>
      <c r="H8" s="39">
        <f>+SUM(H2:H7)</f>
        <v>1118950</v>
      </c>
      <c r="I8" s="39">
        <f>+SUM(I2:I7)</f>
        <v>421800</v>
      </c>
      <c r="J8" s="40"/>
      <c r="K8" s="39">
        <f>+SUM(K2:K7)</f>
        <v>1001733</v>
      </c>
      <c r="L8" s="39">
        <f>+SUM(L2:L7)</f>
        <v>160455</v>
      </c>
      <c r="M8" s="39">
        <f>+SUM(M2:M7)</f>
        <v>43238</v>
      </c>
      <c r="N8" s="81">
        <f>AVERAGE(N2:N7)</f>
        <v>3.9325744873662472E-2</v>
      </c>
      <c r="O8" s="41">
        <f>+SUM(O2:O7)</f>
        <v>308.8</v>
      </c>
      <c r="P8" s="42"/>
      <c r="Q8" s="43">
        <f>+SUM(Q2:Q7)</f>
        <v>0.80300000000000005</v>
      </c>
      <c r="R8" s="43">
        <f>+SUM(R2:R7)</f>
        <v>0.80300000000000005</v>
      </c>
      <c r="S8" s="39"/>
      <c r="T8" s="39"/>
      <c r="U8" s="44"/>
      <c r="V8" s="43"/>
      <c r="W8" s="82">
        <f>AVERAGE(W2:W7)</f>
        <v>37298.333333333336</v>
      </c>
      <c r="X8" s="83">
        <f>AVERAGE(X2:X7)</f>
        <v>693.39180492709909</v>
      </c>
      <c r="Y8" s="45"/>
      <c r="Z8" s="37"/>
      <c r="AA8" s="37"/>
      <c r="AB8" s="37"/>
      <c r="AC8" s="37"/>
      <c r="AD8" s="37"/>
      <c r="AE8" s="37"/>
      <c r="AF8" s="37"/>
      <c r="AG8" s="37"/>
      <c r="AH8" s="37"/>
    </row>
    <row r="9" spans="1:34" x14ac:dyDescent="0.3">
      <c r="A9" s="77"/>
      <c r="B9" s="28"/>
      <c r="C9" s="28"/>
      <c r="D9" s="29"/>
      <c r="E9" s="30"/>
      <c r="F9" s="28"/>
      <c r="G9" s="28"/>
      <c r="H9" s="30"/>
      <c r="I9" s="30" t="s">
        <v>2877</v>
      </c>
      <c r="J9" s="31">
        <f>I8/H8*100</f>
        <v>37.696054336654896</v>
      </c>
      <c r="K9" s="30"/>
      <c r="L9" s="30"/>
      <c r="M9" s="30" t="s">
        <v>2879</v>
      </c>
      <c r="N9" s="79"/>
      <c r="O9" s="32"/>
      <c r="P9" s="33"/>
      <c r="Q9" s="34" t="s">
        <v>2879</v>
      </c>
      <c r="R9" s="34"/>
      <c r="S9" s="30"/>
      <c r="T9" s="30" t="s">
        <v>2879</v>
      </c>
      <c r="U9" s="35"/>
      <c r="V9" s="34"/>
      <c r="W9" s="63"/>
      <c r="X9" s="68"/>
      <c r="Y9" s="36"/>
      <c r="Z9" s="28"/>
      <c r="AA9" s="28"/>
      <c r="AB9" s="28"/>
      <c r="AC9" s="28"/>
      <c r="AD9" s="28"/>
      <c r="AE9" s="28"/>
      <c r="AF9" s="28"/>
      <c r="AG9" s="28"/>
      <c r="AH9" s="28"/>
    </row>
    <row r="10" spans="1:34" x14ac:dyDescent="0.3">
      <c r="A10" s="78"/>
      <c r="B10" s="46"/>
      <c r="C10" s="46"/>
      <c r="D10" s="47"/>
      <c r="E10" s="48"/>
      <c r="F10" s="46"/>
      <c r="G10" s="46"/>
      <c r="H10" s="48"/>
      <c r="I10" s="48" t="s">
        <v>2878</v>
      </c>
      <c r="J10" s="49">
        <f>STDEV(J2:J7)</f>
        <v>4.9302535376304899</v>
      </c>
      <c r="K10" s="48"/>
      <c r="L10" s="48"/>
      <c r="M10" s="48" t="s">
        <v>2880</v>
      </c>
      <c r="N10" s="80"/>
      <c r="O10" s="54">
        <f>L8/O8</f>
        <v>519.60816062176161</v>
      </c>
      <c r="P10" s="50"/>
      <c r="Q10" s="51" t="s">
        <v>2881</v>
      </c>
      <c r="R10" s="51">
        <f>L8/Q8</f>
        <v>199819.42714819426</v>
      </c>
      <c r="S10" s="48"/>
      <c r="T10" s="48" t="s">
        <v>2882</v>
      </c>
      <c r="U10" s="52">
        <f>L8/Q8/43560</f>
        <v>4.5872228454590047</v>
      </c>
      <c r="V10" s="51"/>
      <c r="W10" s="64"/>
      <c r="X10" s="69"/>
      <c r="Y10" s="53"/>
      <c r="Z10" s="46"/>
      <c r="AA10" s="46"/>
      <c r="AB10" s="46"/>
      <c r="AC10" s="46"/>
      <c r="AD10" s="46"/>
      <c r="AE10" s="46"/>
      <c r="AF10" s="46"/>
      <c r="AG10" s="46"/>
      <c r="AH10" s="46"/>
    </row>
    <row r="11" spans="1:34" x14ac:dyDescent="0.3">
      <c r="E11" s="94" t="s">
        <v>3099</v>
      </c>
      <c r="L11" s="95"/>
    </row>
    <row r="12" spans="1:34" x14ac:dyDescent="0.3">
      <c r="E12" s="383" t="s">
        <v>3163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3164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3165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3166</v>
      </c>
      <c r="F15" s="383"/>
      <c r="G15" s="383"/>
      <c r="H15" s="383"/>
      <c r="I15" s="383"/>
      <c r="J15" s="96"/>
      <c r="K15" s="96"/>
      <c r="L15" s="96"/>
    </row>
    <row r="16" spans="1:34" x14ac:dyDescent="0.3">
      <c r="E16" s="383" t="s">
        <v>3167</v>
      </c>
      <c r="F16" s="383"/>
      <c r="G16" s="383"/>
      <c r="H16" s="383"/>
      <c r="I16" s="383"/>
      <c r="L16" s="95"/>
    </row>
    <row r="17" spans="1:34" x14ac:dyDescent="0.3">
      <c r="E17" s="383" t="s">
        <v>3100</v>
      </c>
      <c r="F17" s="383"/>
      <c r="G17" s="383"/>
      <c r="H17" s="383"/>
      <c r="I17" s="383"/>
      <c r="L17" s="95"/>
    </row>
    <row r="18" spans="1:34" x14ac:dyDescent="0.3">
      <c r="E18" s="96"/>
      <c r="F18" s="96"/>
      <c r="G18" s="96"/>
      <c r="H18" s="96"/>
      <c r="I18" s="96"/>
      <c r="L18" s="95"/>
    </row>
    <row r="19" spans="1:34" x14ac:dyDescent="0.3">
      <c r="A19" s="55" t="s">
        <v>3092</v>
      </c>
      <c r="E19" s="96"/>
      <c r="F19" s="96"/>
      <c r="G19" s="96"/>
      <c r="H19" s="96"/>
      <c r="I19" s="96"/>
      <c r="L19" s="95"/>
    </row>
    <row r="20" spans="1:34" x14ac:dyDescent="0.3">
      <c r="A20" s="75" t="s">
        <v>942</v>
      </c>
      <c r="B20" s="19" t="s">
        <v>951</v>
      </c>
      <c r="C20" s="19" t="s">
        <v>952</v>
      </c>
      <c r="D20" s="20">
        <v>45623</v>
      </c>
      <c r="E20" s="21">
        <v>250000</v>
      </c>
      <c r="F20" s="19" t="s">
        <v>32</v>
      </c>
      <c r="G20" s="19" t="s">
        <v>33</v>
      </c>
      <c r="H20" s="21">
        <v>250000</v>
      </c>
      <c r="I20" s="21">
        <v>83500</v>
      </c>
      <c r="J20" s="22">
        <f>I20/H20*100</f>
        <v>33.4</v>
      </c>
      <c r="K20" s="21">
        <v>183350</v>
      </c>
      <c r="L20" s="21">
        <f>H20-176587</f>
        <v>73413</v>
      </c>
      <c r="M20" s="21">
        <v>6763</v>
      </c>
      <c r="N20" s="67">
        <f>M20/E20</f>
        <v>2.7052E-2</v>
      </c>
      <c r="O20" s="23">
        <v>48.3</v>
      </c>
      <c r="P20" s="24">
        <v>112</v>
      </c>
      <c r="Q20" s="25">
        <v>0.129</v>
      </c>
      <c r="R20" s="25">
        <v>0.129</v>
      </c>
      <c r="S20" s="21">
        <f>L20/O20</f>
        <v>1519.9378881987579</v>
      </c>
      <c r="T20" s="21">
        <f>L20/Q20</f>
        <v>569093.02325581398</v>
      </c>
      <c r="U20" s="26">
        <f>L20/Q20/43560</f>
        <v>13.064578128003076</v>
      </c>
      <c r="V20" s="25">
        <v>50</v>
      </c>
      <c r="W20" s="25">
        <f>0.2*E20</f>
        <v>50000</v>
      </c>
      <c r="X20" s="25">
        <f>W20/V20</f>
        <v>1000</v>
      </c>
      <c r="Y20" s="27" t="s">
        <v>941</v>
      </c>
      <c r="Z20" s="19" t="s">
        <v>35</v>
      </c>
      <c r="AA20" s="19" t="s">
        <v>35</v>
      </c>
      <c r="AB20" s="19" t="s">
        <v>942</v>
      </c>
      <c r="AC20" s="19">
        <v>0</v>
      </c>
      <c r="AD20" s="19">
        <v>1</v>
      </c>
      <c r="AE20" s="19" t="s">
        <v>37</v>
      </c>
      <c r="AF20" s="19" t="s">
        <v>35</v>
      </c>
      <c r="AG20" s="19" t="s">
        <v>38</v>
      </c>
      <c r="AH20" s="19" t="s">
        <v>92</v>
      </c>
    </row>
    <row r="21" spans="1:34" x14ac:dyDescent="0.3">
      <c r="A21" s="75" t="s">
        <v>942</v>
      </c>
      <c r="B21" s="19" t="s">
        <v>947</v>
      </c>
      <c r="C21" s="19" t="s">
        <v>948</v>
      </c>
      <c r="D21" s="20">
        <v>45222</v>
      </c>
      <c r="E21" s="21">
        <v>265550</v>
      </c>
      <c r="F21" s="19" t="s">
        <v>32</v>
      </c>
      <c r="G21" s="19" t="s">
        <v>33</v>
      </c>
      <c r="H21" s="21">
        <v>265550</v>
      </c>
      <c r="I21" s="21">
        <v>129300</v>
      </c>
      <c r="J21" s="22">
        <f t="shared" ref="J21" si="7">I21/H21*100</f>
        <v>48.691395217473172</v>
      </c>
      <c r="K21" s="21">
        <v>299838</v>
      </c>
      <c r="L21" s="21">
        <f>H21-293255</f>
        <v>-27705</v>
      </c>
      <c r="M21" s="21">
        <v>6583</v>
      </c>
      <c r="N21" s="67">
        <f t="shared" ref="N21" si="8">M21/E21</f>
        <v>2.4790058369421955E-2</v>
      </c>
      <c r="O21" s="23">
        <v>47.01</v>
      </c>
      <c r="P21" s="24">
        <v>102</v>
      </c>
      <c r="Q21" s="25">
        <v>0.11899999999999999</v>
      </c>
      <c r="R21" s="25">
        <v>0.11899999999999999</v>
      </c>
      <c r="S21" s="21">
        <f t="shared" ref="S21" si="9">L21/O21</f>
        <v>-589.34269304403324</v>
      </c>
      <c r="T21" s="21">
        <f t="shared" ref="T21" si="10">L21/Q21</f>
        <v>-232815.12605042019</v>
      </c>
      <c r="U21" s="26">
        <f t="shared" ref="U21" si="11">L21/Q21/43560</f>
        <v>-5.3446998634164418</v>
      </c>
      <c r="V21" s="25">
        <v>51</v>
      </c>
      <c r="W21" s="25">
        <f t="shared" ref="W21" si="12">0.2*E21</f>
        <v>53110</v>
      </c>
      <c r="X21" s="25">
        <f t="shared" ref="X21" si="13">W21/V21</f>
        <v>1041.3725490196077</v>
      </c>
      <c r="Y21" s="27" t="s">
        <v>941</v>
      </c>
      <c r="Z21" s="19" t="s">
        <v>35</v>
      </c>
      <c r="AA21" s="19" t="s">
        <v>35</v>
      </c>
      <c r="AB21" s="19" t="s">
        <v>942</v>
      </c>
      <c r="AC21" s="19">
        <v>0</v>
      </c>
      <c r="AD21" s="19">
        <v>1</v>
      </c>
      <c r="AE21" s="19" t="s">
        <v>42</v>
      </c>
      <c r="AF21" s="19" t="s">
        <v>43</v>
      </c>
      <c r="AG21" s="19" t="s">
        <v>38</v>
      </c>
      <c r="AH21" s="19" t="s">
        <v>92</v>
      </c>
    </row>
  </sheetData>
  <sortState xmlns:xlrd2="http://schemas.microsoft.com/office/spreadsheetml/2017/richdata2" ref="A2:AH9">
    <sortCondition ref="S2:S9"/>
  </sortState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rgb="FF00B050"/>
  </sheetPr>
  <dimension ref="A1:AH32"/>
  <sheetViews>
    <sheetView workbookViewId="0">
      <selection activeCell="E15" sqref="E15:L21"/>
    </sheetView>
  </sheetViews>
  <sheetFormatPr defaultColWidth="26.5546875"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978</v>
      </c>
      <c r="B2" s="19" t="s">
        <v>997</v>
      </c>
      <c r="C2" s="19" t="s">
        <v>998</v>
      </c>
      <c r="D2" s="20">
        <v>45588</v>
      </c>
      <c r="E2" s="21">
        <v>175000</v>
      </c>
      <c r="F2" s="19" t="s">
        <v>32</v>
      </c>
      <c r="G2" s="19" t="s">
        <v>33</v>
      </c>
      <c r="H2" s="21">
        <v>175000</v>
      </c>
      <c r="I2" s="21">
        <v>84700</v>
      </c>
      <c r="J2" s="22">
        <f t="shared" ref="J2:J11" si="0">I2/H2*100</f>
        <v>48.4</v>
      </c>
      <c r="K2" s="21">
        <v>187497</v>
      </c>
      <c r="L2" s="21">
        <f>H2-178397</f>
        <v>-3397</v>
      </c>
      <c r="M2" s="21">
        <v>9100</v>
      </c>
      <c r="N2" s="67">
        <f t="shared" ref="N2:N11" si="1">M2/E2</f>
        <v>5.1999999999999998E-2</v>
      </c>
      <c r="O2" s="23">
        <v>50</v>
      </c>
      <c r="P2" s="24">
        <v>110</v>
      </c>
      <c r="Q2" s="25">
        <v>0.126</v>
      </c>
      <c r="R2" s="25">
        <v>0.126</v>
      </c>
      <c r="S2" s="21">
        <f t="shared" ref="S2:S11" si="2">L2/O2</f>
        <v>-67.94</v>
      </c>
      <c r="T2" s="21">
        <f t="shared" ref="T2:T11" si="3">L2/Q2</f>
        <v>-26960.317460317459</v>
      </c>
      <c r="U2" s="26">
        <f t="shared" ref="U2:U11" si="4">L2/Q2/43560</f>
        <v>-0.61892372498433101</v>
      </c>
      <c r="V2" s="25">
        <v>50</v>
      </c>
      <c r="W2" s="25">
        <f t="shared" ref="W2:W11" si="5">0.2*E2</f>
        <v>35000</v>
      </c>
      <c r="X2" s="25">
        <f t="shared" ref="X2:X11" si="6">W2/V2</f>
        <v>700</v>
      </c>
      <c r="Y2" s="27" t="s">
        <v>977</v>
      </c>
      <c r="Z2" s="19" t="s">
        <v>35</v>
      </c>
      <c r="AA2" s="19" t="s">
        <v>35</v>
      </c>
      <c r="AB2" s="19" t="s">
        <v>978</v>
      </c>
      <c r="AC2" s="19">
        <v>0</v>
      </c>
      <c r="AD2" s="19">
        <v>1</v>
      </c>
      <c r="AE2" s="19" t="s">
        <v>37</v>
      </c>
      <c r="AF2" s="19" t="s">
        <v>35</v>
      </c>
      <c r="AG2" s="19" t="s">
        <v>38</v>
      </c>
      <c r="AH2" s="19" t="s">
        <v>92</v>
      </c>
    </row>
    <row r="3" spans="1:34" x14ac:dyDescent="0.3">
      <c r="A3" s="75" t="s">
        <v>978</v>
      </c>
      <c r="B3" s="19" t="s">
        <v>981</v>
      </c>
      <c r="C3" s="19" t="s">
        <v>982</v>
      </c>
      <c r="D3" s="20">
        <v>45736</v>
      </c>
      <c r="E3" s="21">
        <v>160000</v>
      </c>
      <c r="F3" s="19" t="s">
        <v>32</v>
      </c>
      <c r="G3" s="19" t="s">
        <v>33</v>
      </c>
      <c r="H3" s="21">
        <v>160000</v>
      </c>
      <c r="I3" s="21">
        <v>77400</v>
      </c>
      <c r="J3" s="22">
        <f t="shared" si="0"/>
        <v>48.375</v>
      </c>
      <c r="K3" s="21">
        <v>171872</v>
      </c>
      <c r="L3" s="21">
        <f>H3-162629</f>
        <v>-2629</v>
      </c>
      <c r="M3" s="21">
        <v>9243</v>
      </c>
      <c r="N3" s="67">
        <f t="shared" si="1"/>
        <v>5.7768750000000001E-2</v>
      </c>
      <c r="O3" s="23">
        <v>50.78</v>
      </c>
      <c r="P3" s="24">
        <v>113.48</v>
      </c>
      <c r="Q3" s="25">
        <v>0.13</v>
      </c>
      <c r="R3" s="25">
        <v>0.13</v>
      </c>
      <c r="S3" s="21">
        <f t="shared" si="2"/>
        <v>-51.772351319417091</v>
      </c>
      <c r="T3" s="21">
        <f t="shared" si="3"/>
        <v>-20223.076923076922</v>
      </c>
      <c r="U3" s="26">
        <f t="shared" si="4"/>
        <v>-0.46425796425796423</v>
      </c>
      <c r="V3" s="25">
        <v>50</v>
      </c>
      <c r="W3" s="25">
        <f t="shared" si="5"/>
        <v>32000</v>
      </c>
      <c r="X3" s="25">
        <f t="shared" si="6"/>
        <v>640</v>
      </c>
      <c r="Y3" s="27" t="s">
        <v>977</v>
      </c>
      <c r="Z3" s="19" t="s">
        <v>35</v>
      </c>
      <c r="AA3" s="19" t="s">
        <v>35</v>
      </c>
      <c r="AB3" s="19" t="s">
        <v>978</v>
      </c>
      <c r="AC3" s="19">
        <v>0</v>
      </c>
      <c r="AD3" s="19">
        <v>1</v>
      </c>
      <c r="AE3" s="19" t="s">
        <v>37</v>
      </c>
      <c r="AF3" s="19" t="s">
        <v>35</v>
      </c>
      <c r="AG3" s="19" t="s">
        <v>38</v>
      </c>
      <c r="AH3" s="19" t="s">
        <v>92</v>
      </c>
    </row>
    <row r="4" spans="1:34" x14ac:dyDescent="0.3">
      <c r="A4" s="75" t="s">
        <v>978</v>
      </c>
      <c r="B4" s="19" t="s">
        <v>1003</v>
      </c>
      <c r="C4" s="19" t="s">
        <v>1004</v>
      </c>
      <c r="D4" s="20">
        <v>45090</v>
      </c>
      <c r="E4" s="21">
        <v>184000</v>
      </c>
      <c r="F4" s="19" t="s">
        <v>32</v>
      </c>
      <c r="G4" s="19" t="s">
        <v>33</v>
      </c>
      <c r="H4" s="21">
        <v>184000</v>
      </c>
      <c r="I4" s="21">
        <v>76800</v>
      </c>
      <c r="J4" s="22">
        <f t="shared" si="0"/>
        <v>41.739130434782609</v>
      </c>
      <c r="K4" s="21">
        <v>194330</v>
      </c>
      <c r="L4" s="21">
        <f>H4-185353</f>
        <v>-1353</v>
      </c>
      <c r="M4" s="21">
        <v>8977</v>
      </c>
      <c r="N4" s="67">
        <f t="shared" si="1"/>
        <v>4.8788043478260872E-2</v>
      </c>
      <c r="O4" s="23">
        <v>49.32</v>
      </c>
      <c r="P4" s="24">
        <v>107.05</v>
      </c>
      <c r="Q4" s="25">
        <v>0.123</v>
      </c>
      <c r="R4" s="25">
        <v>0.123</v>
      </c>
      <c r="S4" s="21">
        <f t="shared" si="2"/>
        <v>-27.433090024330902</v>
      </c>
      <c r="T4" s="21">
        <f t="shared" si="3"/>
        <v>-11000</v>
      </c>
      <c r="U4" s="26">
        <f t="shared" si="4"/>
        <v>-0.25252525252525254</v>
      </c>
      <c r="V4" s="25">
        <v>50</v>
      </c>
      <c r="W4" s="25">
        <f t="shared" si="5"/>
        <v>36800</v>
      </c>
      <c r="X4" s="25">
        <f t="shared" si="6"/>
        <v>736</v>
      </c>
      <c r="Y4" s="27" t="s">
        <v>977</v>
      </c>
      <c r="Z4" s="19" t="s">
        <v>35</v>
      </c>
      <c r="AA4" s="19" t="s">
        <v>35</v>
      </c>
      <c r="AB4" s="19" t="s">
        <v>978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978</v>
      </c>
      <c r="B5" s="19" t="s">
        <v>983</v>
      </c>
      <c r="C5" s="19" t="s">
        <v>984</v>
      </c>
      <c r="D5" s="20">
        <v>45531</v>
      </c>
      <c r="E5" s="21">
        <v>215000</v>
      </c>
      <c r="F5" s="19" t="s">
        <v>32</v>
      </c>
      <c r="G5" s="19" t="s">
        <v>33</v>
      </c>
      <c r="H5" s="21">
        <v>215000</v>
      </c>
      <c r="I5" s="21">
        <v>100400</v>
      </c>
      <c r="J5" s="22">
        <f t="shared" si="0"/>
        <v>46.697674418604649</v>
      </c>
      <c r="K5" s="21">
        <v>220268</v>
      </c>
      <c r="L5" s="21">
        <f>H5-211168</f>
        <v>3832</v>
      </c>
      <c r="M5" s="21">
        <v>9100</v>
      </c>
      <c r="N5" s="67">
        <f t="shared" si="1"/>
        <v>4.2325581395348838E-2</v>
      </c>
      <c r="O5" s="23">
        <v>50</v>
      </c>
      <c r="P5" s="24">
        <v>110</v>
      </c>
      <c r="Q5" s="25">
        <v>0.126</v>
      </c>
      <c r="R5" s="25">
        <v>0.126</v>
      </c>
      <c r="S5" s="21">
        <f t="shared" si="2"/>
        <v>76.64</v>
      </c>
      <c r="T5" s="21">
        <f t="shared" si="3"/>
        <v>30412.698412698413</v>
      </c>
      <c r="U5" s="26">
        <f t="shared" si="4"/>
        <v>0.69817948605827396</v>
      </c>
      <c r="V5" s="25">
        <v>50</v>
      </c>
      <c r="W5" s="25">
        <f t="shared" si="5"/>
        <v>43000</v>
      </c>
      <c r="X5" s="25">
        <f t="shared" si="6"/>
        <v>860</v>
      </c>
      <c r="Y5" s="27" t="s">
        <v>977</v>
      </c>
      <c r="Z5" s="19" t="s">
        <v>35</v>
      </c>
      <c r="AA5" s="19" t="s">
        <v>35</v>
      </c>
      <c r="AB5" s="19" t="s">
        <v>978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978</v>
      </c>
      <c r="B6" s="10" t="s">
        <v>987</v>
      </c>
      <c r="C6" s="10" t="s">
        <v>988</v>
      </c>
      <c r="D6" s="11">
        <v>45100</v>
      </c>
      <c r="E6" s="12">
        <v>193000</v>
      </c>
      <c r="F6" s="10" t="s">
        <v>32</v>
      </c>
      <c r="G6" s="10" t="s">
        <v>33</v>
      </c>
      <c r="H6" s="12">
        <v>193000</v>
      </c>
      <c r="I6" s="12">
        <v>78300</v>
      </c>
      <c r="J6" s="13">
        <f t="shared" si="0"/>
        <v>40.569948186528499</v>
      </c>
      <c r="K6" s="12">
        <v>198184</v>
      </c>
      <c r="L6" s="12">
        <f>H6-189084</f>
        <v>3916</v>
      </c>
      <c r="M6" s="12">
        <v>9100</v>
      </c>
      <c r="N6" s="66">
        <f t="shared" si="1"/>
        <v>4.7150259067357515E-2</v>
      </c>
      <c r="O6" s="14">
        <v>50</v>
      </c>
      <c r="P6" s="15">
        <v>110</v>
      </c>
      <c r="Q6" s="16">
        <v>0.126</v>
      </c>
      <c r="R6" s="16">
        <v>0.126</v>
      </c>
      <c r="S6" s="12">
        <f t="shared" si="2"/>
        <v>78.319999999999993</v>
      </c>
      <c r="T6" s="12">
        <f t="shared" si="3"/>
        <v>31079.365079365078</v>
      </c>
      <c r="U6" s="17">
        <f t="shared" si="4"/>
        <v>0.71348404681738009</v>
      </c>
      <c r="V6" s="16">
        <v>50</v>
      </c>
      <c r="W6" s="16">
        <f t="shared" si="5"/>
        <v>38600</v>
      </c>
      <c r="X6" s="16">
        <f t="shared" si="6"/>
        <v>772</v>
      </c>
      <c r="Y6" s="18" t="s">
        <v>977</v>
      </c>
      <c r="Z6" s="10" t="s">
        <v>35</v>
      </c>
      <c r="AA6" s="10" t="s">
        <v>35</v>
      </c>
      <c r="AB6" s="10" t="s">
        <v>978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978</v>
      </c>
      <c r="B7" s="10" t="s">
        <v>1001</v>
      </c>
      <c r="C7" s="10" t="s">
        <v>1002</v>
      </c>
      <c r="D7" s="11">
        <v>45145</v>
      </c>
      <c r="E7" s="12">
        <v>185000</v>
      </c>
      <c r="F7" s="10" t="s">
        <v>32</v>
      </c>
      <c r="G7" s="10" t="s">
        <v>33</v>
      </c>
      <c r="H7" s="12">
        <v>185000</v>
      </c>
      <c r="I7" s="12">
        <v>71100</v>
      </c>
      <c r="J7" s="13">
        <f t="shared" si="0"/>
        <v>38.432432432432435</v>
      </c>
      <c r="K7" s="12">
        <v>179460</v>
      </c>
      <c r="L7" s="12">
        <f>H7-167542</f>
        <v>17458</v>
      </c>
      <c r="M7" s="12">
        <v>11918</v>
      </c>
      <c r="N7" s="66">
        <f t="shared" si="1"/>
        <v>6.4421621621621628E-2</v>
      </c>
      <c r="O7" s="14">
        <v>65.48</v>
      </c>
      <c r="P7" s="15">
        <v>160.37</v>
      </c>
      <c r="Q7" s="16">
        <v>0.16800000000000001</v>
      </c>
      <c r="R7" s="16">
        <v>0.16800000000000001</v>
      </c>
      <c r="S7" s="12">
        <f t="shared" si="2"/>
        <v>266.61576053756869</v>
      </c>
      <c r="T7" s="12">
        <f t="shared" si="3"/>
        <v>103916.66666666666</v>
      </c>
      <c r="U7" s="17">
        <f t="shared" si="4"/>
        <v>2.3855984083256807</v>
      </c>
      <c r="V7" s="16">
        <v>71.569999999999993</v>
      </c>
      <c r="W7" s="16">
        <f t="shared" si="5"/>
        <v>37000</v>
      </c>
      <c r="X7" s="16">
        <f t="shared" si="6"/>
        <v>516.97638675422672</v>
      </c>
      <c r="Y7" s="18" t="s">
        <v>977</v>
      </c>
      <c r="Z7" s="10" t="s">
        <v>35</v>
      </c>
      <c r="AA7" s="10" t="s">
        <v>35</v>
      </c>
      <c r="AB7" s="10" t="s">
        <v>978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978</v>
      </c>
      <c r="B8" s="19" t="s">
        <v>1005</v>
      </c>
      <c r="C8" s="19" t="s">
        <v>1006</v>
      </c>
      <c r="D8" s="20">
        <v>45247</v>
      </c>
      <c r="E8" s="21">
        <v>243500</v>
      </c>
      <c r="F8" s="19" t="s">
        <v>32</v>
      </c>
      <c r="G8" s="19" t="s">
        <v>33</v>
      </c>
      <c r="H8" s="21">
        <v>243500</v>
      </c>
      <c r="I8" s="21">
        <v>87500</v>
      </c>
      <c r="J8" s="22">
        <f t="shared" si="0"/>
        <v>35.93429158110883</v>
      </c>
      <c r="K8" s="21">
        <v>222326</v>
      </c>
      <c r="L8" s="21">
        <f>H8-209369</f>
        <v>34131</v>
      </c>
      <c r="M8" s="21">
        <v>12957</v>
      </c>
      <c r="N8" s="67">
        <f t="shared" si="1"/>
        <v>5.3211498973305953E-2</v>
      </c>
      <c r="O8" s="23">
        <v>71.19</v>
      </c>
      <c r="P8" s="24">
        <v>113.76</v>
      </c>
      <c r="Q8" s="25">
        <v>0.183</v>
      </c>
      <c r="R8" s="25">
        <v>0.183</v>
      </c>
      <c r="S8" s="21">
        <f t="shared" si="2"/>
        <v>479.43531394858832</v>
      </c>
      <c r="T8" s="21">
        <f t="shared" si="3"/>
        <v>186508.19672131148</v>
      </c>
      <c r="U8" s="26">
        <f t="shared" si="4"/>
        <v>4.281639043188969</v>
      </c>
      <c r="V8" s="25">
        <v>70</v>
      </c>
      <c r="W8" s="25">
        <f t="shared" si="5"/>
        <v>48700</v>
      </c>
      <c r="X8" s="25">
        <f t="shared" si="6"/>
        <v>695.71428571428567</v>
      </c>
      <c r="Y8" s="27" t="s">
        <v>977</v>
      </c>
      <c r="Z8" s="19" t="s">
        <v>35</v>
      </c>
      <c r="AA8" s="19" t="s">
        <v>35</v>
      </c>
      <c r="AB8" s="19" t="s">
        <v>978</v>
      </c>
      <c r="AC8" s="19">
        <v>0</v>
      </c>
      <c r="AD8" s="19">
        <v>1</v>
      </c>
      <c r="AE8" s="19" t="s">
        <v>37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978</v>
      </c>
      <c r="B9" s="10" t="s">
        <v>999</v>
      </c>
      <c r="C9" s="10" t="s">
        <v>1000</v>
      </c>
      <c r="D9" s="11">
        <v>45722</v>
      </c>
      <c r="E9" s="12">
        <v>192000</v>
      </c>
      <c r="F9" s="10" t="s">
        <v>32</v>
      </c>
      <c r="G9" s="10" t="s">
        <v>33</v>
      </c>
      <c r="H9" s="12">
        <v>192000</v>
      </c>
      <c r="I9" s="12">
        <v>79500</v>
      </c>
      <c r="J9" s="13">
        <f t="shared" si="0"/>
        <v>41.40625</v>
      </c>
      <c r="K9" s="12">
        <v>176642</v>
      </c>
      <c r="L9" s="12">
        <f>H9-167542</f>
        <v>24458</v>
      </c>
      <c r="M9" s="12">
        <v>9100</v>
      </c>
      <c r="N9" s="66">
        <f t="shared" si="1"/>
        <v>4.7395833333333331E-2</v>
      </c>
      <c r="O9" s="14">
        <v>50</v>
      </c>
      <c r="P9" s="15">
        <v>110</v>
      </c>
      <c r="Q9" s="16">
        <v>0.126</v>
      </c>
      <c r="R9" s="16">
        <v>0.126</v>
      </c>
      <c r="S9" s="12">
        <f t="shared" si="2"/>
        <v>489.16</v>
      </c>
      <c r="T9" s="12">
        <f t="shared" si="3"/>
        <v>194111.11111111112</v>
      </c>
      <c r="U9" s="17">
        <f t="shared" si="4"/>
        <v>4.4561779410264259</v>
      </c>
      <c r="V9" s="16">
        <v>50</v>
      </c>
      <c r="W9" s="16">
        <f t="shared" si="5"/>
        <v>38400</v>
      </c>
      <c r="X9" s="16">
        <f t="shared" si="6"/>
        <v>768</v>
      </c>
      <c r="Y9" s="18" t="s">
        <v>977</v>
      </c>
      <c r="Z9" s="10" t="s">
        <v>35</v>
      </c>
      <c r="AA9" s="10" t="s">
        <v>35</v>
      </c>
      <c r="AB9" s="10" t="s">
        <v>978</v>
      </c>
      <c r="AC9" s="10">
        <v>0</v>
      </c>
      <c r="AD9" s="10">
        <v>1</v>
      </c>
      <c r="AE9" s="10" t="s">
        <v>37</v>
      </c>
      <c r="AF9" s="10" t="s">
        <v>35</v>
      </c>
      <c r="AG9" s="10" t="s">
        <v>38</v>
      </c>
      <c r="AH9" s="10" t="s">
        <v>92</v>
      </c>
    </row>
    <row r="10" spans="1:34" x14ac:dyDescent="0.3">
      <c r="A10" s="75" t="s">
        <v>978</v>
      </c>
      <c r="B10" s="19" t="s">
        <v>989</v>
      </c>
      <c r="C10" s="19" t="s">
        <v>990</v>
      </c>
      <c r="D10" s="20">
        <v>45638</v>
      </c>
      <c r="E10" s="21">
        <v>205000</v>
      </c>
      <c r="F10" s="19" t="s">
        <v>32</v>
      </c>
      <c r="G10" s="19" t="s">
        <v>33</v>
      </c>
      <c r="H10" s="21">
        <v>205000</v>
      </c>
      <c r="I10" s="21">
        <v>85100</v>
      </c>
      <c r="J10" s="22">
        <f t="shared" si="0"/>
        <v>41.512195121951216</v>
      </c>
      <c r="K10" s="21">
        <v>188217</v>
      </c>
      <c r="L10" s="21">
        <f>H10-179117</f>
        <v>25883</v>
      </c>
      <c r="M10" s="21">
        <v>9100</v>
      </c>
      <c r="N10" s="67">
        <f t="shared" si="1"/>
        <v>4.4390243902439022E-2</v>
      </c>
      <c r="O10" s="23">
        <v>50</v>
      </c>
      <c r="P10" s="24">
        <v>110</v>
      </c>
      <c r="Q10" s="25">
        <v>0.126</v>
      </c>
      <c r="R10" s="25">
        <v>0.126</v>
      </c>
      <c r="S10" s="21">
        <f t="shared" si="2"/>
        <v>517.66</v>
      </c>
      <c r="T10" s="21">
        <f t="shared" si="3"/>
        <v>205420.63492063491</v>
      </c>
      <c r="U10" s="26">
        <f t="shared" si="4"/>
        <v>4.7158088824755486</v>
      </c>
      <c r="V10" s="25">
        <v>50</v>
      </c>
      <c r="W10" s="25">
        <f t="shared" si="5"/>
        <v>41000</v>
      </c>
      <c r="X10" s="25">
        <f t="shared" si="6"/>
        <v>820</v>
      </c>
      <c r="Y10" s="27" t="s">
        <v>977</v>
      </c>
      <c r="Z10" s="19" t="s">
        <v>35</v>
      </c>
      <c r="AA10" s="19" t="s">
        <v>35</v>
      </c>
      <c r="AB10" s="19" t="s">
        <v>978</v>
      </c>
      <c r="AC10" s="19">
        <v>0</v>
      </c>
      <c r="AD10" s="19">
        <v>1</v>
      </c>
      <c r="AE10" s="19" t="s">
        <v>42</v>
      </c>
      <c r="AF10" s="19" t="s">
        <v>35</v>
      </c>
      <c r="AG10" s="19" t="s">
        <v>38</v>
      </c>
      <c r="AH10" s="19" t="s">
        <v>92</v>
      </c>
    </row>
    <row r="11" spans="1:34" ht="15" thickBot="1" x14ac:dyDescent="0.35">
      <c r="A11" s="74" t="s">
        <v>978</v>
      </c>
      <c r="B11" s="10" t="s">
        <v>1009</v>
      </c>
      <c r="C11" s="10" t="s">
        <v>1010</v>
      </c>
      <c r="D11" s="11">
        <v>45708</v>
      </c>
      <c r="E11" s="12">
        <v>230000</v>
      </c>
      <c r="F11" s="10" t="s">
        <v>32</v>
      </c>
      <c r="G11" s="10" t="s">
        <v>33</v>
      </c>
      <c r="H11" s="12">
        <v>230000</v>
      </c>
      <c r="I11" s="12">
        <v>91200</v>
      </c>
      <c r="J11" s="13">
        <f t="shared" si="0"/>
        <v>39.652173913043477</v>
      </c>
      <c r="K11" s="12">
        <v>202244</v>
      </c>
      <c r="L11" s="12">
        <f>H11-191150</f>
        <v>38850</v>
      </c>
      <c r="M11" s="12">
        <v>11094</v>
      </c>
      <c r="N11" s="66">
        <f t="shared" si="1"/>
        <v>4.8234782608695653E-2</v>
      </c>
      <c r="O11" s="14">
        <v>60.95</v>
      </c>
      <c r="P11" s="15">
        <v>140.91</v>
      </c>
      <c r="Q11" s="16">
        <v>0.20899999999999999</v>
      </c>
      <c r="R11" s="16">
        <v>0.20899999999999999</v>
      </c>
      <c r="S11" s="12">
        <f t="shared" si="2"/>
        <v>637.40771123872025</v>
      </c>
      <c r="T11" s="12">
        <f t="shared" si="3"/>
        <v>185885.16746411484</v>
      </c>
      <c r="U11" s="17">
        <f t="shared" si="4"/>
        <v>4.2673362595067683</v>
      </c>
      <c r="V11" s="16">
        <v>32.520000000000003</v>
      </c>
      <c r="W11" s="16">
        <f t="shared" si="5"/>
        <v>46000</v>
      </c>
      <c r="X11" s="16">
        <f t="shared" si="6"/>
        <v>1414.5141451414513</v>
      </c>
      <c r="Y11" s="18" t="s">
        <v>977</v>
      </c>
      <c r="Z11" s="10" t="s">
        <v>35</v>
      </c>
      <c r="AA11" s="10" t="s">
        <v>35</v>
      </c>
      <c r="AB11" s="10" t="s">
        <v>978</v>
      </c>
      <c r="AC11" s="10">
        <v>0</v>
      </c>
      <c r="AD11" s="10">
        <v>1</v>
      </c>
      <c r="AE11" s="10" t="s">
        <v>42</v>
      </c>
      <c r="AF11" s="10" t="s">
        <v>35</v>
      </c>
      <c r="AG11" s="10" t="s">
        <v>38</v>
      </c>
      <c r="AH11" s="10" t="s">
        <v>92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1982500</v>
      </c>
      <c r="F12" s="37"/>
      <c r="G12" s="37"/>
      <c r="H12" s="39">
        <f>+SUM(H2:H11)</f>
        <v>1982500</v>
      </c>
      <c r="I12" s="39">
        <f>+SUM(I2:I11)</f>
        <v>832000</v>
      </c>
      <c r="J12" s="40"/>
      <c r="K12" s="39">
        <f>+SUM(K2:K11)</f>
        <v>1941040</v>
      </c>
      <c r="L12" s="39">
        <f>+SUM(L2:L11)</f>
        <v>141149</v>
      </c>
      <c r="M12" s="39">
        <f>+SUM(M2:M11)</f>
        <v>99689</v>
      </c>
      <c r="N12" s="81">
        <f>AVERAGE(N2:N11)</f>
        <v>5.0568661438036289E-2</v>
      </c>
      <c r="O12" s="41">
        <f>+SUM(O2:O11)</f>
        <v>547.72</v>
      </c>
      <c r="P12" s="42"/>
      <c r="Q12" s="43">
        <f>+SUM(Q2:Q11)</f>
        <v>1.4430000000000001</v>
      </c>
      <c r="R12" s="43">
        <f>+SUM(R2:R11)</f>
        <v>1.4430000000000001</v>
      </c>
      <c r="S12" s="39"/>
      <c r="T12" s="39"/>
      <c r="U12" s="44"/>
      <c r="V12" s="43"/>
      <c r="W12" s="82">
        <f>AVERAGE(W2:W11)</f>
        <v>39650</v>
      </c>
      <c r="X12" s="83">
        <f>AVERAGE(X2:X11)</f>
        <v>792.32048176099636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41.967213114754095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4.2251319463547583</v>
      </c>
      <c r="K14" s="48"/>
      <c r="L14" s="48"/>
      <c r="M14" s="48" t="s">
        <v>2880</v>
      </c>
      <c r="N14" s="80"/>
      <c r="O14" s="54">
        <f>L12/O12</f>
        <v>257.70284086759659</v>
      </c>
      <c r="P14" s="50"/>
      <c r="Q14" s="51" t="s">
        <v>2881</v>
      </c>
      <c r="R14" s="51">
        <f>L12/Q12</f>
        <v>97816.354816354811</v>
      </c>
      <c r="S14" s="48"/>
      <c r="T14" s="48" t="s">
        <v>2882</v>
      </c>
      <c r="U14" s="52">
        <f>L12/Q12/43560</f>
        <v>2.2455545182817911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34" x14ac:dyDescent="0.3">
      <c r="E20" s="383" t="s">
        <v>3167</v>
      </c>
      <c r="F20" s="383"/>
      <c r="G20" s="383"/>
      <c r="H20" s="383"/>
      <c r="I20" s="383"/>
      <c r="L20" s="95"/>
    </row>
    <row r="21" spans="1:34" x14ac:dyDescent="0.3">
      <c r="E21" s="383" t="s">
        <v>3100</v>
      </c>
      <c r="F21" s="383"/>
      <c r="G21" s="383"/>
      <c r="H21" s="383"/>
      <c r="I21" s="383"/>
      <c r="L21" s="95"/>
    </row>
    <row r="22" spans="1:34" x14ac:dyDescent="0.3">
      <c r="E22" s="96"/>
      <c r="F22" s="96"/>
      <c r="G22" s="96"/>
      <c r="H22" s="96"/>
      <c r="I22" s="96"/>
      <c r="L22" s="95"/>
    </row>
    <row r="23" spans="1:34" x14ac:dyDescent="0.3">
      <c r="A23" s="55" t="s">
        <v>3092</v>
      </c>
      <c r="E23" s="96"/>
      <c r="F23" s="96"/>
      <c r="G23" s="96"/>
      <c r="H23" s="96"/>
      <c r="I23" s="96"/>
      <c r="L23" s="95"/>
    </row>
    <row r="24" spans="1:34" x14ac:dyDescent="0.3">
      <c r="A24" s="74" t="s">
        <v>978</v>
      </c>
      <c r="B24" s="10" t="s">
        <v>975</v>
      </c>
      <c r="C24" s="10" t="s">
        <v>976</v>
      </c>
      <c r="D24" s="11">
        <v>45443</v>
      </c>
      <c r="E24" s="12">
        <v>50000</v>
      </c>
      <c r="F24" s="10" t="s">
        <v>32</v>
      </c>
      <c r="G24" s="10" t="s">
        <v>33</v>
      </c>
      <c r="H24" s="12">
        <v>50000</v>
      </c>
      <c r="I24" s="12">
        <v>86400</v>
      </c>
      <c r="J24" s="13">
        <f t="shared" ref="J24:J32" si="7">I24/H24*100</f>
        <v>172.8</v>
      </c>
      <c r="K24" s="12">
        <v>190304</v>
      </c>
      <c r="L24" s="12">
        <f>H24-182005</f>
        <v>-132005</v>
      </c>
      <c r="M24" s="12">
        <v>8299</v>
      </c>
      <c r="N24" s="66">
        <f t="shared" ref="N24:N32" si="8">M24/E24</f>
        <v>0.16597999999999999</v>
      </c>
      <c r="O24" s="14">
        <v>45.59</v>
      </c>
      <c r="P24" s="15">
        <v>110.84</v>
      </c>
      <c r="Q24" s="16">
        <v>0.115</v>
      </c>
      <c r="R24" s="16">
        <v>0.115</v>
      </c>
      <c r="S24" s="12">
        <f t="shared" ref="S24:S32" si="9">L24/O24</f>
        <v>-2895.4814652336036</v>
      </c>
      <c r="T24" s="12">
        <f t="shared" ref="T24:T32" si="10">L24/Q24</f>
        <v>-1147869.5652173914</v>
      </c>
      <c r="U24" s="17">
        <f t="shared" ref="U24:U32" si="11">L24/Q24/43560</f>
        <v>-26.351459256597597</v>
      </c>
      <c r="V24" s="16">
        <v>45.95</v>
      </c>
      <c r="W24" s="16">
        <f t="shared" ref="W24:W32" si="12">0.2*E24</f>
        <v>10000</v>
      </c>
      <c r="X24" s="16">
        <f t="shared" ref="X24:X32" si="13">W24/V24</f>
        <v>217.62785636561478</v>
      </c>
      <c r="Y24" s="18" t="s">
        <v>977</v>
      </c>
      <c r="Z24" s="10" t="s">
        <v>35</v>
      </c>
      <c r="AA24" s="10" t="s">
        <v>35</v>
      </c>
      <c r="AB24" s="10" t="s">
        <v>978</v>
      </c>
      <c r="AC24" s="10">
        <v>0</v>
      </c>
      <c r="AD24" s="10">
        <v>1</v>
      </c>
      <c r="AE24" s="10" t="s">
        <v>37</v>
      </c>
      <c r="AF24" s="10" t="s">
        <v>43</v>
      </c>
      <c r="AG24" s="10" t="s">
        <v>38</v>
      </c>
      <c r="AH24" s="10" t="s">
        <v>92</v>
      </c>
    </row>
    <row r="25" spans="1:34" x14ac:dyDescent="0.3">
      <c r="A25" s="75" t="s">
        <v>978</v>
      </c>
      <c r="B25" s="19" t="s">
        <v>991</v>
      </c>
      <c r="C25" s="19" t="s">
        <v>992</v>
      </c>
      <c r="D25" s="20">
        <v>45470</v>
      </c>
      <c r="E25" s="21">
        <v>240000</v>
      </c>
      <c r="F25" s="19" t="s">
        <v>32</v>
      </c>
      <c r="G25" s="19" t="s">
        <v>33</v>
      </c>
      <c r="H25" s="21">
        <v>240000</v>
      </c>
      <c r="I25" s="21">
        <v>53200</v>
      </c>
      <c r="J25" s="22">
        <f t="shared" si="7"/>
        <v>22.166666666666668</v>
      </c>
      <c r="K25" s="21">
        <v>194327</v>
      </c>
      <c r="L25" s="21">
        <f>H25-185227</f>
        <v>54773</v>
      </c>
      <c r="M25" s="21">
        <v>9100</v>
      </c>
      <c r="N25" s="67">
        <f t="shared" si="8"/>
        <v>3.7916666666666668E-2</v>
      </c>
      <c r="O25" s="23">
        <v>50</v>
      </c>
      <c r="P25" s="24">
        <v>110</v>
      </c>
      <c r="Q25" s="25">
        <v>0.126</v>
      </c>
      <c r="R25" s="25">
        <v>0.126</v>
      </c>
      <c r="S25" s="21">
        <f t="shared" si="9"/>
        <v>1095.46</v>
      </c>
      <c r="T25" s="21">
        <f t="shared" si="10"/>
        <v>434706.34920634923</v>
      </c>
      <c r="U25" s="26">
        <f t="shared" si="11"/>
        <v>9.9794846006967219</v>
      </c>
      <c r="V25" s="25">
        <v>50</v>
      </c>
      <c r="W25" s="25">
        <f t="shared" si="12"/>
        <v>48000</v>
      </c>
      <c r="X25" s="25">
        <f t="shared" si="13"/>
        <v>960</v>
      </c>
      <c r="Y25" s="27" t="s">
        <v>977</v>
      </c>
      <c r="Z25" s="19" t="s">
        <v>35</v>
      </c>
      <c r="AA25" s="19" t="s">
        <v>35</v>
      </c>
      <c r="AB25" s="19" t="s">
        <v>978</v>
      </c>
      <c r="AC25" s="19">
        <v>0</v>
      </c>
      <c r="AD25" s="19">
        <v>1</v>
      </c>
      <c r="AE25" s="19" t="s">
        <v>42</v>
      </c>
      <c r="AF25" s="19" t="s">
        <v>43</v>
      </c>
      <c r="AG25" s="19" t="s">
        <v>38</v>
      </c>
      <c r="AH25" s="19" t="s">
        <v>92</v>
      </c>
    </row>
    <row r="26" spans="1:34" x14ac:dyDescent="0.3">
      <c r="A26" s="74" t="s">
        <v>978</v>
      </c>
      <c r="B26" s="10" t="s">
        <v>985</v>
      </c>
      <c r="C26" s="10" t="s">
        <v>986</v>
      </c>
      <c r="D26" s="11">
        <v>45504</v>
      </c>
      <c r="E26" s="12">
        <v>222000</v>
      </c>
      <c r="F26" s="10" t="s">
        <v>32</v>
      </c>
      <c r="G26" s="10" t="s">
        <v>33</v>
      </c>
      <c r="H26" s="12">
        <v>222000</v>
      </c>
      <c r="I26" s="12">
        <v>77400</v>
      </c>
      <c r="J26" s="13">
        <f t="shared" si="7"/>
        <v>34.864864864864863</v>
      </c>
      <c r="K26" s="12">
        <v>171729</v>
      </c>
      <c r="L26" s="12">
        <f>H26-162629</f>
        <v>59371</v>
      </c>
      <c r="M26" s="12">
        <v>9100</v>
      </c>
      <c r="N26" s="66">
        <f t="shared" si="8"/>
        <v>4.0990990990990989E-2</v>
      </c>
      <c r="O26" s="14">
        <v>50</v>
      </c>
      <c r="P26" s="15">
        <v>110</v>
      </c>
      <c r="Q26" s="16">
        <v>0.126</v>
      </c>
      <c r="R26" s="16">
        <v>0.126</v>
      </c>
      <c r="S26" s="12">
        <f t="shared" si="9"/>
        <v>1187.42</v>
      </c>
      <c r="T26" s="12">
        <f t="shared" si="10"/>
        <v>471198.41269841272</v>
      </c>
      <c r="U26" s="17">
        <f t="shared" si="11"/>
        <v>10.817227105105893</v>
      </c>
      <c r="V26" s="16">
        <v>50</v>
      </c>
      <c r="W26" s="16">
        <f t="shared" si="12"/>
        <v>44400</v>
      </c>
      <c r="X26" s="16">
        <f t="shared" si="13"/>
        <v>888</v>
      </c>
      <c r="Y26" s="18" t="s">
        <v>977</v>
      </c>
      <c r="Z26" s="10" t="s">
        <v>35</v>
      </c>
      <c r="AA26" s="10" t="s">
        <v>35</v>
      </c>
      <c r="AB26" s="10" t="s">
        <v>978</v>
      </c>
      <c r="AC26" s="10">
        <v>0</v>
      </c>
      <c r="AD26" s="10">
        <v>1</v>
      </c>
      <c r="AE26" s="10" t="s">
        <v>37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5" t="s">
        <v>978</v>
      </c>
      <c r="B27" s="19" t="s">
        <v>999</v>
      </c>
      <c r="C27" s="19" t="s">
        <v>1000</v>
      </c>
      <c r="D27" s="20">
        <v>45483</v>
      </c>
      <c r="E27" s="21">
        <v>76000</v>
      </c>
      <c r="F27" s="19" t="s">
        <v>32</v>
      </c>
      <c r="G27" s="19" t="s">
        <v>33</v>
      </c>
      <c r="H27" s="21">
        <v>76000</v>
      </c>
      <c r="I27" s="21">
        <v>79500</v>
      </c>
      <c r="J27" s="22">
        <f t="shared" si="7"/>
        <v>104.60526315789474</v>
      </c>
      <c r="K27" s="21">
        <v>176642</v>
      </c>
      <c r="L27" s="21">
        <f>H27-167542</f>
        <v>-91542</v>
      </c>
      <c r="M27" s="21">
        <v>9100</v>
      </c>
      <c r="N27" s="67">
        <f t="shared" si="8"/>
        <v>0.11973684210526316</v>
      </c>
      <c r="O27" s="23">
        <v>50</v>
      </c>
      <c r="P27" s="24">
        <v>110</v>
      </c>
      <c r="Q27" s="25">
        <v>0.126</v>
      </c>
      <c r="R27" s="25">
        <v>0.126</v>
      </c>
      <c r="S27" s="21">
        <f t="shared" si="9"/>
        <v>-1830.84</v>
      </c>
      <c r="T27" s="21">
        <f t="shared" si="10"/>
        <v>-726523.80952380947</v>
      </c>
      <c r="U27" s="26">
        <f t="shared" si="11"/>
        <v>-16.678691678691678</v>
      </c>
      <c r="V27" s="25">
        <v>50</v>
      </c>
      <c r="W27" s="25">
        <f t="shared" si="12"/>
        <v>15200</v>
      </c>
      <c r="X27" s="25">
        <f t="shared" si="13"/>
        <v>304</v>
      </c>
      <c r="Y27" s="27" t="s">
        <v>977</v>
      </c>
      <c r="Z27" s="19" t="s">
        <v>35</v>
      </c>
      <c r="AA27" s="19" t="s">
        <v>35</v>
      </c>
      <c r="AB27" s="19" t="s">
        <v>978</v>
      </c>
      <c r="AC27" s="19">
        <v>0</v>
      </c>
      <c r="AD27" s="19">
        <v>1</v>
      </c>
      <c r="AE27" s="19" t="s">
        <v>37</v>
      </c>
      <c r="AF27" s="19" t="s">
        <v>43</v>
      </c>
      <c r="AG27" s="19" t="s">
        <v>38</v>
      </c>
      <c r="AH27" s="19" t="s">
        <v>92</v>
      </c>
    </row>
    <row r="28" spans="1:34" x14ac:dyDescent="0.3">
      <c r="A28" s="74" t="s">
        <v>978</v>
      </c>
      <c r="B28" s="10" t="s">
        <v>1007</v>
      </c>
      <c r="C28" s="10" t="s">
        <v>1008</v>
      </c>
      <c r="D28" s="11">
        <v>45744</v>
      </c>
      <c r="E28" s="12">
        <v>130000</v>
      </c>
      <c r="F28" s="10" t="s">
        <v>32</v>
      </c>
      <c r="G28" s="10" t="s">
        <v>33</v>
      </c>
      <c r="H28" s="12">
        <v>130000</v>
      </c>
      <c r="I28" s="12">
        <v>108900</v>
      </c>
      <c r="J28" s="13">
        <f t="shared" si="7"/>
        <v>83.769230769230774</v>
      </c>
      <c r="K28" s="12">
        <v>243215</v>
      </c>
      <c r="L28" s="12">
        <f>H28-232968</f>
        <v>-102968</v>
      </c>
      <c r="M28" s="12">
        <v>10247</v>
      </c>
      <c r="N28" s="66">
        <f t="shared" si="8"/>
        <v>7.8823076923076926E-2</v>
      </c>
      <c r="O28" s="14">
        <v>56.3</v>
      </c>
      <c r="P28" s="15">
        <v>124.02</v>
      </c>
      <c r="Q28" s="16">
        <v>0.161</v>
      </c>
      <c r="R28" s="16">
        <v>0.161</v>
      </c>
      <c r="S28" s="12">
        <f t="shared" si="9"/>
        <v>-1828.9165186500888</v>
      </c>
      <c r="T28" s="12">
        <f t="shared" si="10"/>
        <v>-639552.79503105592</v>
      </c>
      <c r="U28" s="17">
        <f t="shared" si="11"/>
        <v>-14.682111915313497</v>
      </c>
      <c r="V28" s="16">
        <v>45.96</v>
      </c>
      <c r="W28" s="16">
        <f t="shared" si="12"/>
        <v>26000</v>
      </c>
      <c r="X28" s="16">
        <f t="shared" si="13"/>
        <v>565.70931244560484</v>
      </c>
      <c r="Y28" s="18" t="s">
        <v>977</v>
      </c>
      <c r="Z28" s="10" t="s">
        <v>35</v>
      </c>
      <c r="AA28" s="10" t="s">
        <v>35</v>
      </c>
      <c r="AB28" s="10" t="s">
        <v>978</v>
      </c>
      <c r="AC28" s="10">
        <v>0</v>
      </c>
      <c r="AD28" s="10">
        <v>1</v>
      </c>
      <c r="AE28" s="10" t="s">
        <v>42</v>
      </c>
      <c r="AF28" s="10" t="s">
        <v>35</v>
      </c>
      <c r="AG28" s="10" t="s">
        <v>38</v>
      </c>
      <c r="AH28" s="10" t="s">
        <v>92</v>
      </c>
    </row>
    <row r="29" spans="1:34" x14ac:dyDescent="0.3">
      <c r="A29" s="74" t="s">
        <v>978</v>
      </c>
      <c r="B29" s="10" t="s">
        <v>995</v>
      </c>
      <c r="C29" s="10" t="s">
        <v>996</v>
      </c>
      <c r="D29" s="11">
        <v>45667</v>
      </c>
      <c r="E29" s="12">
        <v>138000</v>
      </c>
      <c r="F29" s="10" t="s">
        <v>32</v>
      </c>
      <c r="G29" s="10" t="s">
        <v>33</v>
      </c>
      <c r="H29" s="12">
        <v>138000</v>
      </c>
      <c r="I29" s="12">
        <v>88700</v>
      </c>
      <c r="J29" s="13">
        <f t="shared" si="7"/>
        <v>64.275362318840578</v>
      </c>
      <c r="K29" s="12">
        <v>196263</v>
      </c>
      <c r="L29" s="12">
        <f>H29-183211</f>
        <v>-45211</v>
      </c>
      <c r="M29" s="12">
        <v>13052</v>
      </c>
      <c r="N29" s="66">
        <f t="shared" si="8"/>
        <v>9.457971014492754E-2</v>
      </c>
      <c r="O29" s="14">
        <v>71.709999999999994</v>
      </c>
      <c r="P29" s="15">
        <v>105.02</v>
      </c>
      <c r="Q29" s="16">
        <v>0.153</v>
      </c>
      <c r="R29" s="16">
        <v>0.153</v>
      </c>
      <c r="S29" s="12">
        <f t="shared" si="9"/>
        <v>-630.46994840329114</v>
      </c>
      <c r="T29" s="12">
        <f t="shared" si="10"/>
        <v>-295496.73202614381</v>
      </c>
      <c r="U29" s="17">
        <f t="shared" si="11"/>
        <v>-6.7836715341171674</v>
      </c>
      <c r="V29" s="16">
        <v>93.55</v>
      </c>
      <c r="W29" s="16">
        <f t="shared" si="12"/>
        <v>27600</v>
      </c>
      <c r="X29" s="16">
        <f t="shared" si="13"/>
        <v>295.0293960448958</v>
      </c>
      <c r="Y29" s="18" t="s">
        <v>977</v>
      </c>
      <c r="Z29" s="10" t="s">
        <v>35</v>
      </c>
      <c r="AA29" s="10" t="s">
        <v>35</v>
      </c>
      <c r="AB29" s="10" t="s">
        <v>978</v>
      </c>
      <c r="AC29" s="10">
        <v>0</v>
      </c>
      <c r="AD29" s="10">
        <v>1</v>
      </c>
      <c r="AE29" s="10" t="s">
        <v>37</v>
      </c>
      <c r="AF29" s="10" t="s">
        <v>35</v>
      </c>
      <c r="AG29" s="10" t="s">
        <v>38</v>
      </c>
      <c r="AH29" s="10" t="s">
        <v>92</v>
      </c>
    </row>
    <row r="30" spans="1:34" x14ac:dyDescent="0.3">
      <c r="A30" s="74" t="s">
        <v>978</v>
      </c>
      <c r="B30" s="10" t="s">
        <v>993</v>
      </c>
      <c r="C30" s="10" t="s">
        <v>994</v>
      </c>
      <c r="D30" s="11">
        <v>45588</v>
      </c>
      <c r="E30" s="12">
        <v>195000</v>
      </c>
      <c r="F30" s="10" t="s">
        <v>32</v>
      </c>
      <c r="G30" s="10" t="s">
        <v>33</v>
      </c>
      <c r="H30" s="12">
        <v>195000</v>
      </c>
      <c r="I30" s="12">
        <v>98800</v>
      </c>
      <c r="J30" s="13">
        <f t="shared" si="7"/>
        <v>50.666666666666671</v>
      </c>
      <c r="K30" s="12">
        <v>219976</v>
      </c>
      <c r="L30" s="12">
        <f>H30-207977</f>
        <v>-12977</v>
      </c>
      <c r="M30" s="12">
        <v>11999</v>
      </c>
      <c r="N30" s="66">
        <f t="shared" si="8"/>
        <v>6.1533333333333336E-2</v>
      </c>
      <c r="O30" s="14">
        <v>65.930000000000007</v>
      </c>
      <c r="P30" s="15">
        <v>152.78</v>
      </c>
      <c r="Q30" s="16">
        <v>0.16900000000000001</v>
      </c>
      <c r="R30" s="16">
        <v>0.16900000000000001</v>
      </c>
      <c r="S30" s="12">
        <f t="shared" si="9"/>
        <v>-196.82997118155617</v>
      </c>
      <c r="T30" s="12">
        <f t="shared" si="10"/>
        <v>-76786.982248520711</v>
      </c>
      <c r="U30" s="17">
        <f t="shared" si="11"/>
        <v>-1.7627865529963433</v>
      </c>
      <c r="V30" s="16">
        <v>71.569999999999993</v>
      </c>
      <c r="W30" s="16">
        <f t="shared" si="12"/>
        <v>39000</v>
      </c>
      <c r="X30" s="16">
        <f t="shared" si="13"/>
        <v>544.92105630850915</v>
      </c>
      <c r="Y30" s="18" t="s">
        <v>977</v>
      </c>
      <c r="Z30" s="10" t="s">
        <v>35</v>
      </c>
      <c r="AA30" s="10" t="s">
        <v>35</v>
      </c>
      <c r="AB30" s="10" t="s">
        <v>978</v>
      </c>
      <c r="AC30" s="10">
        <v>0</v>
      </c>
      <c r="AD30" s="10">
        <v>1</v>
      </c>
      <c r="AE30" s="10" t="s">
        <v>37</v>
      </c>
      <c r="AF30" s="10" t="s">
        <v>35</v>
      </c>
      <c r="AG30" s="10" t="s">
        <v>38</v>
      </c>
      <c r="AH30" s="10" t="s">
        <v>92</v>
      </c>
    </row>
    <row r="31" spans="1:34" x14ac:dyDescent="0.3">
      <c r="A31" s="74" t="s">
        <v>978</v>
      </c>
      <c r="B31" s="10" t="s">
        <v>979</v>
      </c>
      <c r="C31" s="10" t="s">
        <v>980</v>
      </c>
      <c r="D31" s="11">
        <v>45202</v>
      </c>
      <c r="E31" s="12">
        <v>195000</v>
      </c>
      <c r="F31" s="10" t="s">
        <v>32</v>
      </c>
      <c r="G31" s="10" t="s">
        <v>33</v>
      </c>
      <c r="H31" s="12">
        <v>195000</v>
      </c>
      <c r="I31" s="12">
        <v>83100</v>
      </c>
      <c r="J31" s="13">
        <f t="shared" si="7"/>
        <v>42.615384615384613</v>
      </c>
      <c r="K31" s="12">
        <v>211164</v>
      </c>
      <c r="L31" s="12">
        <f>H31-200383</f>
        <v>-5383</v>
      </c>
      <c r="M31" s="12">
        <v>10781</v>
      </c>
      <c r="N31" s="66">
        <f t="shared" si="8"/>
        <v>5.528717948717949E-2</v>
      </c>
      <c r="O31" s="14">
        <v>59.23</v>
      </c>
      <c r="P31" s="15">
        <v>111.61</v>
      </c>
      <c r="Q31" s="16">
        <v>0.14199999999999999</v>
      </c>
      <c r="R31" s="16">
        <v>0.14199999999999999</v>
      </c>
      <c r="S31" s="12">
        <f t="shared" si="9"/>
        <v>-90.882998480499751</v>
      </c>
      <c r="T31" s="12">
        <f t="shared" si="10"/>
        <v>-37908.450704225354</v>
      </c>
      <c r="U31" s="17">
        <f t="shared" si="11"/>
        <v>-0.87025828062959953</v>
      </c>
      <c r="V31" s="16">
        <v>65.349999999999994</v>
      </c>
      <c r="W31" s="16">
        <f t="shared" si="12"/>
        <v>39000</v>
      </c>
      <c r="X31" s="16">
        <f t="shared" si="13"/>
        <v>596.78653404743693</v>
      </c>
      <c r="Y31" s="18" t="s">
        <v>977</v>
      </c>
      <c r="Z31" s="10" t="s">
        <v>35</v>
      </c>
      <c r="AA31" s="10" t="s">
        <v>35</v>
      </c>
      <c r="AB31" s="10" t="s">
        <v>978</v>
      </c>
      <c r="AC31" s="10">
        <v>0</v>
      </c>
      <c r="AD31" s="10">
        <v>1</v>
      </c>
      <c r="AE31" s="10" t="s">
        <v>37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5" t="s">
        <v>978</v>
      </c>
      <c r="B32" s="19" t="s">
        <v>1011</v>
      </c>
      <c r="C32" s="19" t="s">
        <v>1012</v>
      </c>
      <c r="D32" s="20">
        <v>45246</v>
      </c>
      <c r="E32" s="21">
        <v>190000</v>
      </c>
      <c r="F32" s="19" t="s">
        <v>32</v>
      </c>
      <c r="G32" s="19" t="s">
        <v>33</v>
      </c>
      <c r="H32" s="21">
        <v>190000</v>
      </c>
      <c r="I32" s="21">
        <v>80100</v>
      </c>
      <c r="J32" s="22">
        <f t="shared" si="7"/>
        <v>42.157894736842103</v>
      </c>
      <c r="K32" s="21">
        <v>203175</v>
      </c>
      <c r="L32" s="21">
        <f>H32-194250</f>
        <v>-4250</v>
      </c>
      <c r="M32" s="21">
        <v>8925</v>
      </c>
      <c r="N32" s="67">
        <f t="shared" si="8"/>
        <v>4.6973684210526313E-2</v>
      </c>
      <c r="O32" s="23">
        <v>49.03</v>
      </c>
      <c r="P32" s="24">
        <v>114.66</v>
      </c>
      <c r="Q32" s="25">
        <v>0.128</v>
      </c>
      <c r="R32" s="25">
        <v>0.128</v>
      </c>
      <c r="S32" s="21">
        <f t="shared" si="9"/>
        <v>-86.681623495818883</v>
      </c>
      <c r="T32" s="21">
        <f t="shared" si="10"/>
        <v>-33203.125</v>
      </c>
      <c r="U32" s="26">
        <f t="shared" si="11"/>
        <v>-0.7622388659320477</v>
      </c>
      <c r="V32" s="25">
        <v>47</v>
      </c>
      <c r="W32" s="25">
        <f t="shared" si="12"/>
        <v>38000</v>
      </c>
      <c r="X32" s="25">
        <f t="shared" si="13"/>
        <v>808.51063829787233</v>
      </c>
      <c r="Y32" s="27" t="s">
        <v>977</v>
      </c>
      <c r="Z32" s="19" t="s">
        <v>35</v>
      </c>
      <c r="AA32" s="19" t="s">
        <v>35</v>
      </c>
      <c r="AB32" s="19" t="s">
        <v>978</v>
      </c>
      <c r="AC32" s="19">
        <v>0</v>
      </c>
      <c r="AD32" s="19">
        <v>1</v>
      </c>
      <c r="AE32" s="19" t="s">
        <v>37</v>
      </c>
      <c r="AF32" s="19" t="s">
        <v>43</v>
      </c>
      <c r="AG32" s="19" t="s">
        <v>38</v>
      </c>
      <c r="AH32" s="19" t="s">
        <v>92</v>
      </c>
    </row>
  </sheetData>
  <sortState xmlns:xlrd2="http://schemas.microsoft.com/office/spreadsheetml/2017/richdata2" ref="A2:AH20">
    <sortCondition ref="S2:S20"/>
  </sortState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rgb="FF00B050"/>
  </sheetPr>
  <dimension ref="A1:AH43"/>
  <sheetViews>
    <sheetView workbookViewId="0">
      <selection activeCell="E30" sqref="E30:M36"/>
    </sheetView>
  </sheetViews>
  <sheetFormatPr defaultRowHeight="14.4" x14ac:dyDescent="0.3"/>
  <cols>
    <col min="1" max="1" width="10.44140625" style="55" bestFit="1" customWidth="1" collapsed="1"/>
    <col min="2" max="2" width="16.88671875" bestFit="1" customWidth="1" collapsed="1"/>
    <col min="3" max="3" width="18.109375" bestFit="1" customWidth="1" collapsed="1"/>
    <col min="4" max="4" width="10.664062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1029</v>
      </c>
      <c r="B2" s="10" t="s">
        <v>1050</v>
      </c>
      <c r="C2" s="10" t="s">
        <v>1051</v>
      </c>
      <c r="D2" s="11">
        <v>45741</v>
      </c>
      <c r="E2" s="12">
        <v>175000</v>
      </c>
      <c r="F2" s="10" t="s">
        <v>32</v>
      </c>
      <c r="G2" s="10" t="s">
        <v>33</v>
      </c>
      <c r="H2" s="12">
        <v>175000</v>
      </c>
      <c r="I2" s="12">
        <v>95700</v>
      </c>
      <c r="J2" s="13">
        <f t="shared" ref="J2:J26" si="0">I2/H2*100</f>
        <v>54.685714285714283</v>
      </c>
      <c r="K2" s="12">
        <v>205661</v>
      </c>
      <c r="L2" s="12">
        <f>H2-195901</f>
        <v>-20901</v>
      </c>
      <c r="M2" s="12">
        <v>9760</v>
      </c>
      <c r="N2" s="66">
        <f t="shared" ref="N2:N26" si="1">M2/E2</f>
        <v>5.5771428571428569E-2</v>
      </c>
      <c r="O2" s="14">
        <v>55.76</v>
      </c>
      <c r="P2" s="15">
        <v>136.85</v>
      </c>
      <c r="Q2" s="16">
        <v>0.157</v>
      </c>
      <c r="R2" s="16">
        <v>0.157</v>
      </c>
      <c r="S2" s="12">
        <f t="shared" ref="S2:S26" si="2">L2/O2</f>
        <v>-374.83859397417507</v>
      </c>
      <c r="T2" s="12">
        <f t="shared" ref="T2:T26" si="3">L2/Q2</f>
        <v>-133127.38853503185</v>
      </c>
      <c r="U2" s="17">
        <f t="shared" ref="U2:U26" si="4">L2/Q2/43560</f>
        <v>-3.0561843098033021</v>
      </c>
      <c r="V2" s="16">
        <v>50</v>
      </c>
      <c r="W2" s="16">
        <f t="shared" ref="W2:W26" si="5">0.2*E2</f>
        <v>35000</v>
      </c>
      <c r="X2" s="16">
        <f t="shared" ref="X2:X26" si="6">W2/V2</f>
        <v>700</v>
      </c>
      <c r="Y2" s="18" t="s">
        <v>1028</v>
      </c>
      <c r="Z2" s="10" t="s">
        <v>35</v>
      </c>
      <c r="AA2" s="10" t="s">
        <v>35</v>
      </c>
      <c r="AB2" s="10" t="s">
        <v>1029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38</v>
      </c>
      <c r="AH2" s="10" t="s">
        <v>92</v>
      </c>
    </row>
    <row r="3" spans="1:34" x14ac:dyDescent="0.3">
      <c r="A3" s="74" t="s">
        <v>1029</v>
      </c>
      <c r="B3" s="10" t="s">
        <v>1073</v>
      </c>
      <c r="C3" s="10" t="s">
        <v>1074</v>
      </c>
      <c r="D3" s="11">
        <v>45502</v>
      </c>
      <c r="E3" s="12">
        <v>137900</v>
      </c>
      <c r="F3" s="10" t="s">
        <v>81</v>
      </c>
      <c r="G3" s="10" t="s">
        <v>33</v>
      </c>
      <c r="H3" s="12">
        <v>137900</v>
      </c>
      <c r="I3" s="12">
        <v>74900</v>
      </c>
      <c r="J3" s="13">
        <f t="shared" si="0"/>
        <v>54.314720812182735</v>
      </c>
      <c r="K3" s="12">
        <v>162240</v>
      </c>
      <c r="L3" s="12">
        <f>H3-153490</f>
        <v>-15590</v>
      </c>
      <c r="M3" s="12">
        <v>8750</v>
      </c>
      <c r="N3" s="66">
        <f t="shared" si="1"/>
        <v>6.3451776649746189E-2</v>
      </c>
      <c r="O3" s="14">
        <v>50</v>
      </c>
      <c r="P3" s="15">
        <v>110</v>
      </c>
      <c r="Q3" s="16">
        <v>0.126</v>
      </c>
      <c r="R3" s="16">
        <v>0.126</v>
      </c>
      <c r="S3" s="12">
        <f t="shared" si="2"/>
        <v>-311.8</v>
      </c>
      <c r="T3" s="12">
        <f t="shared" si="3"/>
        <v>-123730.15873015873</v>
      </c>
      <c r="U3" s="17">
        <f t="shared" si="4"/>
        <v>-2.8404535980293555</v>
      </c>
      <c r="V3" s="16">
        <v>50</v>
      </c>
      <c r="W3" s="16">
        <f t="shared" si="5"/>
        <v>27580</v>
      </c>
      <c r="X3" s="16">
        <f t="shared" si="6"/>
        <v>551.6</v>
      </c>
      <c r="Y3" s="18" t="s">
        <v>1028</v>
      </c>
      <c r="Z3" s="10" t="s">
        <v>35</v>
      </c>
      <c r="AA3" s="10" t="s">
        <v>35</v>
      </c>
      <c r="AB3" s="10" t="s">
        <v>1029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1029</v>
      </c>
      <c r="B4" s="10" t="s">
        <v>1034</v>
      </c>
      <c r="C4" s="10" t="s">
        <v>1035</v>
      </c>
      <c r="D4" s="11">
        <v>45539</v>
      </c>
      <c r="E4" s="12">
        <v>130000</v>
      </c>
      <c r="F4" s="10" t="s">
        <v>32</v>
      </c>
      <c r="G4" s="10" t="s">
        <v>33</v>
      </c>
      <c r="H4" s="12">
        <v>130000</v>
      </c>
      <c r="I4" s="12">
        <v>68500</v>
      </c>
      <c r="J4" s="13">
        <f t="shared" si="0"/>
        <v>52.692307692307693</v>
      </c>
      <c r="K4" s="12">
        <v>146406</v>
      </c>
      <c r="L4" s="12">
        <f>H4-139406</f>
        <v>-9406</v>
      </c>
      <c r="M4" s="12">
        <v>7000</v>
      </c>
      <c r="N4" s="66">
        <f t="shared" si="1"/>
        <v>5.3846153846153849E-2</v>
      </c>
      <c r="O4" s="14">
        <v>40</v>
      </c>
      <c r="P4" s="15">
        <v>110</v>
      </c>
      <c r="Q4" s="16">
        <v>0.10100000000000001</v>
      </c>
      <c r="R4" s="16">
        <v>0.10100000000000001</v>
      </c>
      <c r="S4" s="12">
        <f t="shared" si="2"/>
        <v>-235.15</v>
      </c>
      <c r="T4" s="12">
        <f t="shared" si="3"/>
        <v>-93128.71287128712</v>
      </c>
      <c r="U4" s="17">
        <f t="shared" si="4"/>
        <v>-2.1379410668339558</v>
      </c>
      <c r="V4" s="16">
        <v>40</v>
      </c>
      <c r="W4" s="16">
        <f t="shared" si="5"/>
        <v>26000</v>
      </c>
      <c r="X4" s="16">
        <f t="shared" si="6"/>
        <v>650</v>
      </c>
      <c r="Y4" s="18" t="s">
        <v>1028</v>
      </c>
      <c r="Z4" s="10" t="s">
        <v>35</v>
      </c>
      <c r="AA4" s="10" t="s">
        <v>35</v>
      </c>
      <c r="AB4" s="10" t="s">
        <v>1029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1029</v>
      </c>
      <c r="B5" s="10" t="s">
        <v>1089</v>
      </c>
      <c r="C5" s="10" t="s">
        <v>1090</v>
      </c>
      <c r="D5" s="11">
        <v>45035</v>
      </c>
      <c r="E5" s="12">
        <v>168000</v>
      </c>
      <c r="F5" s="10" t="s">
        <v>32</v>
      </c>
      <c r="G5" s="10" t="s">
        <v>33</v>
      </c>
      <c r="H5" s="12">
        <v>168000</v>
      </c>
      <c r="I5" s="12">
        <v>85700</v>
      </c>
      <c r="J5" s="13">
        <f t="shared" si="0"/>
        <v>51.011904761904759</v>
      </c>
      <c r="K5" s="12">
        <v>194756</v>
      </c>
      <c r="L5" s="12">
        <f>H5-181255</f>
        <v>-13255</v>
      </c>
      <c r="M5" s="12">
        <v>13501</v>
      </c>
      <c r="N5" s="66">
        <f t="shared" si="1"/>
        <v>8.0363095238095233E-2</v>
      </c>
      <c r="O5" s="14">
        <v>77.14</v>
      </c>
      <c r="P5" s="15">
        <v>116.39</v>
      </c>
      <c r="Q5" s="16">
        <v>0.2</v>
      </c>
      <c r="R5" s="16">
        <v>0.2</v>
      </c>
      <c r="S5" s="12">
        <f t="shared" si="2"/>
        <v>-171.83043816437646</v>
      </c>
      <c r="T5" s="12">
        <f t="shared" si="3"/>
        <v>-66275</v>
      </c>
      <c r="U5" s="17">
        <f t="shared" si="4"/>
        <v>-1.5214646464646464</v>
      </c>
      <c r="V5" s="16">
        <v>75</v>
      </c>
      <c r="W5" s="16">
        <f t="shared" si="5"/>
        <v>33600</v>
      </c>
      <c r="X5" s="16">
        <f t="shared" si="6"/>
        <v>448</v>
      </c>
      <c r="Y5" s="18" t="s">
        <v>1028</v>
      </c>
      <c r="Z5" s="10" t="s">
        <v>35</v>
      </c>
      <c r="AA5" s="10" t="s">
        <v>35</v>
      </c>
      <c r="AB5" s="10" t="s">
        <v>1029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1029</v>
      </c>
      <c r="B6" s="10" t="s">
        <v>1056</v>
      </c>
      <c r="C6" s="10" t="s">
        <v>1057</v>
      </c>
      <c r="D6" s="11">
        <v>45274</v>
      </c>
      <c r="E6" s="12">
        <v>205000</v>
      </c>
      <c r="F6" s="10" t="s">
        <v>32</v>
      </c>
      <c r="G6" s="10" t="s">
        <v>33</v>
      </c>
      <c r="H6" s="12">
        <v>205000</v>
      </c>
      <c r="I6" s="12">
        <v>92100</v>
      </c>
      <c r="J6" s="13">
        <f t="shared" si="0"/>
        <v>44.926829268292686</v>
      </c>
      <c r="K6" s="12">
        <v>221408</v>
      </c>
      <c r="L6" s="12">
        <f>H6-212308</f>
        <v>-7308</v>
      </c>
      <c r="M6" s="12">
        <v>9100</v>
      </c>
      <c r="N6" s="66">
        <f t="shared" si="1"/>
        <v>4.4390243902439022E-2</v>
      </c>
      <c r="O6" s="14">
        <v>52</v>
      </c>
      <c r="P6" s="15">
        <v>110</v>
      </c>
      <c r="Q6" s="16">
        <v>0.13100000000000001</v>
      </c>
      <c r="R6" s="16">
        <v>0.13100000000000001</v>
      </c>
      <c r="S6" s="12">
        <f t="shared" si="2"/>
        <v>-140.53846153846155</v>
      </c>
      <c r="T6" s="12">
        <f t="shared" si="3"/>
        <v>-55786.259541984728</v>
      </c>
      <c r="U6" s="17">
        <f t="shared" si="4"/>
        <v>-1.280676298025361</v>
      </c>
      <c r="V6" s="16">
        <v>52</v>
      </c>
      <c r="W6" s="16">
        <f t="shared" si="5"/>
        <v>41000</v>
      </c>
      <c r="X6" s="16">
        <f t="shared" si="6"/>
        <v>788.46153846153845</v>
      </c>
      <c r="Y6" s="18" t="s">
        <v>1028</v>
      </c>
      <c r="Z6" s="10" t="s">
        <v>35</v>
      </c>
      <c r="AA6" s="10" t="s">
        <v>35</v>
      </c>
      <c r="AB6" s="10" t="s">
        <v>1029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1029</v>
      </c>
      <c r="B7" s="10" t="s">
        <v>1087</v>
      </c>
      <c r="C7" s="10" t="s">
        <v>1088</v>
      </c>
      <c r="D7" s="11">
        <v>45562</v>
      </c>
      <c r="E7" s="12">
        <v>168000</v>
      </c>
      <c r="F7" s="10" t="s">
        <v>32</v>
      </c>
      <c r="G7" s="10" t="s">
        <v>33</v>
      </c>
      <c r="H7" s="12">
        <v>168000</v>
      </c>
      <c r="I7" s="12">
        <v>76900</v>
      </c>
      <c r="J7" s="13">
        <f t="shared" si="0"/>
        <v>45.773809523809526</v>
      </c>
      <c r="K7" s="12">
        <v>166425</v>
      </c>
      <c r="L7" s="12">
        <f>H7-158082</f>
        <v>9918</v>
      </c>
      <c r="M7" s="12">
        <v>8343</v>
      </c>
      <c r="N7" s="66">
        <f t="shared" si="1"/>
        <v>4.9660714285714287E-2</v>
      </c>
      <c r="O7" s="14">
        <v>47.67</v>
      </c>
      <c r="P7" s="15">
        <v>100</v>
      </c>
      <c r="Q7" s="16">
        <v>0.115</v>
      </c>
      <c r="R7" s="16">
        <v>0.115</v>
      </c>
      <c r="S7" s="12">
        <f t="shared" si="2"/>
        <v>208.05538074260539</v>
      </c>
      <c r="T7" s="12">
        <f t="shared" si="3"/>
        <v>86243.478260869568</v>
      </c>
      <c r="U7" s="17">
        <f t="shared" si="4"/>
        <v>1.9798778296802013</v>
      </c>
      <c r="V7" s="16">
        <v>50</v>
      </c>
      <c r="W7" s="16">
        <f t="shared" si="5"/>
        <v>33600</v>
      </c>
      <c r="X7" s="16">
        <f t="shared" si="6"/>
        <v>672</v>
      </c>
      <c r="Y7" s="18" t="s">
        <v>1028</v>
      </c>
      <c r="Z7" s="10" t="s">
        <v>35</v>
      </c>
      <c r="AA7" s="10" t="s">
        <v>35</v>
      </c>
      <c r="AB7" s="10" t="s">
        <v>1029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1029</v>
      </c>
      <c r="B8" s="19" t="s">
        <v>1054</v>
      </c>
      <c r="C8" s="19" t="s">
        <v>1055</v>
      </c>
      <c r="D8" s="20">
        <v>45264</v>
      </c>
      <c r="E8" s="21">
        <v>185000</v>
      </c>
      <c r="F8" s="19" t="s">
        <v>32</v>
      </c>
      <c r="G8" s="19" t="s">
        <v>33</v>
      </c>
      <c r="H8" s="21">
        <v>185000</v>
      </c>
      <c r="I8" s="21">
        <v>75700</v>
      </c>
      <c r="J8" s="22">
        <f t="shared" si="0"/>
        <v>40.918918918918919</v>
      </c>
      <c r="K8" s="21">
        <v>179040</v>
      </c>
      <c r="L8" s="21">
        <f>H8-168773</f>
        <v>16227</v>
      </c>
      <c r="M8" s="21">
        <v>10267</v>
      </c>
      <c r="N8" s="67">
        <f t="shared" si="1"/>
        <v>5.5497297297297299E-2</v>
      </c>
      <c r="O8" s="23">
        <v>58.66</v>
      </c>
      <c r="P8" s="24">
        <v>134.79</v>
      </c>
      <c r="Q8" s="25">
        <v>0.16400000000000001</v>
      </c>
      <c r="R8" s="25">
        <v>0.16400000000000001</v>
      </c>
      <c r="S8" s="21">
        <f t="shared" si="2"/>
        <v>276.62802591203547</v>
      </c>
      <c r="T8" s="21">
        <f t="shared" si="3"/>
        <v>98945.121951219509</v>
      </c>
      <c r="U8" s="26">
        <f t="shared" si="4"/>
        <v>2.2714674460794195</v>
      </c>
      <c r="V8" s="25">
        <v>53</v>
      </c>
      <c r="W8" s="25">
        <f t="shared" si="5"/>
        <v>37000</v>
      </c>
      <c r="X8" s="25">
        <f t="shared" si="6"/>
        <v>698.11320754716985</v>
      </c>
      <c r="Y8" s="27" t="s">
        <v>1028</v>
      </c>
      <c r="Z8" s="19" t="s">
        <v>35</v>
      </c>
      <c r="AA8" s="19" t="s">
        <v>35</v>
      </c>
      <c r="AB8" s="19" t="s">
        <v>1029</v>
      </c>
      <c r="AC8" s="19">
        <v>0</v>
      </c>
      <c r="AD8" s="19">
        <v>1</v>
      </c>
      <c r="AE8" s="19" t="s">
        <v>37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1029</v>
      </c>
      <c r="B9" s="10" t="s">
        <v>1026</v>
      </c>
      <c r="C9" s="10" t="s">
        <v>1027</v>
      </c>
      <c r="D9" s="11">
        <v>45107</v>
      </c>
      <c r="E9" s="12">
        <v>228000</v>
      </c>
      <c r="F9" s="10" t="s">
        <v>32</v>
      </c>
      <c r="G9" s="10" t="s">
        <v>33</v>
      </c>
      <c r="H9" s="12">
        <v>228000</v>
      </c>
      <c r="I9" s="12">
        <v>96000</v>
      </c>
      <c r="J9" s="13">
        <f t="shared" si="0"/>
        <v>42.105263157894733</v>
      </c>
      <c r="K9" s="12">
        <v>221435</v>
      </c>
      <c r="L9" s="12">
        <f>H9-213566</f>
        <v>14434</v>
      </c>
      <c r="M9" s="12">
        <v>7869</v>
      </c>
      <c r="N9" s="66">
        <f t="shared" si="1"/>
        <v>3.4513157894736843E-2</v>
      </c>
      <c r="O9" s="14">
        <v>44.96</v>
      </c>
      <c r="P9" s="15">
        <v>139</v>
      </c>
      <c r="Q9" s="16">
        <v>0.128</v>
      </c>
      <c r="R9" s="16">
        <v>0.128</v>
      </c>
      <c r="S9" s="12">
        <f t="shared" si="2"/>
        <v>321.04092526690391</v>
      </c>
      <c r="T9" s="12">
        <f t="shared" si="3"/>
        <v>112765.625</v>
      </c>
      <c r="U9" s="17">
        <f t="shared" si="4"/>
        <v>2.5887425390266299</v>
      </c>
      <c r="V9" s="16">
        <v>40</v>
      </c>
      <c r="W9" s="16">
        <f t="shared" si="5"/>
        <v>45600</v>
      </c>
      <c r="X9" s="16">
        <f t="shared" si="6"/>
        <v>1140</v>
      </c>
      <c r="Y9" s="18" t="s">
        <v>1028</v>
      </c>
      <c r="Z9" s="10" t="s">
        <v>35</v>
      </c>
      <c r="AA9" s="10" t="s">
        <v>35</v>
      </c>
      <c r="AB9" s="10" t="s">
        <v>1029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1029</v>
      </c>
      <c r="B10" s="19" t="s">
        <v>1044</v>
      </c>
      <c r="C10" s="19" t="s">
        <v>1045</v>
      </c>
      <c r="D10" s="20">
        <v>45108</v>
      </c>
      <c r="E10" s="21">
        <v>172000</v>
      </c>
      <c r="F10" s="19" t="s">
        <v>32</v>
      </c>
      <c r="G10" s="19" t="s">
        <v>33</v>
      </c>
      <c r="H10" s="21">
        <v>172000</v>
      </c>
      <c r="I10" s="21">
        <v>69000</v>
      </c>
      <c r="J10" s="22">
        <f t="shared" si="0"/>
        <v>40.116279069767444</v>
      </c>
      <c r="K10" s="21">
        <v>163966</v>
      </c>
      <c r="L10" s="21">
        <f>H10-154866</f>
        <v>17134</v>
      </c>
      <c r="M10" s="21">
        <v>9100</v>
      </c>
      <c r="N10" s="67">
        <f t="shared" si="1"/>
        <v>5.2906976744186048E-2</v>
      </c>
      <c r="O10" s="23">
        <v>52</v>
      </c>
      <c r="P10" s="24">
        <v>110</v>
      </c>
      <c r="Q10" s="25">
        <v>0.13100000000000001</v>
      </c>
      <c r="R10" s="25">
        <v>0.13100000000000001</v>
      </c>
      <c r="S10" s="21">
        <f t="shared" si="2"/>
        <v>329.5</v>
      </c>
      <c r="T10" s="21">
        <f t="shared" si="3"/>
        <v>130793.89312977099</v>
      </c>
      <c r="U10" s="26">
        <f t="shared" si="4"/>
        <v>3.0026146264869373</v>
      </c>
      <c r="V10" s="25">
        <v>52</v>
      </c>
      <c r="W10" s="25">
        <f t="shared" si="5"/>
        <v>34400</v>
      </c>
      <c r="X10" s="25">
        <f t="shared" si="6"/>
        <v>661.53846153846155</v>
      </c>
      <c r="Y10" s="27" t="s">
        <v>1028</v>
      </c>
      <c r="Z10" s="19" t="s">
        <v>35</v>
      </c>
      <c r="AA10" s="19" t="s">
        <v>35</v>
      </c>
      <c r="AB10" s="19" t="s">
        <v>1029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1029</v>
      </c>
      <c r="B11" s="10" t="s">
        <v>1081</v>
      </c>
      <c r="C11" s="10" t="s">
        <v>1082</v>
      </c>
      <c r="D11" s="11">
        <v>45134</v>
      </c>
      <c r="E11" s="12">
        <v>194500</v>
      </c>
      <c r="F11" s="10" t="s">
        <v>32</v>
      </c>
      <c r="G11" s="10" t="s">
        <v>33</v>
      </c>
      <c r="H11" s="12">
        <v>194500</v>
      </c>
      <c r="I11" s="12">
        <v>78600</v>
      </c>
      <c r="J11" s="13">
        <f t="shared" si="0"/>
        <v>40.411311053984576</v>
      </c>
      <c r="K11" s="12">
        <v>186713</v>
      </c>
      <c r="L11" s="12">
        <f>H11-178370</f>
        <v>16130</v>
      </c>
      <c r="M11" s="12">
        <v>8343</v>
      </c>
      <c r="N11" s="66">
        <f t="shared" si="1"/>
        <v>4.289460154241645E-2</v>
      </c>
      <c r="O11" s="14">
        <v>47.67</v>
      </c>
      <c r="P11" s="15">
        <v>100</v>
      </c>
      <c r="Q11" s="16">
        <v>0.115</v>
      </c>
      <c r="R11" s="16">
        <v>0.115</v>
      </c>
      <c r="S11" s="12">
        <f t="shared" si="2"/>
        <v>338.36794629746169</v>
      </c>
      <c r="T11" s="12">
        <f t="shared" si="3"/>
        <v>140260.86956521738</v>
      </c>
      <c r="U11" s="17">
        <f t="shared" si="4"/>
        <v>3.2199465005789114</v>
      </c>
      <c r="V11" s="16">
        <v>50</v>
      </c>
      <c r="W11" s="16">
        <f t="shared" si="5"/>
        <v>38900</v>
      </c>
      <c r="X11" s="16">
        <f t="shared" si="6"/>
        <v>778</v>
      </c>
      <c r="Y11" s="18" t="s">
        <v>1028</v>
      </c>
      <c r="Z11" s="10" t="s">
        <v>35</v>
      </c>
      <c r="AA11" s="10" t="s">
        <v>35</v>
      </c>
      <c r="AB11" s="10" t="s">
        <v>1029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1029</v>
      </c>
      <c r="B12" s="19" t="s">
        <v>1030</v>
      </c>
      <c r="C12" s="19" t="s">
        <v>1031</v>
      </c>
      <c r="D12" s="20">
        <v>45433</v>
      </c>
      <c r="E12" s="21">
        <v>201000</v>
      </c>
      <c r="F12" s="19" t="s">
        <v>32</v>
      </c>
      <c r="G12" s="19" t="s">
        <v>33</v>
      </c>
      <c r="H12" s="21">
        <v>201000</v>
      </c>
      <c r="I12" s="21">
        <v>87300</v>
      </c>
      <c r="J12" s="22">
        <f t="shared" si="0"/>
        <v>43.432835820895519</v>
      </c>
      <c r="K12" s="21">
        <v>187862</v>
      </c>
      <c r="L12" s="21">
        <f>H12-178616</f>
        <v>22384</v>
      </c>
      <c r="M12" s="21">
        <v>9246</v>
      </c>
      <c r="N12" s="67">
        <f t="shared" si="1"/>
        <v>4.5999999999999999E-2</v>
      </c>
      <c r="O12" s="23">
        <v>52.83</v>
      </c>
      <c r="P12" s="24">
        <v>139</v>
      </c>
      <c r="Q12" s="25">
        <v>0.15</v>
      </c>
      <c r="R12" s="25">
        <v>0.15</v>
      </c>
      <c r="S12" s="21">
        <f t="shared" si="2"/>
        <v>423.69865606662881</v>
      </c>
      <c r="T12" s="21">
        <f t="shared" si="3"/>
        <v>149226.66666666669</v>
      </c>
      <c r="U12" s="26">
        <f t="shared" si="4"/>
        <v>3.4257728803183354</v>
      </c>
      <c r="V12" s="25">
        <v>47</v>
      </c>
      <c r="W12" s="25">
        <f t="shared" si="5"/>
        <v>40200</v>
      </c>
      <c r="X12" s="25">
        <f t="shared" si="6"/>
        <v>855.31914893617022</v>
      </c>
      <c r="Y12" s="27" t="s">
        <v>1028</v>
      </c>
      <c r="Z12" s="19" t="s">
        <v>35</v>
      </c>
      <c r="AA12" s="19" t="s">
        <v>35</v>
      </c>
      <c r="AB12" s="19" t="s">
        <v>1029</v>
      </c>
      <c r="AC12" s="19">
        <v>0</v>
      </c>
      <c r="AD12" s="19">
        <v>1</v>
      </c>
      <c r="AE12" s="19" t="s">
        <v>42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5" t="s">
        <v>1029</v>
      </c>
      <c r="B13" s="19" t="s">
        <v>1077</v>
      </c>
      <c r="C13" s="19" t="s">
        <v>1078</v>
      </c>
      <c r="D13" s="20">
        <v>45541</v>
      </c>
      <c r="E13" s="21">
        <v>200000</v>
      </c>
      <c r="F13" s="19" t="s">
        <v>32</v>
      </c>
      <c r="G13" s="19" t="s">
        <v>33</v>
      </c>
      <c r="H13" s="21">
        <v>200000</v>
      </c>
      <c r="I13" s="21">
        <v>85100</v>
      </c>
      <c r="J13" s="22">
        <f t="shared" si="0"/>
        <v>42.55</v>
      </c>
      <c r="K13" s="21">
        <v>184033</v>
      </c>
      <c r="L13" s="21">
        <f>H13-175147</f>
        <v>24853</v>
      </c>
      <c r="M13" s="21">
        <v>8886</v>
      </c>
      <c r="N13" s="67">
        <f t="shared" si="1"/>
        <v>4.4429999999999997E-2</v>
      </c>
      <c r="O13" s="23">
        <v>50.77</v>
      </c>
      <c r="P13" s="24">
        <v>111.2</v>
      </c>
      <c r="Q13" s="25">
        <v>0.13</v>
      </c>
      <c r="R13" s="25">
        <v>0.13</v>
      </c>
      <c r="S13" s="21">
        <f t="shared" si="2"/>
        <v>489.52137088831984</v>
      </c>
      <c r="T13" s="21">
        <f t="shared" si="3"/>
        <v>191176.92307692306</v>
      </c>
      <c r="U13" s="26">
        <f t="shared" si="4"/>
        <v>4.388818252454616</v>
      </c>
      <c r="V13" s="25">
        <v>50</v>
      </c>
      <c r="W13" s="25">
        <f t="shared" si="5"/>
        <v>40000</v>
      </c>
      <c r="X13" s="25">
        <f t="shared" si="6"/>
        <v>800</v>
      </c>
      <c r="Y13" s="27" t="s">
        <v>1028</v>
      </c>
      <c r="Z13" s="19" t="s">
        <v>35</v>
      </c>
      <c r="AA13" s="19" t="s">
        <v>35</v>
      </c>
      <c r="AB13" s="19" t="s">
        <v>1029</v>
      </c>
      <c r="AC13" s="19">
        <v>0</v>
      </c>
      <c r="AD13" s="19">
        <v>1</v>
      </c>
      <c r="AE13" s="19" t="s">
        <v>37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1029</v>
      </c>
      <c r="B14" s="19" t="s">
        <v>1091</v>
      </c>
      <c r="C14" s="19" t="s">
        <v>1092</v>
      </c>
      <c r="D14" s="20">
        <v>45428</v>
      </c>
      <c r="E14" s="21">
        <v>196000</v>
      </c>
      <c r="F14" s="19" t="s">
        <v>32</v>
      </c>
      <c r="G14" s="19" t="s">
        <v>33</v>
      </c>
      <c r="H14" s="21">
        <v>196000</v>
      </c>
      <c r="I14" s="21">
        <v>82000</v>
      </c>
      <c r="J14" s="22">
        <f t="shared" si="0"/>
        <v>41.836734693877553</v>
      </c>
      <c r="K14" s="21">
        <v>177254</v>
      </c>
      <c r="L14" s="21">
        <f>H14-167298</f>
        <v>28702</v>
      </c>
      <c r="M14" s="21">
        <v>9956</v>
      </c>
      <c r="N14" s="67">
        <f t="shared" si="1"/>
        <v>5.079591836734694E-2</v>
      </c>
      <c r="O14" s="23">
        <v>56.88</v>
      </c>
      <c r="P14" s="24">
        <v>116.62</v>
      </c>
      <c r="Q14" s="25">
        <v>0.14799999999999999</v>
      </c>
      <c r="R14" s="25">
        <v>0.14799999999999999</v>
      </c>
      <c r="S14" s="21">
        <f t="shared" si="2"/>
        <v>504.60618846694791</v>
      </c>
      <c r="T14" s="21">
        <f t="shared" si="3"/>
        <v>193932.43243243246</v>
      </c>
      <c r="U14" s="26">
        <f t="shared" si="4"/>
        <v>4.4520760429851345</v>
      </c>
      <c r="V14" s="25">
        <v>55</v>
      </c>
      <c r="W14" s="25">
        <f t="shared" si="5"/>
        <v>39200</v>
      </c>
      <c r="X14" s="25">
        <f t="shared" si="6"/>
        <v>712.72727272727275</v>
      </c>
      <c r="Y14" s="27" t="s">
        <v>1028</v>
      </c>
      <c r="Z14" s="19" t="s">
        <v>35</v>
      </c>
      <c r="AA14" s="19" t="s">
        <v>35</v>
      </c>
      <c r="AB14" s="19" t="s">
        <v>1029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5" t="s">
        <v>1029</v>
      </c>
      <c r="B15" s="19" t="s">
        <v>1036</v>
      </c>
      <c r="C15" s="19" t="s">
        <v>1037</v>
      </c>
      <c r="D15" s="20">
        <v>45364</v>
      </c>
      <c r="E15" s="21">
        <v>199900</v>
      </c>
      <c r="F15" s="19" t="s">
        <v>32</v>
      </c>
      <c r="G15" s="19" t="s">
        <v>33</v>
      </c>
      <c r="H15" s="21">
        <v>199900</v>
      </c>
      <c r="I15" s="21">
        <v>76000</v>
      </c>
      <c r="J15" s="22">
        <f t="shared" si="0"/>
        <v>38.019009504752376</v>
      </c>
      <c r="K15" s="21">
        <v>179932</v>
      </c>
      <c r="L15" s="21">
        <f>H15-169997</f>
        <v>29903</v>
      </c>
      <c r="M15" s="21">
        <v>9935</v>
      </c>
      <c r="N15" s="67">
        <f t="shared" si="1"/>
        <v>4.9699849924962479E-2</v>
      </c>
      <c r="O15" s="23">
        <v>56.76</v>
      </c>
      <c r="P15" s="24">
        <v>108.79</v>
      </c>
      <c r="Q15" s="25">
        <v>0.14799999999999999</v>
      </c>
      <c r="R15" s="25">
        <v>0.14799999999999999</v>
      </c>
      <c r="S15" s="21">
        <f t="shared" si="2"/>
        <v>526.83227625088091</v>
      </c>
      <c r="T15" s="21">
        <f t="shared" si="3"/>
        <v>202047.29729729731</v>
      </c>
      <c r="U15" s="26">
        <f t="shared" si="4"/>
        <v>4.6383677065495252</v>
      </c>
      <c r="V15" s="25">
        <v>52.56</v>
      </c>
      <c r="W15" s="25">
        <f t="shared" si="5"/>
        <v>39980</v>
      </c>
      <c r="X15" s="25">
        <f t="shared" si="6"/>
        <v>760.65449010654481</v>
      </c>
      <c r="Y15" s="27" t="s">
        <v>1028</v>
      </c>
      <c r="Z15" s="19" t="s">
        <v>35</v>
      </c>
      <c r="AA15" s="19" t="s">
        <v>35</v>
      </c>
      <c r="AB15" s="19" t="s">
        <v>1029</v>
      </c>
      <c r="AC15" s="19">
        <v>0</v>
      </c>
      <c r="AD15" s="19">
        <v>1</v>
      </c>
      <c r="AE15" s="19" t="s">
        <v>37</v>
      </c>
      <c r="AF15" s="19" t="s">
        <v>43</v>
      </c>
      <c r="AG15" s="19" t="s">
        <v>38</v>
      </c>
      <c r="AH15" s="19" t="s">
        <v>92</v>
      </c>
    </row>
    <row r="16" spans="1:34" x14ac:dyDescent="0.3">
      <c r="A16" s="74" t="s">
        <v>1029</v>
      </c>
      <c r="B16" s="10" t="s">
        <v>1048</v>
      </c>
      <c r="C16" s="10" t="s">
        <v>1049</v>
      </c>
      <c r="D16" s="11">
        <v>45485</v>
      </c>
      <c r="E16" s="12">
        <v>195500</v>
      </c>
      <c r="F16" s="10" t="s">
        <v>32</v>
      </c>
      <c r="G16" s="10" t="s">
        <v>33</v>
      </c>
      <c r="H16" s="12">
        <v>195500</v>
      </c>
      <c r="I16" s="12">
        <v>82100</v>
      </c>
      <c r="J16" s="13">
        <f t="shared" si="0"/>
        <v>41.994884910485936</v>
      </c>
      <c r="K16" s="12">
        <v>177552</v>
      </c>
      <c r="L16" s="12">
        <f>H16-168802</f>
        <v>26698</v>
      </c>
      <c r="M16" s="12">
        <v>8750</v>
      </c>
      <c r="N16" s="66">
        <f t="shared" si="1"/>
        <v>4.4757033248081841E-2</v>
      </c>
      <c r="O16" s="14">
        <v>50</v>
      </c>
      <c r="P16" s="15">
        <v>110</v>
      </c>
      <c r="Q16" s="16">
        <v>0.126</v>
      </c>
      <c r="R16" s="16">
        <v>0.126</v>
      </c>
      <c r="S16" s="12">
        <f t="shared" si="2"/>
        <v>533.96</v>
      </c>
      <c r="T16" s="12">
        <f t="shared" si="3"/>
        <v>211888.88888888888</v>
      </c>
      <c r="U16" s="17">
        <f t="shared" si="4"/>
        <v>4.8642995612692577</v>
      </c>
      <c r="V16" s="16">
        <v>50</v>
      </c>
      <c r="W16" s="16">
        <f t="shared" si="5"/>
        <v>39100</v>
      </c>
      <c r="X16" s="16">
        <f t="shared" si="6"/>
        <v>782</v>
      </c>
      <c r="Y16" s="18" t="s">
        <v>1028</v>
      </c>
      <c r="Z16" s="10" t="s">
        <v>35</v>
      </c>
      <c r="AA16" s="10" t="s">
        <v>35</v>
      </c>
      <c r="AB16" s="10" t="s">
        <v>1029</v>
      </c>
      <c r="AC16" s="10">
        <v>0</v>
      </c>
      <c r="AD16" s="10">
        <v>1</v>
      </c>
      <c r="AE16" s="10" t="s">
        <v>37</v>
      </c>
      <c r="AF16" s="10" t="s">
        <v>43</v>
      </c>
      <c r="AG16" s="10" t="s">
        <v>38</v>
      </c>
      <c r="AH16" s="10" t="s">
        <v>92</v>
      </c>
    </row>
    <row r="17" spans="1:34" x14ac:dyDescent="0.3">
      <c r="A17" s="75" t="s">
        <v>1029</v>
      </c>
      <c r="B17" s="19" t="s">
        <v>1083</v>
      </c>
      <c r="C17" s="19" t="s">
        <v>1084</v>
      </c>
      <c r="D17" s="20">
        <v>45531</v>
      </c>
      <c r="E17" s="21">
        <v>186000</v>
      </c>
      <c r="F17" s="19" t="s">
        <v>32</v>
      </c>
      <c r="G17" s="19" t="s">
        <v>33</v>
      </c>
      <c r="H17" s="21">
        <v>186000</v>
      </c>
      <c r="I17" s="21">
        <v>77200</v>
      </c>
      <c r="J17" s="22">
        <f t="shared" si="0"/>
        <v>41.505376344086017</v>
      </c>
      <c r="K17" s="21">
        <v>167166</v>
      </c>
      <c r="L17" s="21">
        <f>H17-158823</f>
        <v>27177</v>
      </c>
      <c r="M17" s="21">
        <v>8343</v>
      </c>
      <c r="N17" s="67">
        <f t="shared" si="1"/>
        <v>4.4854838709677422E-2</v>
      </c>
      <c r="O17" s="23">
        <v>47.67</v>
      </c>
      <c r="P17" s="24">
        <v>100</v>
      </c>
      <c r="Q17" s="25">
        <v>0.115</v>
      </c>
      <c r="R17" s="25">
        <v>0.115</v>
      </c>
      <c r="S17" s="21">
        <f t="shared" si="2"/>
        <v>570.10698552548774</v>
      </c>
      <c r="T17" s="21">
        <f t="shared" si="3"/>
        <v>236321.73913043478</v>
      </c>
      <c r="U17" s="26">
        <f t="shared" si="4"/>
        <v>5.425200622829081</v>
      </c>
      <c r="V17" s="25">
        <v>50</v>
      </c>
      <c r="W17" s="25">
        <f t="shared" si="5"/>
        <v>37200</v>
      </c>
      <c r="X17" s="25">
        <f t="shared" si="6"/>
        <v>744</v>
      </c>
      <c r="Y17" s="27" t="s">
        <v>1028</v>
      </c>
      <c r="Z17" s="19" t="s">
        <v>35</v>
      </c>
      <c r="AA17" s="19" t="s">
        <v>35</v>
      </c>
      <c r="AB17" s="19" t="s">
        <v>1029</v>
      </c>
      <c r="AC17" s="19">
        <v>0</v>
      </c>
      <c r="AD17" s="19">
        <v>1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4" t="s">
        <v>1029</v>
      </c>
      <c r="B18" s="10" t="s">
        <v>1075</v>
      </c>
      <c r="C18" s="10" t="s">
        <v>1076</v>
      </c>
      <c r="D18" s="11">
        <v>45434</v>
      </c>
      <c r="E18" s="12">
        <v>229000</v>
      </c>
      <c r="F18" s="10" t="s">
        <v>32</v>
      </c>
      <c r="G18" s="10" t="s">
        <v>33</v>
      </c>
      <c r="H18" s="12">
        <v>229000</v>
      </c>
      <c r="I18" s="12">
        <v>88000</v>
      </c>
      <c r="J18" s="13">
        <f t="shared" si="0"/>
        <v>38.427947598253276</v>
      </c>
      <c r="K18" s="12">
        <v>189990</v>
      </c>
      <c r="L18" s="12">
        <f>H18-175015</f>
        <v>53985</v>
      </c>
      <c r="M18" s="12">
        <v>14975</v>
      </c>
      <c r="N18" s="66">
        <f t="shared" si="1"/>
        <v>6.5393013100436687E-2</v>
      </c>
      <c r="O18" s="14">
        <v>85.57</v>
      </c>
      <c r="P18" s="15">
        <v>99.15</v>
      </c>
      <c r="Q18" s="16">
        <v>0.20499999999999999</v>
      </c>
      <c r="R18" s="16">
        <v>0.20499999999999999</v>
      </c>
      <c r="S18" s="12">
        <f t="shared" si="2"/>
        <v>630.88699310506024</v>
      </c>
      <c r="T18" s="12">
        <f t="shared" si="3"/>
        <v>263341.46341463417</v>
      </c>
      <c r="U18" s="17">
        <f t="shared" si="4"/>
        <v>6.0454881408318224</v>
      </c>
      <c r="V18" s="16">
        <v>90</v>
      </c>
      <c r="W18" s="16">
        <f t="shared" si="5"/>
        <v>45800</v>
      </c>
      <c r="X18" s="16">
        <f t="shared" si="6"/>
        <v>508.88888888888891</v>
      </c>
      <c r="Y18" s="18" t="s">
        <v>1028</v>
      </c>
      <c r="Z18" s="10" t="s">
        <v>35</v>
      </c>
      <c r="AA18" s="10" t="s">
        <v>35</v>
      </c>
      <c r="AB18" s="10" t="s">
        <v>1029</v>
      </c>
      <c r="AC18" s="10">
        <v>0</v>
      </c>
      <c r="AD18" s="10">
        <v>1</v>
      </c>
      <c r="AE18" s="10" t="s">
        <v>42</v>
      </c>
      <c r="AF18" s="10" t="s">
        <v>43</v>
      </c>
      <c r="AG18" s="10" t="s">
        <v>38</v>
      </c>
      <c r="AH18" s="10" t="s">
        <v>92</v>
      </c>
    </row>
    <row r="19" spans="1:34" x14ac:dyDescent="0.3">
      <c r="A19" s="74" t="s">
        <v>1029</v>
      </c>
      <c r="B19" s="10" t="s">
        <v>1040</v>
      </c>
      <c r="C19" s="10" t="s">
        <v>1041</v>
      </c>
      <c r="D19" s="11">
        <v>45273</v>
      </c>
      <c r="E19" s="12">
        <v>205000</v>
      </c>
      <c r="F19" s="10" t="s">
        <v>32</v>
      </c>
      <c r="G19" s="10" t="s">
        <v>33</v>
      </c>
      <c r="H19" s="12">
        <v>205000</v>
      </c>
      <c r="I19" s="12">
        <v>76200</v>
      </c>
      <c r="J19" s="13">
        <f t="shared" si="0"/>
        <v>37.170731707317074</v>
      </c>
      <c r="K19" s="12">
        <v>180601</v>
      </c>
      <c r="L19" s="12">
        <f>H19-172258</f>
        <v>32742</v>
      </c>
      <c r="M19" s="12">
        <v>8343</v>
      </c>
      <c r="N19" s="66">
        <f t="shared" si="1"/>
        <v>4.0697560975609753E-2</v>
      </c>
      <c r="O19" s="14">
        <v>47.67</v>
      </c>
      <c r="P19" s="15">
        <v>100</v>
      </c>
      <c r="Q19" s="16">
        <v>0.115</v>
      </c>
      <c r="R19" s="16">
        <v>0.115</v>
      </c>
      <c r="S19" s="12">
        <f t="shared" si="2"/>
        <v>686.84707363121458</v>
      </c>
      <c r="T19" s="12">
        <f t="shared" si="3"/>
        <v>284713.04347826086</v>
      </c>
      <c r="U19" s="17">
        <f t="shared" si="4"/>
        <v>6.5361121092346384</v>
      </c>
      <c r="V19" s="16">
        <v>50</v>
      </c>
      <c r="W19" s="16">
        <f t="shared" si="5"/>
        <v>41000</v>
      </c>
      <c r="X19" s="16">
        <f t="shared" si="6"/>
        <v>820</v>
      </c>
      <c r="Y19" s="18" t="s">
        <v>1028</v>
      </c>
      <c r="Z19" s="10" t="s">
        <v>35</v>
      </c>
      <c r="AA19" s="10" t="s">
        <v>35</v>
      </c>
      <c r="AB19" s="10" t="s">
        <v>1029</v>
      </c>
      <c r="AC19" s="10">
        <v>0</v>
      </c>
      <c r="AD19" s="10">
        <v>1</v>
      </c>
      <c r="AE19" s="10" t="s">
        <v>37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4" t="s">
        <v>1029</v>
      </c>
      <c r="B20" s="10" t="s">
        <v>1058</v>
      </c>
      <c r="C20" s="10" t="s">
        <v>1059</v>
      </c>
      <c r="D20" s="11">
        <v>45547</v>
      </c>
      <c r="E20" s="12">
        <v>212000</v>
      </c>
      <c r="F20" s="10" t="s">
        <v>32</v>
      </c>
      <c r="G20" s="10" t="s">
        <v>33</v>
      </c>
      <c r="H20" s="12">
        <v>212000</v>
      </c>
      <c r="I20" s="12">
        <v>85800</v>
      </c>
      <c r="J20" s="13">
        <f t="shared" si="0"/>
        <v>40.471698113207552</v>
      </c>
      <c r="K20" s="12">
        <v>185861</v>
      </c>
      <c r="L20" s="12">
        <f>H20-177111</f>
        <v>34889</v>
      </c>
      <c r="M20" s="12">
        <v>8750</v>
      </c>
      <c r="N20" s="66">
        <f t="shared" si="1"/>
        <v>4.1273584905660375E-2</v>
      </c>
      <c r="O20" s="14">
        <v>50</v>
      </c>
      <c r="P20" s="15">
        <v>110</v>
      </c>
      <c r="Q20" s="16">
        <v>0.126</v>
      </c>
      <c r="R20" s="16">
        <v>0.126</v>
      </c>
      <c r="S20" s="12">
        <f t="shared" si="2"/>
        <v>697.78</v>
      </c>
      <c r="T20" s="12">
        <f t="shared" si="3"/>
        <v>276896.82539682538</v>
      </c>
      <c r="U20" s="17">
        <f t="shared" si="4"/>
        <v>6.3566764324340079</v>
      </c>
      <c r="V20" s="16">
        <v>50</v>
      </c>
      <c r="W20" s="16">
        <f t="shared" si="5"/>
        <v>42400</v>
      </c>
      <c r="X20" s="16">
        <f t="shared" si="6"/>
        <v>848</v>
      </c>
      <c r="Y20" s="18" t="s">
        <v>1028</v>
      </c>
      <c r="Z20" s="10" t="s">
        <v>35</v>
      </c>
      <c r="AA20" s="10" t="s">
        <v>35</v>
      </c>
      <c r="AB20" s="10" t="s">
        <v>1029</v>
      </c>
      <c r="AC20" s="10">
        <v>0</v>
      </c>
      <c r="AD20" s="10">
        <v>1</v>
      </c>
      <c r="AE20" s="10" t="s">
        <v>42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1029</v>
      </c>
      <c r="B21" s="19" t="s">
        <v>1068</v>
      </c>
      <c r="C21" s="19" t="s">
        <v>1069</v>
      </c>
      <c r="D21" s="20">
        <v>45471</v>
      </c>
      <c r="E21" s="21">
        <v>218000</v>
      </c>
      <c r="F21" s="19" t="s">
        <v>32</v>
      </c>
      <c r="G21" s="19" t="s">
        <v>33</v>
      </c>
      <c r="H21" s="21">
        <v>218000</v>
      </c>
      <c r="I21" s="21">
        <v>87700</v>
      </c>
      <c r="J21" s="22">
        <f t="shared" si="0"/>
        <v>40.22935779816514</v>
      </c>
      <c r="K21" s="21">
        <v>188652</v>
      </c>
      <c r="L21" s="21">
        <f>H21-179902</f>
        <v>38098</v>
      </c>
      <c r="M21" s="21">
        <v>8750</v>
      </c>
      <c r="N21" s="67">
        <f t="shared" si="1"/>
        <v>4.0137614678899085E-2</v>
      </c>
      <c r="O21" s="23">
        <v>50</v>
      </c>
      <c r="P21" s="24">
        <v>110</v>
      </c>
      <c r="Q21" s="25">
        <v>0.126</v>
      </c>
      <c r="R21" s="25">
        <v>0.126</v>
      </c>
      <c r="S21" s="21">
        <f t="shared" si="2"/>
        <v>761.96</v>
      </c>
      <c r="T21" s="21">
        <f t="shared" si="3"/>
        <v>302365.07936507935</v>
      </c>
      <c r="U21" s="26">
        <f t="shared" si="4"/>
        <v>6.9413470928622436</v>
      </c>
      <c r="V21" s="25">
        <v>50</v>
      </c>
      <c r="W21" s="25">
        <f t="shared" si="5"/>
        <v>43600</v>
      </c>
      <c r="X21" s="25">
        <f t="shared" si="6"/>
        <v>872</v>
      </c>
      <c r="Y21" s="27" t="s">
        <v>1028</v>
      </c>
      <c r="Z21" s="19" t="s">
        <v>35</v>
      </c>
      <c r="AA21" s="19" t="s">
        <v>35</v>
      </c>
      <c r="AB21" s="19" t="s">
        <v>1029</v>
      </c>
      <c r="AC21" s="19">
        <v>0</v>
      </c>
      <c r="AD21" s="19">
        <v>1</v>
      </c>
      <c r="AE21" s="19" t="s">
        <v>1070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4" t="s">
        <v>1029</v>
      </c>
      <c r="B22" s="10" t="s">
        <v>1079</v>
      </c>
      <c r="C22" s="10" t="s">
        <v>1080</v>
      </c>
      <c r="D22" s="11">
        <v>45184</v>
      </c>
      <c r="E22" s="12">
        <v>225000</v>
      </c>
      <c r="F22" s="10" t="s">
        <v>32</v>
      </c>
      <c r="G22" s="10" t="s">
        <v>33</v>
      </c>
      <c r="H22" s="12">
        <v>225000</v>
      </c>
      <c r="I22" s="12">
        <v>76100</v>
      </c>
      <c r="J22" s="13">
        <f t="shared" si="0"/>
        <v>33.822222222222223</v>
      </c>
      <c r="K22" s="12">
        <v>190634</v>
      </c>
      <c r="L22" s="12">
        <f>H22-180623</f>
        <v>44377</v>
      </c>
      <c r="M22" s="12">
        <v>10011</v>
      </c>
      <c r="N22" s="66">
        <f t="shared" si="1"/>
        <v>4.4493333333333336E-2</v>
      </c>
      <c r="O22" s="14">
        <v>57.2</v>
      </c>
      <c r="P22" s="15">
        <v>100</v>
      </c>
      <c r="Q22" s="16">
        <v>0.13800000000000001</v>
      </c>
      <c r="R22" s="16">
        <v>0.13800000000000001</v>
      </c>
      <c r="S22" s="12">
        <f t="shared" si="2"/>
        <v>775.82167832167829</v>
      </c>
      <c r="T22" s="12">
        <f t="shared" si="3"/>
        <v>321572.46376811591</v>
      </c>
      <c r="U22" s="17">
        <f t="shared" si="4"/>
        <v>7.3822879652919173</v>
      </c>
      <c r="V22" s="16">
        <v>60</v>
      </c>
      <c r="W22" s="16">
        <f t="shared" si="5"/>
        <v>45000</v>
      </c>
      <c r="X22" s="16">
        <f t="shared" si="6"/>
        <v>750</v>
      </c>
      <c r="Y22" s="18" t="s">
        <v>1028</v>
      </c>
      <c r="Z22" s="10" t="s">
        <v>35</v>
      </c>
      <c r="AA22" s="10" t="s">
        <v>35</v>
      </c>
      <c r="AB22" s="10" t="s">
        <v>1029</v>
      </c>
      <c r="AC22" s="10">
        <v>0</v>
      </c>
      <c r="AD22" s="10">
        <v>1</v>
      </c>
      <c r="AE22" s="10" t="s">
        <v>42</v>
      </c>
      <c r="AF22" s="10" t="s">
        <v>43</v>
      </c>
      <c r="AG22" s="10" t="s">
        <v>38</v>
      </c>
      <c r="AH22" s="10" t="s">
        <v>92</v>
      </c>
    </row>
    <row r="23" spans="1:34" x14ac:dyDescent="0.3">
      <c r="A23" s="74" t="s">
        <v>1029</v>
      </c>
      <c r="B23" s="10" t="s">
        <v>1064</v>
      </c>
      <c r="C23" s="10" t="s">
        <v>1065</v>
      </c>
      <c r="D23" s="11">
        <v>45219</v>
      </c>
      <c r="E23" s="12">
        <v>210000</v>
      </c>
      <c r="F23" s="10" t="s">
        <v>32</v>
      </c>
      <c r="G23" s="10" t="s">
        <v>33</v>
      </c>
      <c r="H23" s="12">
        <v>210000</v>
      </c>
      <c r="I23" s="12">
        <v>75000</v>
      </c>
      <c r="J23" s="13">
        <f t="shared" si="0"/>
        <v>35.714285714285715</v>
      </c>
      <c r="K23" s="12">
        <v>177972</v>
      </c>
      <c r="L23" s="12">
        <f>H23-169047</f>
        <v>40953</v>
      </c>
      <c r="M23" s="12">
        <v>8925</v>
      </c>
      <c r="N23" s="66">
        <f t="shared" si="1"/>
        <v>4.2500000000000003E-2</v>
      </c>
      <c r="O23" s="14">
        <v>51</v>
      </c>
      <c r="P23" s="15">
        <v>110</v>
      </c>
      <c r="Q23" s="16">
        <v>0.129</v>
      </c>
      <c r="R23" s="16">
        <v>0.129</v>
      </c>
      <c r="S23" s="12">
        <f t="shared" si="2"/>
        <v>803</v>
      </c>
      <c r="T23" s="12">
        <f t="shared" si="3"/>
        <v>317465.11627906974</v>
      </c>
      <c r="U23" s="17">
        <f t="shared" si="4"/>
        <v>7.2879962414846133</v>
      </c>
      <c r="V23" s="16">
        <v>51</v>
      </c>
      <c r="W23" s="16">
        <f t="shared" si="5"/>
        <v>42000</v>
      </c>
      <c r="X23" s="16">
        <f t="shared" si="6"/>
        <v>823.52941176470586</v>
      </c>
      <c r="Y23" s="18" t="s">
        <v>1028</v>
      </c>
      <c r="Z23" s="10" t="s">
        <v>35</v>
      </c>
      <c r="AA23" s="10" t="s">
        <v>35</v>
      </c>
      <c r="AB23" s="10" t="s">
        <v>1029</v>
      </c>
      <c r="AC23" s="10">
        <v>0</v>
      </c>
      <c r="AD23" s="10">
        <v>1</v>
      </c>
      <c r="AE23" s="10" t="s">
        <v>42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1029</v>
      </c>
      <c r="B24" s="19" t="s">
        <v>1046</v>
      </c>
      <c r="C24" s="19" t="s">
        <v>1047</v>
      </c>
      <c r="D24" s="20">
        <v>45593</v>
      </c>
      <c r="E24" s="21">
        <v>211500</v>
      </c>
      <c r="F24" s="19" t="s">
        <v>32</v>
      </c>
      <c r="G24" s="19" t="s">
        <v>33</v>
      </c>
      <c r="H24" s="21">
        <v>211500</v>
      </c>
      <c r="I24" s="21">
        <v>83200</v>
      </c>
      <c r="J24" s="22">
        <f t="shared" si="0"/>
        <v>39.33806146572104</v>
      </c>
      <c r="K24" s="21">
        <v>179825</v>
      </c>
      <c r="L24" s="21">
        <f>H24-171075</f>
        <v>40425</v>
      </c>
      <c r="M24" s="21">
        <v>8750</v>
      </c>
      <c r="N24" s="67">
        <f t="shared" si="1"/>
        <v>4.1371158392434985E-2</v>
      </c>
      <c r="O24" s="23">
        <v>50</v>
      </c>
      <c r="P24" s="24">
        <v>110</v>
      </c>
      <c r="Q24" s="25">
        <v>0.126</v>
      </c>
      <c r="R24" s="25">
        <v>0.126</v>
      </c>
      <c r="S24" s="21">
        <f t="shared" si="2"/>
        <v>808.5</v>
      </c>
      <c r="T24" s="21">
        <f t="shared" si="3"/>
        <v>320833.33333333331</v>
      </c>
      <c r="U24" s="26">
        <f t="shared" si="4"/>
        <v>7.365319865319865</v>
      </c>
      <c r="V24" s="25">
        <v>50</v>
      </c>
      <c r="W24" s="25">
        <f t="shared" si="5"/>
        <v>42300</v>
      </c>
      <c r="X24" s="25">
        <f t="shared" si="6"/>
        <v>846</v>
      </c>
      <c r="Y24" s="27" t="s">
        <v>1028</v>
      </c>
      <c r="Z24" s="19" t="s">
        <v>35</v>
      </c>
      <c r="AA24" s="19" t="s">
        <v>35</v>
      </c>
      <c r="AB24" s="19" t="s">
        <v>1029</v>
      </c>
      <c r="AC24" s="19">
        <v>0</v>
      </c>
      <c r="AD24" s="19">
        <v>1</v>
      </c>
      <c r="AE24" s="19" t="s">
        <v>37</v>
      </c>
      <c r="AF24" s="19" t="s">
        <v>35</v>
      </c>
      <c r="AG24" s="19" t="s">
        <v>38</v>
      </c>
      <c r="AH24" s="19" t="s">
        <v>92</v>
      </c>
    </row>
    <row r="25" spans="1:34" x14ac:dyDescent="0.3">
      <c r="A25" s="75" t="s">
        <v>1029</v>
      </c>
      <c r="B25" s="19" t="s">
        <v>1062</v>
      </c>
      <c r="C25" s="19" t="s">
        <v>1063</v>
      </c>
      <c r="D25" s="20">
        <v>45450</v>
      </c>
      <c r="E25" s="21">
        <v>210000</v>
      </c>
      <c r="F25" s="19" t="s">
        <v>32</v>
      </c>
      <c r="G25" s="19" t="s">
        <v>33</v>
      </c>
      <c r="H25" s="21">
        <v>210000</v>
      </c>
      <c r="I25" s="21">
        <v>81700</v>
      </c>
      <c r="J25" s="22">
        <f t="shared" si="0"/>
        <v>38.904761904761905</v>
      </c>
      <c r="K25" s="21">
        <v>176580</v>
      </c>
      <c r="L25" s="21">
        <f>H25-167830</f>
        <v>42170</v>
      </c>
      <c r="M25" s="21">
        <v>8750</v>
      </c>
      <c r="N25" s="67">
        <f t="shared" si="1"/>
        <v>4.1666666666666664E-2</v>
      </c>
      <c r="O25" s="23">
        <v>50</v>
      </c>
      <c r="P25" s="24">
        <v>110</v>
      </c>
      <c r="Q25" s="25">
        <v>0.126</v>
      </c>
      <c r="R25" s="25">
        <v>0.126</v>
      </c>
      <c r="S25" s="21">
        <f t="shared" si="2"/>
        <v>843.4</v>
      </c>
      <c r="T25" s="21">
        <f t="shared" si="3"/>
        <v>334682.5396825397</v>
      </c>
      <c r="U25" s="26">
        <f t="shared" si="4"/>
        <v>7.6832538953751079</v>
      </c>
      <c r="V25" s="25">
        <v>50</v>
      </c>
      <c r="W25" s="25">
        <f t="shared" si="5"/>
        <v>42000</v>
      </c>
      <c r="X25" s="25">
        <f t="shared" si="6"/>
        <v>840</v>
      </c>
      <c r="Y25" s="27" t="s">
        <v>1028</v>
      </c>
      <c r="Z25" s="19" t="s">
        <v>35</v>
      </c>
      <c r="AA25" s="19" t="s">
        <v>35</v>
      </c>
      <c r="AB25" s="19" t="s">
        <v>1029</v>
      </c>
      <c r="AC25" s="19">
        <v>0</v>
      </c>
      <c r="AD25" s="19">
        <v>1</v>
      </c>
      <c r="AE25" s="19" t="s">
        <v>42</v>
      </c>
      <c r="AF25" s="19" t="s">
        <v>43</v>
      </c>
      <c r="AG25" s="19" t="s">
        <v>38</v>
      </c>
      <c r="AH25" s="19" t="s">
        <v>92</v>
      </c>
    </row>
    <row r="26" spans="1:34" ht="15" thickBot="1" x14ac:dyDescent="0.35">
      <c r="A26" s="75" t="s">
        <v>1029</v>
      </c>
      <c r="B26" s="19" t="s">
        <v>1038</v>
      </c>
      <c r="C26" s="19" t="s">
        <v>1039</v>
      </c>
      <c r="D26" s="20">
        <v>45204</v>
      </c>
      <c r="E26" s="21">
        <v>215000</v>
      </c>
      <c r="F26" s="19" t="s">
        <v>32</v>
      </c>
      <c r="G26" s="19" t="s">
        <v>33</v>
      </c>
      <c r="H26" s="21">
        <v>215000</v>
      </c>
      <c r="I26" s="21">
        <v>76000</v>
      </c>
      <c r="J26" s="22">
        <f t="shared" si="0"/>
        <v>35.348837209302324</v>
      </c>
      <c r="K26" s="21">
        <v>180311</v>
      </c>
      <c r="L26" s="21">
        <f>H26-171561</f>
        <v>43439</v>
      </c>
      <c r="M26" s="21">
        <v>8750</v>
      </c>
      <c r="N26" s="67">
        <f t="shared" si="1"/>
        <v>4.0697674418604654E-2</v>
      </c>
      <c r="O26" s="23">
        <v>50</v>
      </c>
      <c r="P26" s="24">
        <v>110</v>
      </c>
      <c r="Q26" s="25">
        <v>0.126</v>
      </c>
      <c r="R26" s="25">
        <v>0.126</v>
      </c>
      <c r="S26" s="21">
        <f t="shared" si="2"/>
        <v>868.78</v>
      </c>
      <c r="T26" s="21">
        <f t="shared" si="3"/>
        <v>344753.96825396823</v>
      </c>
      <c r="U26" s="26">
        <f t="shared" si="4"/>
        <v>7.9144620811287467</v>
      </c>
      <c r="V26" s="25">
        <v>50</v>
      </c>
      <c r="W26" s="25">
        <f t="shared" si="5"/>
        <v>43000</v>
      </c>
      <c r="X26" s="25">
        <f t="shared" si="6"/>
        <v>860</v>
      </c>
      <c r="Y26" s="27" t="s">
        <v>1028</v>
      </c>
      <c r="Z26" s="19" t="s">
        <v>35</v>
      </c>
      <c r="AA26" s="19" t="s">
        <v>35</v>
      </c>
      <c r="AB26" s="19" t="s">
        <v>1029</v>
      </c>
      <c r="AC26" s="19">
        <v>0</v>
      </c>
      <c r="AD26" s="19">
        <v>1</v>
      </c>
      <c r="AE26" s="19" t="s">
        <v>37</v>
      </c>
      <c r="AF26" s="19" t="s">
        <v>43</v>
      </c>
      <c r="AG26" s="19" t="s">
        <v>38</v>
      </c>
      <c r="AH26" s="19" t="s">
        <v>92</v>
      </c>
    </row>
    <row r="27" spans="1:34" ht="15" thickTop="1" x14ac:dyDescent="0.3">
      <c r="A27" s="76"/>
      <c r="B27" s="37"/>
      <c r="C27" s="37"/>
      <c r="D27" s="38" t="s">
        <v>2876</v>
      </c>
      <c r="E27" s="39">
        <f>+SUM(E2:E26)</f>
        <v>4877300</v>
      </c>
      <c r="F27" s="37"/>
      <c r="G27" s="37"/>
      <c r="H27" s="39">
        <f>+SUM(H2:H26)</f>
        <v>4877300</v>
      </c>
      <c r="I27" s="39">
        <f>+SUM(I2:I26)</f>
        <v>2032500</v>
      </c>
      <c r="J27" s="40"/>
      <c r="K27" s="39">
        <f>+SUM(K2:K26)</f>
        <v>4572275</v>
      </c>
      <c r="L27" s="39">
        <f>+SUM(L2:L26)</f>
        <v>538178</v>
      </c>
      <c r="M27" s="39">
        <f>+SUM(M2:M26)</f>
        <v>233153</v>
      </c>
      <c r="N27" s="81">
        <f>AVERAGE(N2:N26)</f>
        <v>4.8482547707757125E-2</v>
      </c>
      <c r="O27" s="41">
        <f>+SUM(O2:O26)</f>
        <v>1332.2099999999998</v>
      </c>
      <c r="P27" s="42"/>
      <c r="Q27" s="43">
        <f>+SUM(Q2:Q26)</f>
        <v>3.4019999999999997</v>
      </c>
      <c r="R27" s="43">
        <f>+SUM(R2:R26)</f>
        <v>3.4019999999999997</v>
      </c>
      <c r="S27" s="39"/>
      <c r="T27" s="39"/>
      <c r="U27" s="44"/>
      <c r="V27" s="43"/>
      <c r="W27" s="82">
        <f>AVERAGE(W2:W26)</f>
        <v>39018.400000000001</v>
      </c>
      <c r="X27" s="83">
        <f>AVERAGE(X2:X26)</f>
        <v>756.43329679882993</v>
      </c>
      <c r="Y27" s="45"/>
      <c r="Z27" s="37"/>
      <c r="AA27" s="37"/>
      <c r="AB27" s="37"/>
      <c r="AC27" s="37"/>
      <c r="AD27" s="37"/>
      <c r="AE27" s="37"/>
      <c r="AF27" s="37"/>
      <c r="AG27" s="37"/>
      <c r="AH27" s="37"/>
    </row>
    <row r="28" spans="1:34" x14ac:dyDescent="0.3">
      <c r="A28" s="77"/>
      <c r="B28" s="28"/>
      <c r="C28" s="28"/>
      <c r="D28" s="29"/>
      <c r="E28" s="30"/>
      <c r="F28" s="28"/>
      <c r="G28" s="28"/>
      <c r="H28" s="30"/>
      <c r="I28" s="30" t="s">
        <v>2877</v>
      </c>
      <c r="J28" s="31">
        <f>I27/H27*100</f>
        <v>41.672646751276318</v>
      </c>
      <c r="K28" s="30"/>
      <c r="L28" s="30"/>
      <c r="M28" s="30" t="s">
        <v>2879</v>
      </c>
      <c r="N28" s="79"/>
      <c r="O28" s="32"/>
      <c r="P28" s="33"/>
      <c r="Q28" s="34" t="s">
        <v>2879</v>
      </c>
      <c r="R28" s="34"/>
      <c r="S28" s="30"/>
      <c r="T28" s="30" t="s">
        <v>2879</v>
      </c>
      <c r="U28" s="35"/>
      <c r="V28" s="34"/>
      <c r="W28" s="63"/>
      <c r="X28" s="68"/>
      <c r="Y28" s="36"/>
      <c r="Z28" s="28"/>
      <c r="AA28" s="28"/>
      <c r="AB28" s="28"/>
      <c r="AC28" s="28"/>
      <c r="AD28" s="28"/>
      <c r="AE28" s="28"/>
      <c r="AF28" s="28"/>
      <c r="AG28" s="28"/>
      <c r="AH28" s="28"/>
    </row>
    <row r="29" spans="1:34" x14ac:dyDescent="0.3">
      <c r="A29" s="78"/>
      <c r="B29" s="46"/>
      <c r="C29" s="46"/>
      <c r="D29" s="47"/>
      <c r="E29" s="48"/>
      <c r="F29" s="46"/>
      <c r="G29" s="46"/>
      <c r="H29" s="48"/>
      <c r="I29" s="48" t="s">
        <v>2878</v>
      </c>
      <c r="J29" s="49">
        <f>STDEV(J2:J26)</f>
        <v>5.6427950230083832</v>
      </c>
      <c r="K29" s="48"/>
      <c r="L29" s="48"/>
      <c r="M29" s="48" t="s">
        <v>2880</v>
      </c>
      <c r="N29" s="80"/>
      <c r="O29" s="54">
        <f>L27/O27</f>
        <v>403.97384796691216</v>
      </c>
      <c r="P29" s="50"/>
      <c r="Q29" s="51" t="s">
        <v>2881</v>
      </c>
      <c r="R29" s="51">
        <f>L27/Q27</f>
        <v>158194.59141681367</v>
      </c>
      <c r="S29" s="48"/>
      <c r="T29" s="48" t="s">
        <v>2882</v>
      </c>
      <c r="U29" s="52">
        <f>L27/Q27/43560</f>
        <v>3.6316481041509108</v>
      </c>
      <c r="V29" s="51"/>
      <c r="W29" s="64"/>
      <c r="X29" s="69"/>
      <c r="Y29" s="53"/>
      <c r="Z29" s="46"/>
      <c r="AA29" s="46"/>
      <c r="AB29" s="46"/>
      <c r="AC29" s="46"/>
      <c r="AD29" s="46"/>
      <c r="AE29" s="46"/>
      <c r="AF29" s="46"/>
      <c r="AG29" s="46"/>
      <c r="AH29" s="46"/>
    </row>
    <row r="30" spans="1:34" x14ac:dyDescent="0.3">
      <c r="E30" s="94" t="s">
        <v>3099</v>
      </c>
      <c r="L30" s="95"/>
    </row>
    <row r="31" spans="1:34" x14ac:dyDescent="0.3">
      <c r="E31" s="383" t="s">
        <v>3163</v>
      </c>
      <c r="F31" s="383"/>
      <c r="G31" s="383"/>
      <c r="H31" s="383"/>
      <c r="I31" s="383"/>
      <c r="J31" s="383"/>
      <c r="K31" s="383"/>
      <c r="L31" s="383"/>
    </row>
    <row r="32" spans="1:34" x14ac:dyDescent="0.3">
      <c r="E32" s="383" t="s">
        <v>3164</v>
      </c>
      <c r="F32" s="383"/>
      <c r="G32" s="383"/>
      <c r="H32" s="383"/>
      <c r="I32" s="383"/>
      <c r="J32" s="383"/>
      <c r="K32" s="383"/>
      <c r="L32" s="383"/>
    </row>
    <row r="33" spans="1:34" x14ac:dyDescent="0.3">
      <c r="E33" s="383" t="s">
        <v>3165</v>
      </c>
      <c r="F33" s="383"/>
      <c r="G33" s="383"/>
      <c r="H33" s="383"/>
      <c r="I33" s="383"/>
      <c r="J33" s="383"/>
      <c r="K33" s="383"/>
      <c r="L33" s="383"/>
    </row>
    <row r="34" spans="1:34" x14ac:dyDescent="0.3">
      <c r="E34" s="383" t="s">
        <v>3166</v>
      </c>
      <c r="F34" s="383"/>
      <c r="G34" s="383"/>
      <c r="H34" s="383"/>
      <c r="I34" s="383"/>
      <c r="J34" s="96"/>
      <c r="K34" s="96"/>
      <c r="L34" s="96"/>
    </row>
    <row r="35" spans="1:34" x14ac:dyDescent="0.3">
      <c r="E35" s="383" t="s">
        <v>3167</v>
      </c>
      <c r="F35" s="383"/>
      <c r="G35" s="383"/>
      <c r="H35" s="383"/>
      <c r="I35" s="383"/>
      <c r="L35" s="95"/>
    </row>
    <row r="36" spans="1:34" x14ac:dyDescent="0.3">
      <c r="E36" s="383" t="s">
        <v>3100</v>
      </c>
      <c r="F36" s="383"/>
      <c r="G36" s="383"/>
      <c r="H36" s="383"/>
      <c r="I36" s="383"/>
      <c r="L36" s="95"/>
    </row>
    <row r="37" spans="1:34" x14ac:dyDescent="0.3">
      <c r="E37" s="96"/>
      <c r="F37" s="96"/>
      <c r="G37" s="96"/>
      <c r="H37" s="96"/>
      <c r="I37" s="96"/>
      <c r="L37" s="95"/>
    </row>
    <row r="38" spans="1:34" x14ac:dyDescent="0.3">
      <c r="A38" s="55" t="s">
        <v>3092</v>
      </c>
      <c r="E38" s="96"/>
      <c r="F38" s="96"/>
      <c r="G38" s="96"/>
      <c r="H38" s="96"/>
      <c r="I38" s="96"/>
      <c r="L38" s="95"/>
    </row>
    <row r="39" spans="1:34" x14ac:dyDescent="0.3">
      <c r="A39" s="74" t="s">
        <v>1029</v>
      </c>
      <c r="B39" s="10" t="s">
        <v>1042</v>
      </c>
      <c r="C39" s="10" t="s">
        <v>1043</v>
      </c>
      <c r="D39" s="11">
        <v>45475</v>
      </c>
      <c r="E39" s="12">
        <v>127000</v>
      </c>
      <c r="F39" s="10" t="s">
        <v>32</v>
      </c>
      <c r="G39" s="10" t="s">
        <v>33</v>
      </c>
      <c r="H39" s="12">
        <v>127000</v>
      </c>
      <c r="I39" s="12">
        <v>83600</v>
      </c>
      <c r="J39" s="13">
        <f t="shared" ref="J39:J43" si="7">I39/H39*100</f>
        <v>65.826771653543304</v>
      </c>
      <c r="K39" s="12">
        <v>180717</v>
      </c>
      <c r="L39" s="12">
        <f>H39-171967</f>
        <v>-44967</v>
      </c>
      <c r="M39" s="12">
        <v>8750</v>
      </c>
      <c r="N39" s="66">
        <f t="shared" ref="N39:N43" si="8">M39/E39</f>
        <v>6.8897637795275593E-2</v>
      </c>
      <c r="O39" s="14">
        <v>50</v>
      </c>
      <c r="P39" s="15">
        <v>110</v>
      </c>
      <c r="Q39" s="16">
        <v>0.126</v>
      </c>
      <c r="R39" s="16">
        <v>0.126</v>
      </c>
      <c r="S39" s="12">
        <f t="shared" ref="S39:S43" si="9">L39/O39</f>
        <v>-899.34</v>
      </c>
      <c r="T39" s="12">
        <f t="shared" ref="T39:T43" si="10">L39/Q39</f>
        <v>-356880.95238095237</v>
      </c>
      <c r="U39" s="17">
        <f t="shared" ref="U39:U43" si="11">L39/Q39/43560</f>
        <v>-8.1928593292229657</v>
      </c>
      <c r="V39" s="16">
        <v>50</v>
      </c>
      <c r="W39" s="16">
        <f t="shared" ref="W39:W43" si="12">0.2*E39</f>
        <v>25400</v>
      </c>
      <c r="X39" s="16">
        <f t="shared" ref="X39:X43" si="13">W39/V39</f>
        <v>508</v>
      </c>
      <c r="Y39" s="18" t="s">
        <v>1028</v>
      </c>
      <c r="Z39" s="10" t="s">
        <v>35</v>
      </c>
      <c r="AA39" s="10" t="s">
        <v>35</v>
      </c>
      <c r="AB39" s="10" t="s">
        <v>1029</v>
      </c>
      <c r="AC39" s="10">
        <v>0</v>
      </c>
      <c r="AD39" s="10">
        <v>1</v>
      </c>
      <c r="AE39" s="10" t="s">
        <v>42</v>
      </c>
      <c r="AF39" s="10" t="s">
        <v>43</v>
      </c>
      <c r="AG39" s="10" t="s">
        <v>38</v>
      </c>
      <c r="AH39" s="10" t="s">
        <v>92</v>
      </c>
    </row>
    <row r="40" spans="1:34" x14ac:dyDescent="0.3">
      <c r="A40" s="75" t="s">
        <v>1029</v>
      </c>
      <c r="B40" s="19" t="s">
        <v>1032</v>
      </c>
      <c r="C40" s="19" t="s">
        <v>1033</v>
      </c>
      <c r="D40" s="20">
        <v>45744</v>
      </c>
      <c r="E40" s="21">
        <v>138000</v>
      </c>
      <c r="F40" s="19" t="s">
        <v>32</v>
      </c>
      <c r="G40" s="19" t="s">
        <v>33</v>
      </c>
      <c r="H40" s="21">
        <v>138000</v>
      </c>
      <c r="I40" s="21">
        <v>87900</v>
      </c>
      <c r="J40" s="22">
        <f t="shared" si="7"/>
        <v>63.695652173913039</v>
      </c>
      <c r="K40" s="21">
        <v>189239</v>
      </c>
      <c r="L40" s="21">
        <f>H40-179698</f>
        <v>-41698</v>
      </c>
      <c r="M40" s="21">
        <v>9541</v>
      </c>
      <c r="N40" s="67">
        <f t="shared" si="8"/>
        <v>6.9137681159420289E-2</v>
      </c>
      <c r="O40" s="23">
        <v>54.51</v>
      </c>
      <c r="P40" s="24">
        <v>139</v>
      </c>
      <c r="Q40" s="25">
        <v>0.155</v>
      </c>
      <c r="R40" s="25">
        <v>0.155</v>
      </c>
      <c r="S40" s="21">
        <f t="shared" si="9"/>
        <v>-764.96055769583563</v>
      </c>
      <c r="T40" s="21">
        <f t="shared" si="10"/>
        <v>-269019.3548387097</v>
      </c>
      <c r="U40" s="26">
        <f t="shared" si="11"/>
        <v>-6.17583459225688</v>
      </c>
      <c r="V40" s="25">
        <v>48.5</v>
      </c>
      <c r="W40" s="25">
        <f t="shared" si="12"/>
        <v>27600</v>
      </c>
      <c r="X40" s="25">
        <f t="shared" si="13"/>
        <v>569.07216494845363</v>
      </c>
      <c r="Y40" s="27" t="s">
        <v>1028</v>
      </c>
      <c r="Z40" s="19" t="s">
        <v>35</v>
      </c>
      <c r="AA40" s="19" t="s">
        <v>35</v>
      </c>
      <c r="AB40" s="19" t="s">
        <v>1029</v>
      </c>
      <c r="AC40" s="19">
        <v>0</v>
      </c>
      <c r="AD40" s="19">
        <v>1</v>
      </c>
      <c r="AE40" s="19" t="s">
        <v>42</v>
      </c>
      <c r="AF40" s="19" t="s">
        <v>35</v>
      </c>
      <c r="AG40" s="19" t="s">
        <v>38</v>
      </c>
      <c r="AH40" s="19" t="s">
        <v>92</v>
      </c>
    </row>
    <row r="41" spans="1:34" x14ac:dyDescent="0.3">
      <c r="A41" s="75" t="s">
        <v>1029</v>
      </c>
      <c r="B41" s="19" t="s">
        <v>1085</v>
      </c>
      <c r="C41" s="19" t="s">
        <v>1086</v>
      </c>
      <c r="D41" s="20">
        <v>45289</v>
      </c>
      <c r="E41" s="21">
        <v>130000</v>
      </c>
      <c r="F41" s="19" t="s">
        <v>32</v>
      </c>
      <c r="G41" s="19" t="s">
        <v>33</v>
      </c>
      <c r="H41" s="21">
        <v>130000</v>
      </c>
      <c r="I41" s="21">
        <v>71900</v>
      </c>
      <c r="J41" s="22">
        <f t="shared" si="7"/>
        <v>55.307692307692299</v>
      </c>
      <c r="K41" s="21">
        <v>170659</v>
      </c>
      <c r="L41" s="21">
        <f>H41-162316</f>
        <v>-32316</v>
      </c>
      <c r="M41" s="21">
        <v>8343</v>
      </c>
      <c r="N41" s="67">
        <f t="shared" si="8"/>
        <v>6.4176923076923076E-2</v>
      </c>
      <c r="O41" s="23">
        <v>47.67</v>
      </c>
      <c r="P41" s="24">
        <v>100</v>
      </c>
      <c r="Q41" s="25">
        <v>0.115</v>
      </c>
      <c r="R41" s="25">
        <v>0.115</v>
      </c>
      <c r="S41" s="21">
        <f t="shared" si="9"/>
        <v>-677.91063561988665</v>
      </c>
      <c r="T41" s="21">
        <f t="shared" si="10"/>
        <v>-281008.69565217389</v>
      </c>
      <c r="U41" s="26">
        <f t="shared" si="11"/>
        <v>-6.4510719846688218</v>
      </c>
      <c r="V41" s="25">
        <v>50</v>
      </c>
      <c r="W41" s="25">
        <f t="shared" si="12"/>
        <v>26000</v>
      </c>
      <c r="X41" s="25">
        <f t="shared" si="13"/>
        <v>520</v>
      </c>
      <c r="Y41" s="27" t="s">
        <v>1028</v>
      </c>
      <c r="Z41" s="19" t="s">
        <v>35</v>
      </c>
      <c r="AA41" s="19" t="s">
        <v>35</v>
      </c>
      <c r="AB41" s="19" t="s">
        <v>1029</v>
      </c>
      <c r="AC41" s="19">
        <v>0</v>
      </c>
      <c r="AD41" s="19">
        <v>1</v>
      </c>
      <c r="AE41" s="19" t="s">
        <v>37</v>
      </c>
      <c r="AF41" s="19" t="s">
        <v>43</v>
      </c>
      <c r="AG41" s="19" t="s">
        <v>38</v>
      </c>
      <c r="AH41" s="19" t="s">
        <v>92</v>
      </c>
    </row>
    <row r="42" spans="1:34" x14ac:dyDescent="0.3">
      <c r="A42" s="74" t="s">
        <v>1029</v>
      </c>
      <c r="B42" s="10" t="s">
        <v>1066</v>
      </c>
      <c r="C42" s="10" t="s">
        <v>1067</v>
      </c>
      <c r="D42" s="11">
        <v>45534</v>
      </c>
      <c r="E42" s="12">
        <v>173000</v>
      </c>
      <c r="F42" s="10" t="s">
        <v>81</v>
      </c>
      <c r="G42" s="10" t="s">
        <v>33</v>
      </c>
      <c r="H42" s="12">
        <v>173000</v>
      </c>
      <c r="I42" s="12">
        <v>96300</v>
      </c>
      <c r="J42" s="13">
        <f t="shared" si="7"/>
        <v>55.664739884393065</v>
      </c>
      <c r="K42" s="12">
        <v>211451</v>
      </c>
      <c r="L42" s="12">
        <f>H42-202701</f>
        <v>-29701</v>
      </c>
      <c r="M42" s="12">
        <v>8750</v>
      </c>
      <c r="N42" s="66">
        <f t="shared" si="8"/>
        <v>5.0578034682080927E-2</v>
      </c>
      <c r="O42" s="14">
        <v>50</v>
      </c>
      <c r="P42" s="15">
        <v>110</v>
      </c>
      <c r="Q42" s="16">
        <v>0.126</v>
      </c>
      <c r="R42" s="16">
        <v>0.126</v>
      </c>
      <c r="S42" s="12">
        <f t="shared" si="9"/>
        <v>-594.02</v>
      </c>
      <c r="T42" s="12">
        <f t="shared" si="10"/>
        <v>-235722.22222222222</v>
      </c>
      <c r="U42" s="17">
        <f t="shared" si="11"/>
        <v>-5.4114376084073053</v>
      </c>
      <c r="V42" s="16">
        <v>50</v>
      </c>
      <c r="W42" s="16">
        <f t="shared" si="12"/>
        <v>34600</v>
      </c>
      <c r="X42" s="16">
        <f t="shared" si="13"/>
        <v>692</v>
      </c>
      <c r="Y42" s="18" t="s">
        <v>1028</v>
      </c>
      <c r="Z42" s="10" t="s">
        <v>35</v>
      </c>
      <c r="AA42" s="10" t="s">
        <v>35</v>
      </c>
      <c r="AB42" s="10" t="s">
        <v>1029</v>
      </c>
      <c r="AC42" s="10">
        <v>0</v>
      </c>
      <c r="AD42" s="10">
        <v>1</v>
      </c>
      <c r="AE42" s="10" t="s">
        <v>42</v>
      </c>
      <c r="AF42" s="10" t="s">
        <v>35</v>
      </c>
      <c r="AG42" s="10" t="s">
        <v>38</v>
      </c>
      <c r="AH42" s="10" t="s">
        <v>92</v>
      </c>
    </row>
    <row r="43" spans="1:34" x14ac:dyDescent="0.3">
      <c r="A43" s="75" t="s">
        <v>1029</v>
      </c>
      <c r="B43" s="19" t="s">
        <v>1060</v>
      </c>
      <c r="C43" s="19" t="s">
        <v>1061</v>
      </c>
      <c r="D43" s="20">
        <v>45307</v>
      </c>
      <c r="E43" s="21">
        <v>150000</v>
      </c>
      <c r="F43" s="19" t="s">
        <v>32</v>
      </c>
      <c r="G43" s="19" t="s">
        <v>33</v>
      </c>
      <c r="H43" s="21">
        <v>150000</v>
      </c>
      <c r="I43" s="21">
        <v>78200</v>
      </c>
      <c r="J43" s="22">
        <f t="shared" si="7"/>
        <v>52.133333333333333</v>
      </c>
      <c r="K43" s="21">
        <v>185108</v>
      </c>
      <c r="L43" s="21">
        <f>H43-174634</f>
        <v>-24634</v>
      </c>
      <c r="M43" s="21">
        <v>10474</v>
      </c>
      <c r="N43" s="67">
        <f t="shared" si="8"/>
        <v>6.9826666666666662E-2</v>
      </c>
      <c r="O43" s="23">
        <v>59.85</v>
      </c>
      <c r="P43" s="24">
        <v>110</v>
      </c>
      <c r="Q43" s="25">
        <v>0.151</v>
      </c>
      <c r="R43" s="25">
        <v>0.151</v>
      </c>
      <c r="S43" s="21">
        <f t="shared" si="9"/>
        <v>-411.59565580618209</v>
      </c>
      <c r="T43" s="21">
        <f t="shared" si="10"/>
        <v>-163139.07284768214</v>
      </c>
      <c r="U43" s="26">
        <f t="shared" si="11"/>
        <v>-3.7451577788724091</v>
      </c>
      <c r="V43" s="25">
        <v>59.85</v>
      </c>
      <c r="W43" s="25">
        <f t="shared" si="12"/>
        <v>30000</v>
      </c>
      <c r="X43" s="25">
        <f t="shared" si="13"/>
        <v>501.25313283208021</v>
      </c>
      <c r="Y43" s="27" t="s">
        <v>1028</v>
      </c>
      <c r="Z43" s="19" t="s">
        <v>35</v>
      </c>
      <c r="AA43" s="19" t="s">
        <v>35</v>
      </c>
      <c r="AB43" s="19" t="s">
        <v>1029</v>
      </c>
      <c r="AC43" s="19">
        <v>0</v>
      </c>
      <c r="AD43" s="19">
        <v>1</v>
      </c>
      <c r="AE43" s="19" t="s">
        <v>37</v>
      </c>
      <c r="AF43" s="19" t="s">
        <v>43</v>
      </c>
      <c r="AG43" s="19" t="s">
        <v>38</v>
      </c>
      <c r="AH43" s="19" t="s">
        <v>92</v>
      </c>
    </row>
  </sheetData>
  <sortState xmlns:xlrd2="http://schemas.microsoft.com/office/spreadsheetml/2017/richdata2" ref="A2:AH35">
    <sortCondition ref="S2:S35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00B050"/>
  </sheetPr>
  <dimension ref="A1:AH25"/>
  <sheetViews>
    <sheetView workbookViewId="0">
      <selection activeCell="E13" sqref="E13:L19"/>
    </sheetView>
  </sheetViews>
  <sheetFormatPr defaultRowHeight="14.4" x14ac:dyDescent="0.3"/>
  <cols>
    <col min="1" max="1" width="10.44140625" style="55" bestFit="1" customWidth="1" collapsed="1"/>
    <col min="2" max="2" width="16.88671875" bestFit="1" customWidth="1" collapsed="1"/>
    <col min="3" max="3" width="18.109375" bestFit="1" customWidth="1" collapsed="1"/>
    <col min="4" max="4" width="10.664062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1324</v>
      </c>
      <c r="B2" s="10" t="s">
        <v>1335</v>
      </c>
      <c r="C2" s="10" t="s">
        <v>1336</v>
      </c>
      <c r="D2" s="11">
        <v>45357</v>
      </c>
      <c r="E2" s="12">
        <v>140000</v>
      </c>
      <c r="F2" s="10" t="s">
        <v>32</v>
      </c>
      <c r="G2" s="10" t="s">
        <v>33</v>
      </c>
      <c r="H2" s="12">
        <v>140000</v>
      </c>
      <c r="I2" s="12">
        <v>78000</v>
      </c>
      <c r="J2" s="13">
        <f t="shared" ref="J2:J9" si="0">I2/H2*100</f>
        <v>55.714285714285715</v>
      </c>
      <c r="K2" s="12">
        <v>173870</v>
      </c>
      <c r="L2" s="12">
        <f>H2-161556</f>
        <v>-21556</v>
      </c>
      <c r="M2" s="12">
        <v>12314</v>
      </c>
      <c r="N2" s="66">
        <f t="shared" ref="N2:N9" si="1">M2/E2</f>
        <v>8.7957142857142859E-2</v>
      </c>
      <c r="O2" s="14">
        <v>64.13</v>
      </c>
      <c r="P2" s="15">
        <v>152.59</v>
      </c>
      <c r="Q2" s="16">
        <v>0.221</v>
      </c>
      <c r="R2" s="16">
        <v>0.221</v>
      </c>
      <c r="S2" s="12">
        <f t="shared" ref="S2:S9" si="2">L2/O2</f>
        <v>-336.12973647278966</v>
      </c>
      <c r="T2" s="12">
        <f t="shared" ref="T2:T9" si="3">L2/Q2</f>
        <v>-97538.461538461532</v>
      </c>
      <c r="U2" s="17">
        <f t="shared" ref="U2:U9" si="4">L2/Q2/43560</f>
        <v>-2.2391749664476936</v>
      </c>
      <c r="V2" s="16">
        <v>48</v>
      </c>
      <c r="W2" s="16">
        <f t="shared" ref="W2:W9" si="5">0.2*E2</f>
        <v>28000</v>
      </c>
      <c r="X2" s="16">
        <f t="shared" ref="X2:X9" si="6">W2/V2</f>
        <v>583.33333333333337</v>
      </c>
      <c r="Y2" s="18" t="s">
        <v>1323</v>
      </c>
      <c r="Z2" s="10" t="s">
        <v>35</v>
      </c>
      <c r="AA2" s="10" t="s">
        <v>35</v>
      </c>
      <c r="AB2" s="10" t="s">
        <v>1324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1324</v>
      </c>
      <c r="B3" s="19" t="s">
        <v>1325</v>
      </c>
      <c r="C3" s="19" t="s">
        <v>1326</v>
      </c>
      <c r="D3" s="20">
        <v>45603</v>
      </c>
      <c r="E3" s="21">
        <v>155000</v>
      </c>
      <c r="F3" s="19" t="s">
        <v>32</v>
      </c>
      <c r="G3" s="19" t="s">
        <v>33</v>
      </c>
      <c r="H3" s="21">
        <v>155000</v>
      </c>
      <c r="I3" s="21">
        <v>87500</v>
      </c>
      <c r="J3" s="22">
        <f t="shared" si="0"/>
        <v>56.451612903225815</v>
      </c>
      <c r="K3" s="21">
        <v>175227</v>
      </c>
      <c r="L3" s="21">
        <f>H3-162573</f>
        <v>-7573</v>
      </c>
      <c r="M3" s="21">
        <v>12654</v>
      </c>
      <c r="N3" s="67">
        <f t="shared" si="1"/>
        <v>8.163870967741936E-2</v>
      </c>
      <c r="O3" s="23">
        <v>65.900000000000006</v>
      </c>
      <c r="P3" s="24">
        <v>134</v>
      </c>
      <c r="Q3" s="25">
        <v>0.186</v>
      </c>
      <c r="R3" s="25">
        <v>0.186</v>
      </c>
      <c r="S3" s="21">
        <f t="shared" si="2"/>
        <v>-114.91654021244308</v>
      </c>
      <c r="T3" s="21">
        <f t="shared" si="3"/>
        <v>-40715.053763440861</v>
      </c>
      <c r="U3" s="26">
        <f t="shared" si="4"/>
        <v>-0.9346890211992851</v>
      </c>
      <c r="V3" s="25">
        <v>70.34</v>
      </c>
      <c r="W3" s="25">
        <f t="shared" si="5"/>
        <v>31000</v>
      </c>
      <c r="X3" s="25">
        <f t="shared" si="6"/>
        <v>440.71651976116004</v>
      </c>
      <c r="Y3" s="27" t="s">
        <v>1323</v>
      </c>
      <c r="Z3" s="19" t="s">
        <v>35</v>
      </c>
      <c r="AA3" s="19" t="s">
        <v>35</v>
      </c>
      <c r="AB3" s="19" t="s">
        <v>1324</v>
      </c>
      <c r="AC3" s="19">
        <v>0</v>
      </c>
      <c r="AD3" s="19">
        <v>1</v>
      </c>
      <c r="AE3" s="19" t="s">
        <v>412</v>
      </c>
      <c r="AF3" s="19" t="s">
        <v>35</v>
      </c>
      <c r="AG3" s="19" t="s">
        <v>38</v>
      </c>
      <c r="AH3" s="19" t="s">
        <v>92</v>
      </c>
    </row>
    <row r="4" spans="1:34" x14ac:dyDescent="0.3">
      <c r="A4" s="74" t="s">
        <v>1324</v>
      </c>
      <c r="B4" s="10" t="s">
        <v>1329</v>
      </c>
      <c r="C4" s="10" t="s">
        <v>1330</v>
      </c>
      <c r="D4" s="11">
        <v>45230</v>
      </c>
      <c r="E4" s="12">
        <v>150000</v>
      </c>
      <c r="F4" s="10" t="s">
        <v>32</v>
      </c>
      <c r="G4" s="10" t="s">
        <v>33</v>
      </c>
      <c r="H4" s="12">
        <v>150000</v>
      </c>
      <c r="I4" s="12">
        <v>69000</v>
      </c>
      <c r="J4" s="13">
        <f t="shared" si="0"/>
        <v>46</v>
      </c>
      <c r="K4" s="12">
        <v>153808</v>
      </c>
      <c r="L4" s="12">
        <f>H4-143358</f>
        <v>6642</v>
      </c>
      <c r="M4" s="12">
        <v>10450</v>
      </c>
      <c r="N4" s="66">
        <f t="shared" si="1"/>
        <v>6.9666666666666668E-2</v>
      </c>
      <c r="O4" s="14">
        <v>54.42</v>
      </c>
      <c r="P4" s="15">
        <v>129.78</v>
      </c>
      <c r="Q4" s="16">
        <v>0.16700000000000001</v>
      </c>
      <c r="R4" s="16">
        <v>0.16700000000000001</v>
      </c>
      <c r="S4" s="12">
        <f t="shared" si="2"/>
        <v>122.05071664829107</v>
      </c>
      <c r="T4" s="12">
        <f t="shared" si="3"/>
        <v>39772.45508982036</v>
      </c>
      <c r="U4" s="17">
        <f t="shared" si="4"/>
        <v>0.91304993319146832</v>
      </c>
      <c r="V4" s="16">
        <v>48</v>
      </c>
      <c r="W4" s="16">
        <f t="shared" si="5"/>
        <v>30000</v>
      </c>
      <c r="X4" s="16">
        <f t="shared" si="6"/>
        <v>625</v>
      </c>
      <c r="Y4" s="18" t="s">
        <v>1323</v>
      </c>
      <c r="Z4" s="10" t="s">
        <v>35</v>
      </c>
      <c r="AA4" s="10" t="s">
        <v>35</v>
      </c>
      <c r="AB4" s="10" t="s">
        <v>1324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1324</v>
      </c>
      <c r="B5" s="19" t="s">
        <v>1321</v>
      </c>
      <c r="C5" s="19" t="s">
        <v>1322</v>
      </c>
      <c r="D5" s="20">
        <v>45630</v>
      </c>
      <c r="E5" s="21">
        <v>170000</v>
      </c>
      <c r="F5" s="19" t="s">
        <v>32</v>
      </c>
      <c r="G5" s="19" t="s">
        <v>33</v>
      </c>
      <c r="H5" s="21">
        <v>170000</v>
      </c>
      <c r="I5" s="21">
        <v>83700</v>
      </c>
      <c r="J5" s="22">
        <f t="shared" si="0"/>
        <v>49.235294117647058</v>
      </c>
      <c r="K5" s="21">
        <v>168513</v>
      </c>
      <c r="L5" s="21">
        <f>H5-158748</f>
        <v>11252</v>
      </c>
      <c r="M5" s="21">
        <v>9765</v>
      </c>
      <c r="N5" s="67">
        <f t="shared" si="1"/>
        <v>5.7441176470588239E-2</v>
      </c>
      <c r="O5" s="23">
        <v>50.86</v>
      </c>
      <c r="P5" s="24">
        <v>128.5</v>
      </c>
      <c r="Q5" s="25">
        <v>0.14799999999999999</v>
      </c>
      <c r="R5" s="25">
        <v>0.14799999999999999</v>
      </c>
      <c r="S5" s="21">
        <f t="shared" si="2"/>
        <v>221.23476209201729</v>
      </c>
      <c r="T5" s="21">
        <f t="shared" si="3"/>
        <v>76027.027027027027</v>
      </c>
      <c r="U5" s="26">
        <f t="shared" si="4"/>
        <v>1.7453403817040181</v>
      </c>
      <c r="V5" s="25">
        <v>50</v>
      </c>
      <c r="W5" s="25">
        <f t="shared" si="5"/>
        <v>34000</v>
      </c>
      <c r="X5" s="25">
        <f t="shared" si="6"/>
        <v>680</v>
      </c>
      <c r="Y5" s="27" t="s">
        <v>1323</v>
      </c>
      <c r="Z5" s="19" t="s">
        <v>35</v>
      </c>
      <c r="AA5" s="19" t="s">
        <v>35</v>
      </c>
      <c r="AB5" s="19" t="s">
        <v>1324</v>
      </c>
      <c r="AC5" s="19">
        <v>0</v>
      </c>
      <c r="AD5" s="19">
        <v>1</v>
      </c>
      <c r="AE5" s="19" t="s">
        <v>42</v>
      </c>
      <c r="AF5" s="19" t="s">
        <v>35</v>
      </c>
      <c r="AG5" s="19" t="s">
        <v>38</v>
      </c>
      <c r="AH5" s="19" t="s">
        <v>92</v>
      </c>
    </row>
    <row r="6" spans="1:34" x14ac:dyDescent="0.3">
      <c r="A6" s="74" t="s">
        <v>1324</v>
      </c>
      <c r="B6" s="10" t="s">
        <v>1341</v>
      </c>
      <c r="C6" s="10" t="s">
        <v>1342</v>
      </c>
      <c r="D6" s="11">
        <v>45443</v>
      </c>
      <c r="E6" s="12">
        <v>185000</v>
      </c>
      <c r="F6" s="10" t="s">
        <v>32</v>
      </c>
      <c r="G6" s="10" t="s">
        <v>33</v>
      </c>
      <c r="H6" s="12">
        <v>185000</v>
      </c>
      <c r="I6" s="12">
        <v>87500</v>
      </c>
      <c r="J6" s="13">
        <f t="shared" si="0"/>
        <v>47.297297297297298</v>
      </c>
      <c r="K6" s="12">
        <v>175131</v>
      </c>
      <c r="L6" s="12">
        <f>H6-164863</f>
        <v>20137</v>
      </c>
      <c r="M6" s="12">
        <v>10268</v>
      </c>
      <c r="N6" s="66">
        <f t="shared" si="1"/>
        <v>5.5502702702702703E-2</v>
      </c>
      <c r="O6" s="14">
        <v>53.48</v>
      </c>
      <c r="P6" s="15">
        <v>123</v>
      </c>
      <c r="Q6" s="16">
        <v>0.152</v>
      </c>
      <c r="R6" s="16">
        <v>0.152</v>
      </c>
      <c r="S6" s="12">
        <f t="shared" si="2"/>
        <v>376.53328347045624</v>
      </c>
      <c r="T6" s="12">
        <f t="shared" si="3"/>
        <v>132480.26315789475</v>
      </c>
      <c r="U6" s="17">
        <f t="shared" si="4"/>
        <v>3.041328355323571</v>
      </c>
      <c r="V6" s="16">
        <v>53.85</v>
      </c>
      <c r="W6" s="16">
        <f t="shared" si="5"/>
        <v>37000</v>
      </c>
      <c r="X6" s="16">
        <f t="shared" si="6"/>
        <v>687.09377901578455</v>
      </c>
      <c r="Y6" s="18" t="s">
        <v>1323</v>
      </c>
      <c r="Z6" s="10" t="s">
        <v>35</v>
      </c>
      <c r="AA6" s="10" t="s">
        <v>35</v>
      </c>
      <c r="AB6" s="10" t="s">
        <v>1324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5" t="s">
        <v>1324</v>
      </c>
      <c r="B7" s="19" t="s">
        <v>1339</v>
      </c>
      <c r="C7" s="19" t="s">
        <v>1340</v>
      </c>
      <c r="D7" s="20">
        <v>45511</v>
      </c>
      <c r="E7" s="21">
        <v>200000</v>
      </c>
      <c r="F7" s="19" t="s">
        <v>32</v>
      </c>
      <c r="G7" s="19" t="s">
        <v>33</v>
      </c>
      <c r="H7" s="21">
        <v>200000</v>
      </c>
      <c r="I7" s="21">
        <v>86200</v>
      </c>
      <c r="J7" s="22">
        <f t="shared" si="0"/>
        <v>43.1</v>
      </c>
      <c r="K7" s="21">
        <v>172476</v>
      </c>
      <c r="L7" s="21">
        <f>H7-162499</f>
        <v>37501</v>
      </c>
      <c r="M7" s="21">
        <v>9977</v>
      </c>
      <c r="N7" s="67">
        <f t="shared" si="1"/>
        <v>4.9884999999999999E-2</v>
      </c>
      <c r="O7" s="23">
        <v>51.96</v>
      </c>
      <c r="P7" s="24">
        <v>135</v>
      </c>
      <c r="Q7" s="25">
        <v>0.155</v>
      </c>
      <c r="R7" s="25">
        <v>0.155</v>
      </c>
      <c r="S7" s="21">
        <f t="shared" si="2"/>
        <v>721.72825250192454</v>
      </c>
      <c r="T7" s="21">
        <f t="shared" si="3"/>
        <v>241941.93548387097</v>
      </c>
      <c r="U7" s="26">
        <f t="shared" si="4"/>
        <v>5.5542225776829879</v>
      </c>
      <c r="V7" s="25">
        <v>50</v>
      </c>
      <c r="W7" s="25">
        <f t="shared" si="5"/>
        <v>40000</v>
      </c>
      <c r="X7" s="25">
        <f t="shared" si="6"/>
        <v>800</v>
      </c>
      <c r="Y7" s="27" t="s">
        <v>1323</v>
      </c>
      <c r="Z7" s="19" t="s">
        <v>35</v>
      </c>
      <c r="AA7" s="19" t="s">
        <v>35</v>
      </c>
      <c r="AB7" s="19" t="s">
        <v>1324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1324</v>
      </c>
      <c r="B8" s="10" t="s">
        <v>1327</v>
      </c>
      <c r="C8" s="10" t="s">
        <v>1328</v>
      </c>
      <c r="D8" s="11">
        <v>45594</v>
      </c>
      <c r="E8" s="12">
        <v>196000</v>
      </c>
      <c r="F8" s="10" t="s">
        <v>32</v>
      </c>
      <c r="G8" s="10" t="s">
        <v>33</v>
      </c>
      <c r="H8" s="12">
        <v>196000</v>
      </c>
      <c r="I8" s="12">
        <v>84500</v>
      </c>
      <c r="J8" s="13">
        <f t="shared" si="0"/>
        <v>43.112244897959187</v>
      </c>
      <c r="K8" s="12">
        <v>169124</v>
      </c>
      <c r="L8" s="12">
        <f>H8-159718</f>
        <v>36282</v>
      </c>
      <c r="M8" s="12">
        <v>9406</v>
      </c>
      <c r="N8" s="66">
        <f t="shared" si="1"/>
        <v>4.7989795918367349E-2</v>
      </c>
      <c r="O8" s="14">
        <v>48.98</v>
      </c>
      <c r="P8" s="15">
        <v>120</v>
      </c>
      <c r="Q8" s="16">
        <v>0.13800000000000001</v>
      </c>
      <c r="R8" s="16">
        <v>0.13800000000000001</v>
      </c>
      <c r="S8" s="12">
        <f t="shared" si="2"/>
        <v>740.75132707227442</v>
      </c>
      <c r="T8" s="12">
        <f t="shared" si="3"/>
        <v>262913.04347826086</v>
      </c>
      <c r="U8" s="17">
        <f t="shared" si="4"/>
        <v>6.0356529724118655</v>
      </c>
      <c r="V8" s="16">
        <v>50</v>
      </c>
      <c r="W8" s="16">
        <f t="shared" si="5"/>
        <v>39200</v>
      </c>
      <c r="X8" s="16">
        <f t="shared" si="6"/>
        <v>784</v>
      </c>
      <c r="Y8" s="18" t="s">
        <v>1323</v>
      </c>
      <c r="Z8" s="10" t="s">
        <v>35</v>
      </c>
      <c r="AA8" s="10" t="s">
        <v>35</v>
      </c>
      <c r="AB8" s="10" t="s">
        <v>1324</v>
      </c>
      <c r="AC8" s="10">
        <v>0</v>
      </c>
      <c r="AD8" s="10">
        <v>1</v>
      </c>
      <c r="AE8" s="10" t="s">
        <v>37</v>
      </c>
      <c r="AF8" s="10" t="s">
        <v>35</v>
      </c>
      <c r="AG8" s="10" t="s">
        <v>38</v>
      </c>
      <c r="AH8" s="10" t="s">
        <v>92</v>
      </c>
    </row>
    <row r="9" spans="1:34" ht="15" thickBot="1" x14ac:dyDescent="0.35">
      <c r="A9" s="75" t="s">
        <v>1324</v>
      </c>
      <c r="B9" s="19" t="s">
        <v>1331</v>
      </c>
      <c r="C9" s="19" t="s">
        <v>1332</v>
      </c>
      <c r="D9" s="20">
        <v>45212</v>
      </c>
      <c r="E9" s="21">
        <v>203100</v>
      </c>
      <c r="F9" s="19" t="s">
        <v>32</v>
      </c>
      <c r="G9" s="19" t="s">
        <v>33</v>
      </c>
      <c r="H9" s="21">
        <v>203100</v>
      </c>
      <c r="I9" s="21">
        <v>77200</v>
      </c>
      <c r="J9" s="22">
        <f t="shared" si="0"/>
        <v>38.010832102412607</v>
      </c>
      <c r="K9" s="21">
        <v>171587</v>
      </c>
      <c r="L9" s="21">
        <f>H9-160728</f>
        <v>42372</v>
      </c>
      <c r="M9" s="21">
        <v>10859</v>
      </c>
      <c r="N9" s="67">
        <f t="shared" si="1"/>
        <v>5.3466272772033481E-2</v>
      </c>
      <c r="O9" s="23">
        <v>56.55</v>
      </c>
      <c r="P9" s="24">
        <v>140.69</v>
      </c>
      <c r="Q9" s="25">
        <v>0.18099999999999999</v>
      </c>
      <c r="R9" s="25">
        <v>0.18099999999999999</v>
      </c>
      <c r="S9" s="21">
        <f t="shared" si="2"/>
        <v>749.28381962864728</v>
      </c>
      <c r="T9" s="21">
        <f t="shared" si="3"/>
        <v>234099.44751381216</v>
      </c>
      <c r="U9" s="26">
        <f t="shared" si="4"/>
        <v>5.3741838272225015</v>
      </c>
      <c r="V9" s="25">
        <v>48</v>
      </c>
      <c r="W9" s="25">
        <f t="shared" si="5"/>
        <v>40620</v>
      </c>
      <c r="X9" s="25">
        <f t="shared" si="6"/>
        <v>846.25</v>
      </c>
      <c r="Y9" s="27" t="s">
        <v>1323</v>
      </c>
      <c r="Z9" s="19" t="s">
        <v>35</v>
      </c>
      <c r="AA9" s="19" t="s">
        <v>35</v>
      </c>
      <c r="AB9" s="19" t="s">
        <v>1324</v>
      </c>
      <c r="AC9" s="19">
        <v>0</v>
      </c>
      <c r="AD9" s="19">
        <v>1</v>
      </c>
      <c r="AE9" s="19" t="s">
        <v>37</v>
      </c>
      <c r="AF9" s="19" t="s">
        <v>43</v>
      </c>
      <c r="AG9" s="19" t="s">
        <v>38</v>
      </c>
      <c r="AH9" s="19" t="s">
        <v>92</v>
      </c>
    </row>
    <row r="10" spans="1:34" ht="15" thickTop="1" x14ac:dyDescent="0.3">
      <c r="A10" s="76"/>
      <c r="B10" s="37"/>
      <c r="C10" s="37"/>
      <c r="D10" s="38" t="s">
        <v>2876</v>
      </c>
      <c r="E10" s="39">
        <f>+SUM(E2:E9)</f>
        <v>1399100</v>
      </c>
      <c r="F10" s="37"/>
      <c r="G10" s="37"/>
      <c r="H10" s="39">
        <f>+SUM(H2:H9)</f>
        <v>1399100</v>
      </c>
      <c r="I10" s="39">
        <f>+SUM(I2:I9)</f>
        <v>653600</v>
      </c>
      <c r="J10" s="40"/>
      <c r="K10" s="39">
        <f>+SUM(K2:K9)</f>
        <v>1359736</v>
      </c>
      <c r="L10" s="39">
        <f>+SUM(L2:L9)</f>
        <v>125057</v>
      </c>
      <c r="M10" s="39">
        <f>+SUM(M2:M9)</f>
        <v>85693</v>
      </c>
      <c r="N10" s="81">
        <f>AVERAGE(N2:N9)</f>
        <v>6.2943433383115074E-2</v>
      </c>
      <c r="O10" s="41">
        <f>+SUM(O2:O9)</f>
        <v>446.28000000000003</v>
      </c>
      <c r="P10" s="42"/>
      <c r="Q10" s="43">
        <f>+SUM(Q2:Q9)</f>
        <v>1.3480000000000003</v>
      </c>
      <c r="R10" s="43">
        <f>+SUM(R2:R9)</f>
        <v>1.3480000000000003</v>
      </c>
      <c r="S10" s="39"/>
      <c r="T10" s="39"/>
      <c r="U10" s="44"/>
      <c r="V10" s="43"/>
      <c r="W10" s="82">
        <f>AVERAGE(W2:W9)</f>
        <v>34977.5</v>
      </c>
      <c r="X10" s="83">
        <f>AVERAGE(X2:X9)</f>
        <v>680.79920401378467</v>
      </c>
      <c r="Y10" s="45"/>
      <c r="Z10" s="37"/>
      <c r="AA10" s="37"/>
      <c r="AB10" s="37"/>
      <c r="AC10" s="37"/>
      <c r="AD10" s="37"/>
      <c r="AE10" s="37"/>
      <c r="AF10" s="37"/>
      <c r="AG10" s="37"/>
      <c r="AH10" s="37"/>
    </row>
    <row r="11" spans="1:34" x14ac:dyDescent="0.3">
      <c r="A11" s="77"/>
      <c r="B11" s="28"/>
      <c r="C11" s="28"/>
      <c r="D11" s="29"/>
      <c r="E11" s="30"/>
      <c r="F11" s="28"/>
      <c r="G11" s="28"/>
      <c r="H11" s="30"/>
      <c r="I11" s="30" t="s">
        <v>2877</v>
      </c>
      <c r="J11" s="31">
        <f>I10/H10*100</f>
        <v>46.715745836609251</v>
      </c>
      <c r="K11" s="30"/>
      <c r="L11" s="30"/>
      <c r="M11" s="30" t="s">
        <v>2879</v>
      </c>
      <c r="N11" s="79"/>
      <c r="O11" s="32"/>
      <c r="P11" s="33"/>
      <c r="Q11" s="34" t="s">
        <v>2879</v>
      </c>
      <c r="R11" s="34"/>
      <c r="S11" s="30"/>
      <c r="T11" s="30" t="s">
        <v>2879</v>
      </c>
      <c r="U11" s="35"/>
      <c r="V11" s="34"/>
      <c r="W11" s="63"/>
      <c r="X11" s="68"/>
      <c r="Y11" s="36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x14ac:dyDescent="0.3">
      <c r="A12" s="78"/>
      <c r="B12" s="46"/>
      <c r="C12" s="46"/>
      <c r="D12" s="47"/>
      <c r="E12" s="48"/>
      <c r="F12" s="46"/>
      <c r="G12" s="46"/>
      <c r="H12" s="48"/>
      <c r="I12" s="48" t="s">
        <v>2878</v>
      </c>
      <c r="J12" s="49">
        <f>STDEV(J2:J9)</f>
        <v>6.3405669241969393</v>
      </c>
      <c r="K12" s="48"/>
      <c r="L12" s="48"/>
      <c r="M12" s="48" t="s">
        <v>2880</v>
      </c>
      <c r="N12" s="80"/>
      <c r="O12" s="54">
        <f>L10/O10</f>
        <v>280.2209375280093</v>
      </c>
      <c r="P12" s="50"/>
      <c r="Q12" s="51" t="s">
        <v>2881</v>
      </c>
      <c r="R12" s="51">
        <f>L10/Q10</f>
        <v>92772.255192878321</v>
      </c>
      <c r="S12" s="48"/>
      <c r="T12" s="48" t="s">
        <v>2882</v>
      </c>
      <c r="U12" s="52">
        <f>L10/Q10/43560</f>
        <v>2.1297579245380698</v>
      </c>
      <c r="V12" s="51"/>
      <c r="W12" s="64"/>
      <c r="X12" s="69"/>
      <c r="Y12" s="53"/>
      <c r="Z12" s="46"/>
      <c r="AA12" s="46"/>
      <c r="AB12" s="46"/>
      <c r="AC12" s="46"/>
      <c r="AD12" s="46"/>
      <c r="AE12" s="46"/>
      <c r="AF12" s="46"/>
      <c r="AG12" s="46"/>
      <c r="AH12" s="46"/>
    </row>
    <row r="13" spans="1:34" x14ac:dyDescent="0.3">
      <c r="E13" s="94" t="s">
        <v>3099</v>
      </c>
      <c r="L13" s="95"/>
    </row>
    <row r="14" spans="1:34" x14ac:dyDescent="0.3">
      <c r="E14" s="383" t="s">
        <v>3163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3164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3165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3166</v>
      </c>
      <c r="F17" s="383"/>
      <c r="G17" s="383"/>
      <c r="H17" s="383"/>
      <c r="I17" s="383"/>
      <c r="J17" s="96"/>
      <c r="K17" s="96"/>
      <c r="L17" s="96"/>
    </row>
    <row r="18" spans="1:34" x14ac:dyDescent="0.3">
      <c r="E18" s="383" t="s">
        <v>3167</v>
      </c>
      <c r="F18" s="383"/>
      <c r="G18" s="383"/>
      <c r="H18" s="383"/>
      <c r="I18" s="383"/>
      <c r="L18" s="95"/>
    </row>
    <row r="19" spans="1:34" x14ac:dyDescent="0.3">
      <c r="E19" s="383" t="s">
        <v>3100</v>
      </c>
      <c r="F19" s="383"/>
      <c r="G19" s="383"/>
      <c r="H19" s="383"/>
      <c r="I19" s="383"/>
      <c r="L19" s="95"/>
    </row>
    <row r="20" spans="1:34" x14ac:dyDescent="0.3">
      <c r="E20" s="96"/>
      <c r="F20" s="96"/>
      <c r="G20" s="96"/>
      <c r="H20" s="96"/>
      <c r="I20" s="96"/>
      <c r="L20" s="95"/>
    </row>
    <row r="21" spans="1:34" x14ac:dyDescent="0.3">
      <c r="A21" s="55" t="s">
        <v>3092</v>
      </c>
      <c r="E21" s="96"/>
      <c r="F21" s="96"/>
      <c r="G21" s="96"/>
      <c r="H21" s="96"/>
      <c r="I21" s="96"/>
      <c r="L21" s="95"/>
    </row>
    <row r="22" spans="1:34" x14ac:dyDescent="0.3">
      <c r="A22" s="75" t="s">
        <v>1324</v>
      </c>
      <c r="B22" s="19" t="s">
        <v>1333</v>
      </c>
      <c r="C22" s="19" t="s">
        <v>1334</v>
      </c>
      <c r="D22" s="20">
        <v>45412</v>
      </c>
      <c r="E22" s="21">
        <v>115000</v>
      </c>
      <c r="F22" s="19" t="s">
        <v>32</v>
      </c>
      <c r="G22" s="19" t="s">
        <v>33</v>
      </c>
      <c r="H22" s="21">
        <v>115000</v>
      </c>
      <c r="I22" s="21">
        <v>89100</v>
      </c>
      <c r="J22" s="22">
        <f t="shared" ref="J22:J25" si="7">I22/H22*100</f>
        <v>77.478260869565219</v>
      </c>
      <c r="K22" s="21">
        <v>178305</v>
      </c>
      <c r="L22" s="21">
        <f>H22-164444</f>
        <v>-49444</v>
      </c>
      <c r="M22" s="21">
        <v>13861</v>
      </c>
      <c r="N22" s="67">
        <f t="shared" ref="N22:N25" si="8">M22/E22</f>
        <v>0.12053043478260869</v>
      </c>
      <c r="O22" s="23">
        <v>72.19</v>
      </c>
      <c r="P22" s="24">
        <v>80.430000000000007</v>
      </c>
      <c r="Q22" s="25">
        <v>0.16600000000000001</v>
      </c>
      <c r="R22" s="25">
        <v>0.16600000000000001</v>
      </c>
      <c r="S22" s="21">
        <f t="shared" ref="S22:S25" si="9">L22/O22</f>
        <v>-684.91480814517251</v>
      </c>
      <c r="T22" s="21">
        <f t="shared" ref="T22:T25" si="10">L22/Q22</f>
        <v>-297855.42168674699</v>
      </c>
      <c r="U22" s="26">
        <f t="shared" ref="U22:U25" si="11">L22/Q22/43560</f>
        <v>-6.8378195979510332</v>
      </c>
      <c r="V22" s="25">
        <v>90</v>
      </c>
      <c r="W22" s="25">
        <f t="shared" ref="W22:W25" si="12">0.2*E22</f>
        <v>23000</v>
      </c>
      <c r="X22" s="25">
        <f t="shared" ref="X22:X25" si="13">W22/V22</f>
        <v>255.55555555555554</v>
      </c>
      <c r="Y22" s="27" t="s">
        <v>1323</v>
      </c>
      <c r="Z22" s="19" t="s">
        <v>35</v>
      </c>
      <c r="AA22" s="19" t="s">
        <v>35</v>
      </c>
      <c r="AB22" s="19" t="s">
        <v>1324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4" t="s">
        <v>1324</v>
      </c>
      <c r="B23" s="10" t="s">
        <v>1343</v>
      </c>
      <c r="C23" s="10" t="s">
        <v>1344</v>
      </c>
      <c r="D23" s="11">
        <v>45644</v>
      </c>
      <c r="E23" s="12">
        <v>125000</v>
      </c>
      <c r="F23" s="10" t="s">
        <v>32</v>
      </c>
      <c r="G23" s="10" t="s">
        <v>33</v>
      </c>
      <c r="H23" s="12">
        <v>125000</v>
      </c>
      <c r="I23" s="12">
        <v>83900</v>
      </c>
      <c r="J23" s="13">
        <f t="shared" si="7"/>
        <v>67.12</v>
      </c>
      <c r="K23" s="12">
        <v>169084</v>
      </c>
      <c r="L23" s="12">
        <f>H23-158498</f>
        <v>-33498</v>
      </c>
      <c r="M23" s="12">
        <v>10586</v>
      </c>
      <c r="N23" s="66">
        <f t="shared" si="8"/>
        <v>8.4687999999999999E-2</v>
      </c>
      <c r="O23" s="14">
        <v>55.13</v>
      </c>
      <c r="P23" s="15">
        <v>152</v>
      </c>
      <c r="Q23" s="16">
        <v>0.17399999999999999</v>
      </c>
      <c r="R23" s="16">
        <v>0.17399999999999999</v>
      </c>
      <c r="S23" s="12">
        <f t="shared" si="9"/>
        <v>-607.61835661164514</v>
      </c>
      <c r="T23" s="12">
        <f t="shared" si="10"/>
        <v>-192517.24137931035</v>
      </c>
      <c r="U23" s="17">
        <f t="shared" si="11"/>
        <v>-4.4195877267977579</v>
      </c>
      <c r="V23" s="16">
        <v>50</v>
      </c>
      <c r="W23" s="16">
        <f t="shared" si="12"/>
        <v>25000</v>
      </c>
      <c r="X23" s="16">
        <f t="shared" si="13"/>
        <v>500</v>
      </c>
      <c r="Y23" s="18" t="s">
        <v>1323</v>
      </c>
      <c r="Z23" s="10" t="s">
        <v>35</v>
      </c>
      <c r="AA23" s="10" t="s">
        <v>35</v>
      </c>
      <c r="AB23" s="10" t="s">
        <v>1324</v>
      </c>
      <c r="AC23" s="10">
        <v>0</v>
      </c>
      <c r="AD23" s="10">
        <v>1</v>
      </c>
      <c r="AE23" s="10" t="s">
        <v>412</v>
      </c>
      <c r="AF23" s="10" t="s">
        <v>35</v>
      </c>
      <c r="AG23" s="10" t="s">
        <v>38</v>
      </c>
      <c r="AH23" s="10" t="s">
        <v>92</v>
      </c>
    </row>
    <row r="24" spans="1:34" x14ac:dyDescent="0.3">
      <c r="A24" s="74" t="s">
        <v>1324</v>
      </c>
      <c r="B24" s="10" t="s">
        <v>1335</v>
      </c>
      <c r="C24" s="10" t="s">
        <v>1336</v>
      </c>
      <c r="D24" s="11">
        <v>45457</v>
      </c>
      <c r="E24" s="12">
        <v>225000</v>
      </c>
      <c r="F24" s="10" t="s">
        <v>32</v>
      </c>
      <c r="G24" s="10" t="s">
        <v>33</v>
      </c>
      <c r="H24" s="12">
        <v>225000</v>
      </c>
      <c r="I24" s="12">
        <v>86600</v>
      </c>
      <c r="J24" s="13">
        <f t="shared" si="7"/>
        <v>38.488888888888887</v>
      </c>
      <c r="K24" s="12">
        <v>173870</v>
      </c>
      <c r="L24" s="12">
        <f>H24-161556</f>
        <v>63444</v>
      </c>
      <c r="M24" s="12">
        <v>12314</v>
      </c>
      <c r="N24" s="66">
        <f t="shared" si="8"/>
        <v>5.4728888888888889E-2</v>
      </c>
      <c r="O24" s="14">
        <v>64.13</v>
      </c>
      <c r="P24" s="15">
        <v>152.59</v>
      </c>
      <c r="Q24" s="16">
        <v>0.221</v>
      </c>
      <c r="R24" s="16">
        <v>0.221</v>
      </c>
      <c r="S24" s="12">
        <f t="shared" si="9"/>
        <v>989.30297832527685</v>
      </c>
      <c r="T24" s="12">
        <f t="shared" si="10"/>
        <v>287076.92307692306</v>
      </c>
      <c r="U24" s="17">
        <f t="shared" si="11"/>
        <v>6.5903793176520447</v>
      </c>
      <c r="V24" s="16">
        <v>48</v>
      </c>
      <c r="W24" s="16">
        <f t="shared" si="12"/>
        <v>45000</v>
      </c>
      <c r="X24" s="16">
        <f t="shared" si="13"/>
        <v>937.5</v>
      </c>
      <c r="Y24" s="18" t="s">
        <v>1323</v>
      </c>
      <c r="Z24" s="10" t="s">
        <v>35</v>
      </c>
      <c r="AA24" s="10" t="s">
        <v>35</v>
      </c>
      <c r="AB24" s="10" t="s">
        <v>1324</v>
      </c>
      <c r="AC24" s="10">
        <v>0</v>
      </c>
      <c r="AD24" s="10">
        <v>1</v>
      </c>
      <c r="AE24" s="10" t="s">
        <v>42</v>
      </c>
      <c r="AF24" s="10" t="s">
        <v>43</v>
      </c>
      <c r="AG24" s="10" t="s">
        <v>38</v>
      </c>
      <c r="AH24" s="10" t="s">
        <v>92</v>
      </c>
    </row>
    <row r="25" spans="1:34" x14ac:dyDescent="0.3">
      <c r="A25" s="75" t="s">
        <v>1324</v>
      </c>
      <c r="B25" s="19" t="s">
        <v>1337</v>
      </c>
      <c r="C25" s="19" t="s">
        <v>1338</v>
      </c>
      <c r="D25" s="20">
        <v>45022</v>
      </c>
      <c r="E25" s="21">
        <v>142000</v>
      </c>
      <c r="F25" s="19" t="s">
        <v>32</v>
      </c>
      <c r="G25" s="19" t="s">
        <v>33</v>
      </c>
      <c r="H25" s="21">
        <v>142000</v>
      </c>
      <c r="I25" s="21">
        <v>80000</v>
      </c>
      <c r="J25" s="22">
        <f t="shared" si="7"/>
        <v>56.338028169014088</v>
      </c>
      <c r="K25" s="21">
        <v>177630</v>
      </c>
      <c r="L25" s="21">
        <f>H25-166337</f>
        <v>-24337</v>
      </c>
      <c r="M25" s="21">
        <v>11293</v>
      </c>
      <c r="N25" s="67">
        <f t="shared" si="8"/>
        <v>7.9528169014084507E-2</v>
      </c>
      <c r="O25" s="23">
        <v>58.81</v>
      </c>
      <c r="P25" s="24">
        <v>134.38</v>
      </c>
      <c r="Q25" s="25">
        <v>0.188</v>
      </c>
      <c r="R25" s="25">
        <v>0.188</v>
      </c>
      <c r="S25" s="21">
        <f t="shared" si="9"/>
        <v>-413.8241795612991</v>
      </c>
      <c r="T25" s="21">
        <f t="shared" si="10"/>
        <v>-129452.12765957447</v>
      </c>
      <c r="U25" s="26">
        <f t="shared" si="11"/>
        <v>-2.9718119297422971</v>
      </c>
      <c r="V25" s="25">
        <v>48</v>
      </c>
      <c r="W25" s="25">
        <f t="shared" si="12"/>
        <v>28400</v>
      </c>
      <c r="X25" s="25">
        <f t="shared" si="13"/>
        <v>591.66666666666663</v>
      </c>
      <c r="Y25" s="27" t="s">
        <v>1323</v>
      </c>
      <c r="Z25" s="19" t="s">
        <v>35</v>
      </c>
      <c r="AA25" s="19" t="s">
        <v>35</v>
      </c>
      <c r="AB25" s="19" t="s">
        <v>1324</v>
      </c>
      <c r="AC25" s="19">
        <v>0</v>
      </c>
      <c r="AD25" s="19">
        <v>1</v>
      </c>
      <c r="AE25" s="19" t="s">
        <v>37</v>
      </c>
      <c r="AF25" s="19" t="s">
        <v>43</v>
      </c>
      <c r="AG25" s="19" t="s">
        <v>38</v>
      </c>
      <c r="AH25" s="19" t="s">
        <v>92</v>
      </c>
    </row>
  </sheetData>
  <sortState xmlns:xlrd2="http://schemas.microsoft.com/office/spreadsheetml/2017/richdata2" ref="A2:AH13">
    <sortCondition ref="S2:S13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00B050"/>
  </sheetPr>
  <dimension ref="A1:AH25"/>
  <sheetViews>
    <sheetView workbookViewId="0">
      <selection activeCell="E12" sqref="E12:N18"/>
    </sheetView>
  </sheetViews>
  <sheetFormatPr defaultRowHeight="14.4" x14ac:dyDescent="0.3"/>
  <cols>
    <col min="1" max="1" width="10.44140625" style="55" bestFit="1" customWidth="1" collapsed="1"/>
    <col min="2" max="2" width="16.88671875" bestFit="1" customWidth="1" collapsed="1"/>
    <col min="3" max="3" width="16.5546875" bestFit="1" customWidth="1" collapsed="1"/>
    <col min="4" max="4" width="10.6640625" bestFit="1" customWidth="1" collapsed="1"/>
    <col min="5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1016</v>
      </c>
      <c r="B2" s="19" t="s">
        <v>1656</v>
      </c>
      <c r="C2" s="19" t="s">
        <v>1657</v>
      </c>
      <c r="D2" s="20">
        <v>45121</v>
      </c>
      <c r="E2" s="21">
        <v>157000</v>
      </c>
      <c r="F2" s="19" t="s">
        <v>32</v>
      </c>
      <c r="G2" s="19" t="s">
        <v>33</v>
      </c>
      <c r="H2" s="21">
        <v>157000</v>
      </c>
      <c r="I2" s="21">
        <v>58500</v>
      </c>
      <c r="J2" s="22">
        <f t="shared" ref="J2:J8" si="0">I2/H2*100</f>
        <v>37.261146496815286</v>
      </c>
      <c r="K2" s="21">
        <v>162667</v>
      </c>
      <c r="L2" s="21">
        <f>H2-154698</f>
        <v>2302</v>
      </c>
      <c r="M2" s="21">
        <v>7969</v>
      </c>
      <c r="N2" s="67">
        <f t="shared" ref="N2:N8" si="1">M2/E2</f>
        <v>5.0757961783439491E-2</v>
      </c>
      <c r="O2" s="23">
        <v>47.43</v>
      </c>
      <c r="P2" s="24">
        <v>108</v>
      </c>
      <c r="Q2" s="25">
        <v>0.124</v>
      </c>
      <c r="R2" s="25">
        <v>0.124</v>
      </c>
      <c r="S2" s="21">
        <f t="shared" ref="S2:S8" si="2">L2/O2</f>
        <v>48.534682690280412</v>
      </c>
      <c r="T2" s="21">
        <f t="shared" ref="T2:T8" si="3">L2/Q2</f>
        <v>18564.516129032258</v>
      </c>
      <c r="U2" s="26">
        <f t="shared" ref="U2:U8" si="4">L2/Q2/43560</f>
        <v>0.42618264759027219</v>
      </c>
      <c r="V2" s="25">
        <v>50</v>
      </c>
      <c r="W2" s="25">
        <f t="shared" ref="W2:W8" si="5">0.2*E2</f>
        <v>31400</v>
      </c>
      <c r="X2" s="25">
        <f t="shared" ref="X2:X8" si="6">W2/V2</f>
        <v>628</v>
      </c>
      <c r="Y2" s="27" t="s">
        <v>1015</v>
      </c>
      <c r="Z2" s="19" t="s">
        <v>35</v>
      </c>
      <c r="AA2" s="19" t="s">
        <v>35</v>
      </c>
      <c r="AB2" s="19" t="s">
        <v>1016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1016</v>
      </c>
      <c r="B3" s="19" t="s">
        <v>1019</v>
      </c>
      <c r="C3" s="19" t="s">
        <v>1020</v>
      </c>
      <c r="D3" s="20">
        <v>45464</v>
      </c>
      <c r="E3" s="21">
        <v>215000</v>
      </c>
      <c r="F3" s="19" t="s">
        <v>32</v>
      </c>
      <c r="G3" s="19" t="s">
        <v>33</v>
      </c>
      <c r="H3" s="21">
        <v>215000</v>
      </c>
      <c r="I3" s="21">
        <v>93000</v>
      </c>
      <c r="J3" s="22">
        <f t="shared" si="0"/>
        <v>43.255813953488371</v>
      </c>
      <c r="K3" s="21">
        <v>226671</v>
      </c>
      <c r="L3" s="21">
        <f>H3-204896</f>
        <v>10104</v>
      </c>
      <c r="M3" s="21">
        <v>21775</v>
      </c>
      <c r="N3" s="67">
        <f t="shared" si="1"/>
        <v>0.10127906976744186</v>
      </c>
      <c r="O3" s="23">
        <v>129.61000000000001</v>
      </c>
      <c r="P3" s="24">
        <v>140</v>
      </c>
      <c r="Q3" s="25">
        <v>0.38600000000000001</v>
      </c>
      <c r="R3" s="25">
        <v>0.38600000000000001</v>
      </c>
      <c r="S3" s="21">
        <f t="shared" si="2"/>
        <v>77.956947766376047</v>
      </c>
      <c r="T3" s="21">
        <f t="shared" si="3"/>
        <v>26176.165803108808</v>
      </c>
      <c r="U3" s="26">
        <f t="shared" si="4"/>
        <v>0.60092207996117553</v>
      </c>
      <c r="V3" s="25">
        <v>120</v>
      </c>
      <c r="W3" s="25">
        <f t="shared" si="5"/>
        <v>43000</v>
      </c>
      <c r="X3" s="25">
        <f t="shared" si="6"/>
        <v>358.33333333333331</v>
      </c>
      <c r="Y3" s="27" t="s">
        <v>1015</v>
      </c>
      <c r="Z3" s="19" t="s">
        <v>35</v>
      </c>
      <c r="AA3" s="19" t="s">
        <v>35</v>
      </c>
      <c r="AB3" s="19" t="s">
        <v>1016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1016</v>
      </c>
      <c r="B4" s="10" t="s">
        <v>1017</v>
      </c>
      <c r="C4" s="10" t="s">
        <v>1018</v>
      </c>
      <c r="D4" s="11">
        <v>45602</v>
      </c>
      <c r="E4" s="12">
        <v>143000</v>
      </c>
      <c r="F4" s="10" t="s">
        <v>32</v>
      </c>
      <c r="G4" s="10" t="s">
        <v>33</v>
      </c>
      <c r="H4" s="12">
        <v>143000</v>
      </c>
      <c r="I4" s="12">
        <v>62100</v>
      </c>
      <c r="J4" s="13">
        <f t="shared" si="0"/>
        <v>43.426573426573427</v>
      </c>
      <c r="K4" s="12">
        <v>145520</v>
      </c>
      <c r="L4" s="12">
        <f>H4-137120</f>
        <v>5880</v>
      </c>
      <c r="M4" s="12">
        <v>8400</v>
      </c>
      <c r="N4" s="66">
        <f t="shared" si="1"/>
        <v>5.8741258741258739E-2</v>
      </c>
      <c r="O4" s="14">
        <v>50</v>
      </c>
      <c r="P4" s="15">
        <v>120</v>
      </c>
      <c r="Q4" s="16">
        <v>0.13800000000000001</v>
      </c>
      <c r="R4" s="16">
        <v>0.13800000000000001</v>
      </c>
      <c r="S4" s="12">
        <f t="shared" si="2"/>
        <v>117.6</v>
      </c>
      <c r="T4" s="12">
        <f t="shared" si="3"/>
        <v>42608.695652173912</v>
      </c>
      <c r="U4" s="17">
        <f t="shared" si="4"/>
        <v>0.97816105721244062</v>
      </c>
      <c r="V4" s="16">
        <v>50</v>
      </c>
      <c r="W4" s="16">
        <f t="shared" si="5"/>
        <v>28600</v>
      </c>
      <c r="X4" s="16">
        <f t="shared" si="6"/>
        <v>572</v>
      </c>
      <c r="Y4" s="18" t="s">
        <v>1015</v>
      </c>
      <c r="Z4" s="10" t="s">
        <v>35</v>
      </c>
      <c r="AA4" s="10" t="s">
        <v>35</v>
      </c>
      <c r="AB4" s="10" t="s">
        <v>1016</v>
      </c>
      <c r="AC4" s="10">
        <v>0</v>
      </c>
      <c r="AD4" s="10">
        <v>1</v>
      </c>
      <c r="AE4" s="10" t="s">
        <v>37</v>
      </c>
      <c r="AF4" s="10" t="s">
        <v>35</v>
      </c>
      <c r="AG4" s="10" t="s">
        <v>38</v>
      </c>
      <c r="AH4" s="10" t="s">
        <v>92</v>
      </c>
    </row>
    <row r="5" spans="1:34" x14ac:dyDescent="0.3">
      <c r="A5" s="75" t="s">
        <v>1016</v>
      </c>
      <c r="B5" s="19" t="s">
        <v>1013</v>
      </c>
      <c r="C5" s="19" t="s">
        <v>1014</v>
      </c>
      <c r="D5" s="20">
        <v>45471</v>
      </c>
      <c r="E5" s="21">
        <v>150000</v>
      </c>
      <c r="F5" s="19" t="s">
        <v>32</v>
      </c>
      <c r="G5" s="19" t="s">
        <v>33</v>
      </c>
      <c r="H5" s="21">
        <v>150000</v>
      </c>
      <c r="I5" s="21">
        <v>64700</v>
      </c>
      <c r="J5" s="22">
        <f t="shared" si="0"/>
        <v>43.133333333333333</v>
      </c>
      <c r="K5" s="21">
        <v>150945</v>
      </c>
      <c r="L5" s="21">
        <f>H5-144225</f>
        <v>5775</v>
      </c>
      <c r="M5" s="21">
        <v>6720</v>
      </c>
      <c r="N5" s="67">
        <f t="shared" si="1"/>
        <v>4.48E-2</v>
      </c>
      <c r="O5" s="23">
        <v>40</v>
      </c>
      <c r="P5" s="24">
        <v>120</v>
      </c>
      <c r="Q5" s="25">
        <v>0.11</v>
      </c>
      <c r="R5" s="25">
        <v>0.11</v>
      </c>
      <c r="S5" s="21">
        <f t="shared" si="2"/>
        <v>144.375</v>
      </c>
      <c r="T5" s="21">
        <f t="shared" si="3"/>
        <v>52500</v>
      </c>
      <c r="U5" s="26">
        <f t="shared" si="4"/>
        <v>1.2052341597796143</v>
      </c>
      <c r="V5" s="25">
        <v>40</v>
      </c>
      <c r="W5" s="25">
        <f t="shared" si="5"/>
        <v>30000</v>
      </c>
      <c r="X5" s="25">
        <f t="shared" si="6"/>
        <v>750</v>
      </c>
      <c r="Y5" s="27" t="s">
        <v>1015</v>
      </c>
      <c r="Z5" s="19" t="s">
        <v>35</v>
      </c>
      <c r="AA5" s="19" t="s">
        <v>35</v>
      </c>
      <c r="AB5" s="19" t="s">
        <v>1016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1016</v>
      </c>
      <c r="B6" s="10" t="s">
        <v>1654</v>
      </c>
      <c r="C6" s="10" t="s">
        <v>1655</v>
      </c>
      <c r="D6" s="11">
        <v>45373</v>
      </c>
      <c r="E6" s="12">
        <v>165000</v>
      </c>
      <c r="F6" s="10" t="s">
        <v>32</v>
      </c>
      <c r="G6" s="10" t="s">
        <v>33</v>
      </c>
      <c r="H6" s="12">
        <v>165000</v>
      </c>
      <c r="I6" s="12">
        <v>58100</v>
      </c>
      <c r="J6" s="13">
        <f t="shared" si="0"/>
        <v>35.212121212121211</v>
      </c>
      <c r="K6" s="12">
        <v>161598</v>
      </c>
      <c r="L6" s="12">
        <f>H6-153629</f>
        <v>11371</v>
      </c>
      <c r="M6" s="12">
        <v>7969</v>
      </c>
      <c r="N6" s="66">
        <f t="shared" si="1"/>
        <v>4.8296969696969699E-2</v>
      </c>
      <c r="O6" s="14">
        <v>47.43</v>
      </c>
      <c r="P6" s="15">
        <v>108</v>
      </c>
      <c r="Q6" s="16">
        <v>0.124</v>
      </c>
      <c r="R6" s="16">
        <v>0.124</v>
      </c>
      <c r="S6" s="12">
        <f t="shared" si="2"/>
        <v>239.74277883196288</v>
      </c>
      <c r="T6" s="12">
        <f t="shared" si="3"/>
        <v>91701.612903225803</v>
      </c>
      <c r="U6" s="17">
        <f t="shared" si="4"/>
        <v>2.1051793595781865</v>
      </c>
      <c r="V6" s="16">
        <v>50</v>
      </c>
      <c r="W6" s="16">
        <f t="shared" si="5"/>
        <v>33000</v>
      </c>
      <c r="X6" s="16">
        <f t="shared" si="6"/>
        <v>660</v>
      </c>
      <c r="Y6" s="18" t="s">
        <v>1015</v>
      </c>
      <c r="Z6" s="10" t="s">
        <v>35</v>
      </c>
      <c r="AA6" s="10" t="s">
        <v>35</v>
      </c>
      <c r="AB6" s="10" t="s">
        <v>1016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1016</v>
      </c>
      <c r="B7" s="10" t="s">
        <v>1017</v>
      </c>
      <c r="C7" s="10" t="s">
        <v>1018</v>
      </c>
      <c r="D7" s="11">
        <v>45743</v>
      </c>
      <c r="E7" s="12">
        <v>156000</v>
      </c>
      <c r="F7" s="10" t="s">
        <v>32</v>
      </c>
      <c r="G7" s="10" t="s">
        <v>33</v>
      </c>
      <c r="H7" s="12">
        <v>156000</v>
      </c>
      <c r="I7" s="12">
        <v>62100</v>
      </c>
      <c r="J7" s="13">
        <f t="shared" si="0"/>
        <v>39.807692307692307</v>
      </c>
      <c r="K7" s="12">
        <v>145520</v>
      </c>
      <c r="L7" s="12">
        <f>H7-137120</f>
        <v>18880</v>
      </c>
      <c r="M7" s="12">
        <v>8400</v>
      </c>
      <c r="N7" s="66">
        <f t="shared" si="1"/>
        <v>5.3846153846153849E-2</v>
      </c>
      <c r="O7" s="14">
        <v>50</v>
      </c>
      <c r="P7" s="15">
        <v>120</v>
      </c>
      <c r="Q7" s="16">
        <v>0.13800000000000001</v>
      </c>
      <c r="R7" s="16">
        <v>0.13800000000000001</v>
      </c>
      <c r="S7" s="12">
        <f t="shared" si="2"/>
        <v>377.6</v>
      </c>
      <c r="T7" s="12">
        <f t="shared" si="3"/>
        <v>136811.59420289853</v>
      </c>
      <c r="U7" s="17">
        <f t="shared" si="4"/>
        <v>3.1407620340426661</v>
      </c>
      <c r="V7" s="16">
        <v>50</v>
      </c>
      <c r="W7" s="16">
        <f t="shared" si="5"/>
        <v>31200</v>
      </c>
      <c r="X7" s="16">
        <f t="shared" si="6"/>
        <v>624</v>
      </c>
      <c r="Y7" s="18" t="s">
        <v>1015</v>
      </c>
      <c r="Z7" s="10" t="s">
        <v>35</v>
      </c>
      <c r="AA7" s="10" t="s">
        <v>35</v>
      </c>
      <c r="AB7" s="10" t="s">
        <v>1016</v>
      </c>
      <c r="AC7" s="10">
        <v>0</v>
      </c>
      <c r="AD7" s="10">
        <v>1</v>
      </c>
      <c r="AE7" s="10" t="s">
        <v>37</v>
      </c>
      <c r="AF7" s="10" t="s">
        <v>35</v>
      </c>
      <c r="AG7" s="10" t="s">
        <v>38</v>
      </c>
      <c r="AH7" s="10" t="s">
        <v>92</v>
      </c>
    </row>
    <row r="8" spans="1:34" ht="15" thickBot="1" x14ac:dyDescent="0.35">
      <c r="A8" s="75" t="s">
        <v>1016</v>
      </c>
      <c r="B8" s="19" t="s">
        <v>1650</v>
      </c>
      <c r="C8" s="19" t="s">
        <v>1651</v>
      </c>
      <c r="D8" s="20">
        <v>45380</v>
      </c>
      <c r="E8" s="21">
        <v>169000</v>
      </c>
      <c r="F8" s="19" t="s">
        <v>32</v>
      </c>
      <c r="G8" s="19" t="s">
        <v>33</v>
      </c>
      <c r="H8" s="21">
        <v>169000</v>
      </c>
      <c r="I8" s="21">
        <v>52000</v>
      </c>
      <c r="J8" s="22">
        <f t="shared" si="0"/>
        <v>30.76923076923077</v>
      </c>
      <c r="K8" s="21">
        <v>145925</v>
      </c>
      <c r="L8" s="21">
        <f>H8-137956</f>
        <v>31044</v>
      </c>
      <c r="M8" s="21">
        <v>7969</v>
      </c>
      <c r="N8" s="67">
        <f t="shared" si="1"/>
        <v>4.7153846153846157E-2</v>
      </c>
      <c r="O8" s="23">
        <v>47.43</v>
      </c>
      <c r="P8" s="24">
        <v>108</v>
      </c>
      <c r="Q8" s="25">
        <v>0.124</v>
      </c>
      <c r="R8" s="25">
        <v>0.124</v>
      </c>
      <c r="S8" s="21">
        <f t="shared" si="2"/>
        <v>654.52245414294748</v>
      </c>
      <c r="T8" s="21">
        <f t="shared" si="3"/>
        <v>250354.83870967742</v>
      </c>
      <c r="U8" s="26">
        <f t="shared" si="4"/>
        <v>5.747356260552742</v>
      </c>
      <c r="V8" s="25">
        <v>50</v>
      </c>
      <c r="W8" s="25">
        <f t="shared" si="5"/>
        <v>33800</v>
      </c>
      <c r="X8" s="25">
        <f t="shared" si="6"/>
        <v>676</v>
      </c>
      <c r="Y8" s="27" t="s">
        <v>1015</v>
      </c>
      <c r="Z8" s="19" t="s">
        <v>35</v>
      </c>
      <c r="AA8" s="19" t="s">
        <v>35</v>
      </c>
      <c r="AB8" s="19" t="s">
        <v>1016</v>
      </c>
      <c r="AC8" s="19">
        <v>0</v>
      </c>
      <c r="AD8" s="19">
        <v>1</v>
      </c>
      <c r="AE8" s="19" t="s">
        <v>37</v>
      </c>
      <c r="AF8" s="19" t="s">
        <v>43</v>
      </c>
      <c r="AG8" s="19" t="s">
        <v>38</v>
      </c>
      <c r="AH8" s="19" t="s">
        <v>92</v>
      </c>
    </row>
    <row r="9" spans="1:34" ht="15" thickTop="1" x14ac:dyDescent="0.3">
      <c r="A9" s="76"/>
      <c r="B9" s="37"/>
      <c r="C9" s="37"/>
      <c r="D9" s="38" t="s">
        <v>2876</v>
      </c>
      <c r="E9" s="39">
        <f>+SUM(E2:E8)</f>
        <v>1155000</v>
      </c>
      <c r="F9" s="37"/>
      <c r="G9" s="37"/>
      <c r="H9" s="39">
        <f>+SUM(H2:H8)</f>
        <v>1155000</v>
      </c>
      <c r="I9" s="39">
        <f>+SUM(I2:I8)</f>
        <v>450500</v>
      </c>
      <c r="J9" s="40"/>
      <c r="K9" s="39">
        <f>+SUM(K2:K8)</f>
        <v>1138846</v>
      </c>
      <c r="L9" s="39">
        <f>+SUM(L2:L8)</f>
        <v>85356</v>
      </c>
      <c r="M9" s="39">
        <f>+SUM(M2:M8)</f>
        <v>69202</v>
      </c>
      <c r="N9" s="81">
        <f>AVERAGE(N2:N8)</f>
        <v>5.7839322855587121E-2</v>
      </c>
      <c r="O9" s="41">
        <f>+SUM(O2:O8)</f>
        <v>411.90000000000003</v>
      </c>
      <c r="P9" s="42"/>
      <c r="Q9" s="43">
        <f>+SUM(Q2:Q8)</f>
        <v>1.1440000000000001</v>
      </c>
      <c r="R9" s="43">
        <f>+SUM(R2:R8)</f>
        <v>1.1440000000000001</v>
      </c>
      <c r="S9" s="39"/>
      <c r="T9" s="39"/>
      <c r="U9" s="44"/>
      <c r="V9" s="43"/>
      <c r="W9" s="82">
        <f>AVERAGE(W2:W8)</f>
        <v>33000</v>
      </c>
      <c r="X9" s="83">
        <f>AVERAGE(X2:X8)</f>
        <v>609.7619047619047</v>
      </c>
      <c r="Y9" s="45"/>
      <c r="Z9" s="37"/>
      <c r="AA9" s="37"/>
      <c r="AB9" s="37"/>
      <c r="AC9" s="37"/>
      <c r="AD9" s="37"/>
      <c r="AE9" s="37"/>
      <c r="AF9" s="37"/>
      <c r="AG9" s="37"/>
      <c r="AH9" s="37"/>
    </row>
    <row r="10" spans="1:34" x14ac:dyDescent="0.3">
      <c r="A10" s="77"/>
      <c r="B10" s="28"/>
      <c r="C10" s="28"/>
      <c r="D10" s="29"/>
      <c r="E10" s="30"/>
      <c r="F10" s="28"/>
      <c r="G10" s="28"/>
      <c r="H10" s="30"/>
      <c r="I10" s="30" t="s">
        <v>2877</v>
      </c>
      <c r="J10" s="31">
        <f>I9/H9*100</f>
        <v>39.004329004329001</v>
      </c>
      <c r="K10" s="30"/>
      <c r="L10" s="30"/>
      <c r="M10" s="30" t="s">
        <v>2879</v>
      </c>
      <c r="N10" s="79"/>
      <c r="O10" s="32"/>
      <c r="P10" s="33"/>
      <c r="Q10" s="34" t="s">
        <v>2879</v>
      </c>
      <c r="R10" s="34"/>
      <c r="S10" s="30"/>
      <c r="T10" s="30" t="s">
        <v>2879</v>
      </c>
      <c r="U10" s="35"/>
      <c r="V10" s="34"/>
      <c r="W10" s="63"/>
      <c r="X10" s="68"/>
      <c r="Y10" s="36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3">
      <c r="A11" s="78"/>
      <c r="B11" s="46"/>
      <c r="C11" s="46"/>
      <c r="D11" s="47"/>
      <c r="E11" s="48"/>
      <c r="F11" s="46"/>
      <c r="G11" s="46"/>
      <c r="H11" s="48"/>
      <c r="I11" s="48" t="s">
        <v>2878</v>
      </c>
      <c r="J11" s="49">
        <f>STDEV(J2:J8)</f>
        <v>4.8400748415526929</v>
      </c>
      <c r="K11" s="48"/>
      <c r="L11" s="48"/>
      <c r="M11" s="48" t="s">
        <v>2880</v>
      </c>
      <c r="N11" s="80"/>
      <c r="O11" s="54">
        <f>L9/O9</f>
        <v>207.22505462490895</v>
      </c>
      <c r="P11" s="50"/>
      <c r="Q11" s="51" t="s">
        <v>2881</v>
      </c>
      <c r="R11" s="51">
        <f>L9/Q9</f>
        <v>74611.888111888096</v>
      </c>
      <c r="S11" s="48"/>
      <c r="T11" s="48" t="s">
        <v>2882</v>
      </c>
      <c r="U11" s="52">
        <f>L9/Q9/43560</f>
        <v>1.712853262440039</v>
      </c>
      <c r="V11" s="51"/>
      <c r="W11" s="64"/>
      <c r="X11" s="69"/>
      <c r="Y11" s="53"/>
      <c r="Z11" s="46"/>
      <c r="AA11" s="46"/>
      <c r="AB11" s="46"/>
      <c r="AC11" s="46"/>
      <c r="AD11" s="46"/>
      <c r="AE11" s="46"/>
      <c r="AF11" s="46"/>
      <c r="AG11" s="46"/>
      <c r="AH11" s="46"/>
    </row>
    <row r="12" spans="1:34" x14ac:dyDescent="0.3">
      <c r="E12" s="94" t="s">
        <v>3099</v>
      </c>
      <c r="L12" s="95"/>
    </row>
    <row r="13" spans="1:34" x14ac:dyDescent="0.3">
      <c r="E13" s="383" t="s">
        <v>3163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3164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3165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3166</v>
      </c>
      <c r="F16" s="383"/>
      <c r="G16" s="383"/>
      <c r="H16" s="383"/>
      <c r="I16" s="383"/>
      <c r="J16" s="96"/>
      <c r="K16" s="96"/>
      <c r="L16" s="96"/>
    </row>
    <row r="17" spans="1:34" x14ac:dyDescent="0.3">
      <c r="E17" s="383" t="s">
        <v>3167</v>
      </c>
      <c r="F17" s="383"/>
      <c r="G17" s="383"/>
      <c r="H17" s="383"/>
      <c r="I17" s="383"/>
      <c r="L17" s="95"/>
    </row>
    <row r="18" spans="1:34" x14ac:dyDescent="0.3">
      <c r="E18" s="383" t="s">
        <v>3100</v>
      </c>
      <c r="F18" s="383"/>
      <c r="G18" s="383"/>
      <c r="H18" s="383"/>
      <c r="I18" s="383"/>
      <c r="L18" s="95"/>
    </row>
    <row r="19" spans="1:34" x14ac:dyDescent="0.3">
      <c r="E19" s="96"/>
      <c r="F19" s="96"/>
      <c r="G19" s="96"/>
      <c r="H19" s="96"/>
      <c r="I19" s="96"/>
      <c r="L19" s="95"/>
    </row>
    <row r="20" spans="1:34" x14ac:dyDescent="0.3">
      <c r="A20" s="55" t="s">
        <v>3092</v>
      </c>
      <c r="E20" s="96"/>
      <c r="F20" s="96"/>
      <c r="G20" s="96"/>
      <c r="H20" s="96"/>
      <c r="I20" s="96"/>
      <c r="L20" s="95"/>
    </row>
    <row r="21" spans="1:34" x14ac:dyDescent="0.3">
      <c r="A21" s="74" t="s">
        <v>1016</v>
      </c>
      <c r="B21" s="10" t="s">
        <v>1652</v>
      </c>
      <c r="C21" s="10" t="s">
        <v>1653</v>
      </c>
      <c r="D21" s="11">
        <v>45376</v>
      </c>
      <c r="E21" s="12">
        <v>135000</v>
      </c>
      <c r="F21" s="10" t="s">
        <v>32</v>
      </c>
      <c r="G21" s="10" t="s">
        <v>33</v>
      </c>
      <c r="H21" s="12">
        <v>135000</v>
      </c>
      <c r="I21" s="12">
        <v>58800</v>
      </c>
      <c r="J21" s="13">
        <f t="shared" ref="J21:J25" si="7">I21/H21*100</f>
        <v>43.55555555555555</v>
      </c>
      <c r="K21" s="12">
        <v>163364</v>
      </c>
      <c r="L21" s="12">
        <f>H21-155395</f>
        <v>-20395</v>
      </c>
      <c r="M21" s="12">
        <v>7969</v>
      </c>
      <c r="N21" s="66">
        <f t="shared" ref="N21:N25" si="8">M21/E21</f>
        <v>5.9029629629629626E-2</v>
      </c>
      <c r="O21" s="14">
        <v>47.43</v>
      </c>
      <c r="P21" s="15">
        <v>108</v>
      </c>
      <c r="Q21" s="16">
        <v>0.124</v>
      </c>
      <c r="R21" s="16">
        <v>0.124</v>
      </c>
      <c r="S21" s="12">
        <f t="shared" ref="S21:S25" si="9">L21/O21</f>
        <v>-430.00210837022979</v>
      </c>
      <c r="T21" s="12">
        <f t="shared" ref="T21:T25" si="10">L21/Q21</f>
        <v>-164475.80645161291</v>
      </c>
      <c r="U21" s="17">
        <f t="shared" ref="U21:U25" si="11">L21/Q21/43560</f>
        <v>-3.7758449598625554</v>
      </c>
      <c r="V21" s="16">
        <v>50</v>
      </c>
      <c r="W21" s="16">
        <f t="shared" ref="W21:W25" si="12">0.2*E21</f>
        <v>27000</v>
      </c>
      <c r="X21" s="16">
        <f t="shared" ref="X21:X25" si="13">W21/V21</f>
        <v>540</v>
      </c>
      <c r="Y21" s="18" t="s">
        <v>1015</v>
      </c>
      <c r="Z21" s="10" t="s">
        <v>35</v>
      </c>
      <c r="AA21" s="10" t="s">
        <v>35</v>
      </c>
      <c r="AB21" s="10" t="s">
        <v>1016</v>
      </c>
      <c r="AC21" s="10">
        <v>0</v>
      </c>
      <c r="AD21" s="10">
        <v>1</v>
      </c>
      <c r="AE21" s="10" t="s">
        <v>42</v>
      </c>
      <c r="AF21" s="10" t="s">
        <v>43</v>
      </c>
      <c r="AG21" s="10" t="s">
        <v>38</v>
      </c>
      <c r="AH21" s="10" t="s">
        <v>92</v>
      </c>
    </row>
    <row r="22" spans="1:34" x14ac:dyDescent="0.3">
      <c r="A22" s="74" t="s">
        <v>1016</v>
      </c>
      <c r="B22" s="10" t="s">
        <v>1660</v>
      </c>
      <c r="C22" s="10" t="s">
        <v>1661</v>
      </c>
      <c r="D22" s="11">
        <v>45226</v>
      </c>
      <c r="E22" s="12">
        <v>148000</v>
      </c>
      <c r="F22" s="10" t="s">
        <v>32</v>
      </c>
      <c r="G22" s="10" t="s">
        <v>33</v>
      </c>
      <c r="H22" s="12">
        <v>148000</v>
      </c>
      <c r="I22" s="12">
        <v>59100</v>
      </c>
      <c r="J22" s="13">
        <f t="shared" si="7"/>
        <v>39.932432432432428</v>
      </c>
      <c r="K22" s="12">
        <v>168173</v>
      </c>
      <c r="L22" s="12">
        <f>H22-159327</f>
        <v>-11327</v>
      </c>
      <c r="M22" s="12">
        <v>8846</v>
      </c>
      <c r="N22" s="66">
        <f t="shared" si="8"/>
        <v>5.9770270270270272E-2</v>
      </c>
      <c r="O22" s="14">
        <v>52.65</v>
      </c>
      <c r="P22" s="15">
        <v>108</v>
      </c>
      <c r="Q22" s="16">
        <v>0.13800000000000001</v>
      </c>
      <c r="R22" s="16">
        <v>0.13800000000000001</v>
      </c>
      <c r="S22" s="12">
        <f t="shared" si="9"/>
        <v>-215.13770180436848</v>
      </c>
      <c r="T22" s="12">
        <f t="shared" si="10"/>
        <v>-82079.710144927536</v>
      </c>
      <c r="U22" s="17">
        <f t="shared" si="11"/>
        <v>-1.8842908665043052</v>
      </c>
      <c r="V22" s="16">
        <v>55.5</v>
      </c>
      <c r="W22" s="16">
        <f t="shared" si="12"/>
        <v>29600</v>
      </c>
      <c r="X22" s="16">
        <f t="shared" si="13"/>
        <v>533.33333333333337</v>
      </c>
      <c r="Y22" s="18" t="s">
        <v>1015</v>
      </c>
      <c r="Z22" s="10" t="s">
        <v>35</v>
      </c>
      <c r="AA22" s="10" t="s">
        <v>35</v>
      </c>
      <c r="AB22" s="10" t="s">
        <v>1016</v>
      </c>
      <c r="AC22" s="10">
        <v>0</v>
      </c>
      <c r="AD22" s="10">
        <v>1</v>
      </c>
      <c r="AE22" s="10" t="s">
        <v>37</v>
      </c>
      <c r="AF22" s="10" t="s">
        <v>43</v>
      </c>
      <c r="AG22" s="10" t="s">
        <v>38</v>
      </c>
      <c r="AH22" s="10" t="s">
        <v>92</v>
      </c>
    </row>
    <row r="23" spans="1:34" x14ac:dyDescent="0.3">
      <c r="A23" s="75" t="s">
        <v>1016</v>
      </c>
      <c r="B23" s="19" t="s">
        <v>1021</v>
      </c>
      <c r="C23" s="19" t="s">
        <v>1022</v>
      </c>
      <c r="D23" s="20">
        <v>45359</v>
      </c>
      <c r="E23" s="21">
        <v>120000</v>
      </c>
      <c r="F23" s="19" t="s">
        <v>32</v>
      </c>
      <c r="G23" s="19" t="s">
        <v>66</v>
      </c>
      <c r="H23" s="21">
        <v>120000</v>
      </c>
      <c r="I23" s="21">
        <v>59900</v>
      </c>
      <c r="J23" s="22">
        <f t="shared" si="7"/>
        <v>49.916666666666664</v>
      </c>
      <c r="K23" s="21">
        <v>155093</v>
      </c>
      <c r="L23" s="21">
        <f>H23-138820</f>
        <v>-18820</v>
      </c>
      <c r="M23" s="21">
        <v>16273</v>
      </c>
      <c r="N23" s="67">
        <f t="shared" si="8"/>
        <v>0.13560833333333333</v>
      </c>
      <c r="O23" s="23">
        <v>96.86</v>
      </c>
      <c r="P23" s="24">
        <v>278</v>
      </c>
      <c r="Q23" s="25">
        <v>0.28799999999999998</v>
      </c>
      <c r="R23" s="25">
        <v>0.128</v>
      </c>
      <c r="S23" s="21">
        <f t="shared" si="9"/>
        <v>-194.30105306628124</v>
      </c>
      <c r="T23" s="21">
        <f t="shared" si="10"/>
        <v>-65347.222222222226</v>
      </c>
      <c r="U23" s="26">
        <f t="shared" si="11"/>
        <v>-1.5001657994082238</v>
      </c>
      <c r="V23" s="25">
        <v>90</v>
      </c>
      <c r="W23" s="25">
        <f t="shared" si="12"/>
        <v>24000</v>
      </c>
      <c r="X23" s="25">
        <f t="shared" si="13"/>
        <v>266.66666666666669</v>
      </c>
      <c r="Y23" s="27" t="s">
        <v>1015</v>
      </c>
      <c r="Z23" s="19" t="s">
        <v>35</v>
      </c>
      <c r="AA23" s="19" t="s">
        <v>1023</v>
      </c>
      <c r="AB23" s="19" t="s">
        <v>1016</v>
      </c>
      <c r="AC23" s="19">
        <v>0</v>
      </c>
      <c r="AD23" s="19">
        <v>1</v>
      </c>
      <c r="AE23" s="19" t="s">
        <v>37</v>
      </c>
      <c r="AF23" s="19" t="s">
        <v>43</v>
      </c>
      <c r="AG23" s="19" t="s">
        <v>38</v>
      </c>
      <c r="AH23" s="19" t="s">
        <v>92</v>
      </c>
    </row>
    <row r="24" spans="1:34" x14ac:dyDescent="0.3">
      <c r="A24" s="75" t="s">
        <v>1016</v>
      </c>
      <c r="B24" s="19" t="s">
        <v>1658</v>
      </c>
      <c r="C24" s="19" t="s">
        <v>1659</v>
      </c>
      <c r="D24" s="20">
        <v>45182</v>
      </c>
      <c r="E24" s="21">
        <v>162000</v>
      </c>
      <c r="F24" s="19" t="s">
        <v>32</v>
      </c>
      <c r="G24" s="19" t="s">
        <v>33</v>
      </c>
      <c r="H24" s="21">
        <v>162000</v>
      </c>
      <c r="I24" s="21">
        <v>63300</v>
      </c>
      <c r="J24" s="22">
        <f t="shared" si="7"/>
        <v>39.074074074074069</v>
      </c>
      <c r="K24" s="21">
        <v>175627</v>
      </c>
      <c r="L24" s="21">
        <f>H24-167658</f>
        <v>-5658</v>
      </c>
      <c r="M24" s="21">
        <v>7969</v>
      </c>
      <c r="N24" s="67">
        <f t="shared" si="8"/>
        <v>4.9191358024691358E-2</v>
      </c>
      <c r="O24" s="23">
        <v>47.43</v>
      </c>
      <c r="P24" s="24">
        <v>108</v>
      </c>
      <c r="Q24" s="25">
        <v>0.124</v>
      </c>
      <c r="R24" s="25">
        <v>0.124</v>
      </c>
      <c r="S24" s="21">
        <f t="shared" si="9"/>
        <v>-119.29158760278305</v>
      </c>
      <c r="T24" s="21">
        <f t="shared" si="10"/>
        <v>-45629.032258064515</v>
      </c>
      <c r="U24" s="26">
        <f t="shared" si="11"/>
        <v>-1.0474984448591487</v>
      </c>
      <c r="V24" s="25">
        <v>50</v>
      </c>
      <c r="W24" s="25">
        <f t="shared" si="12"/>
        <v>32400</v>
      </c>
      <c r="X24" s="25">
        <f t="shared" si="13"/>
        <v>648</v>
      </c>
      <c r="Y24" s="27" t="s">
        <v>1015</v>
      </c>
      <c r="Z24" s="19" t="s">
        <v>35</v>
      </c>
      <c r="AA24" s="19" t="s">
        <v>35</v>
      </c>
      <c r="AB24" s="19" t="s">
        <v>1016</v>
      </c>
      <c r="AC24" s="19">
        <v>0</v>
      </c>
      <c r="AD24" s="19">
        <v>1</v>
      </c>
      <c r="AE24" s="19" t="s">
        <v>412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74" t="s">
        <v>1016</v>
      </c>
      <c r="B25" s="10" t="s">
        <v>1024</v>
      </c>
      <c r="C25" s="10" t="s">
        <v>1025</v>
      </c>
      <c r="D25" s="11">
        <v>45149</v>
      </c>
      <c r="E25" s="12">
        <v>107000</v>
      </c>
      <c r="F25" s="10" t="s">
        <v>32</v>
      </c>
      <c r="G25" s="10" t="s">
        <v>33</v>
      </c>
      <c r="H25" s="12">
        <v>107000</v>
      </c>
      <c r="I25" s="12">
        <v>41400</v>
      </c>
      <c r="J25" s="13">
        <f t="shared" si="7"/>
        <v>38.691588785046726</v>
      </c>
      <c r="K25" s="12">
        <v>114675</v>
      </c>
      <c r="L25" s="12">
        <f>H25-107443</f>
        <v>-443</v>
      </c>
      <c r="M25" s="12">
        <v>7232</v>
      </c>
      <c r="N25" s="66">
        <f t="shared" si="8"/>
        <v>6.7588785046728966E-2</v>
      </c>
      <c r="O25" s="14">
        <v>43.05</v>
      </c>
      <c r="P25" s="15">
        <v>139</v>
      </c>
      <c r="Q25" s="16">
        <v>0.128</v>
      </c>
      <c r="R25" s="16">
        <v>0.128</v>
      </c>
      <c r="S25" s="12">
        <f t="shared" si="9"/>
        <v>-10.290360046457607</v>
      </c>
      <c r="T25" s="12">
        <f t="shared" si="10"/>
        <v>-3460.9375</v>
      </c>
      <c r="U25" s="17">
        <f t="shared" si="11"/>
        <v>-7.9452192378328748E-2</v>
      </c>
      <c r="V25" s="16">
        <v>40</v>
      </c>
      <c r="W25" s="16">
        <f t="shared" si="12"/>
        <v>21400</v>
      </c>
      <c r="X25" s="16">
        <f t="shared" si="13"/>
        <v>535</v>
      </c>
      <c r="Y25" s="18" t="s">
        <v>1015</v>
      </c>
      <c r="Z25" s="10" t="s">
        <v>35</v>
      </c>
      <c r="AA25" s="10" t="s">
        <v>35</v>
      </c>
      <c r="AB25" s="10" t="s">
        <v>1016</v>
      </c>
      <c r="AC25" s="10">
        <v>0</v>
      </c>
      <c r="AD25" s="10">
        <v>1</v>
      </c>
      <c r="AE25" s="10" t="s">
        <v>42</v>
      </c>
      <c r="AF25" s="10" t="s">
        <v>43</v>
      </c>
      <c r="AG25" s="10" t="s">
        <v>38</v>
      </c>
      <c r="AH25" s="10" t="s">
        <v>92</v>
      </c>
    </row>
  </sheetData>
  <sortState xmlns:xlrd2="http://schemas.microsoft.com/office/spreadsheetml/2017/richdata2" ref="A2:AH13">
    <sortCondition ref="S2:S13"/>
  </sortState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50"/>
  </sheetPr>
  <dimension ref="A1:AH53"/>
  <sheetViews>
    <sheetView topLeftCell="A10" workbookViewId="0">
      <selection activeCell="E30" sqref="E30:M36"/>
    </sheetView>
  </sheetViews>
  <sheetFormatPr defaultColWidth="9.109375" defaultRowHeight="14.4" x14ac:dyDescent="0.3"/>
  <cols>
    <col min="1" max="1" width="10.44140625" style="168" bestFit="1" customWidth="1" collapsed="1"/>
    <col min="2" max="2" width="16.88671875" style="106" bestFit="1" customWidth="1" collapsed="1"/>
    <col min="3" max="3" width="18.109375" style="106" bestFit="1" customWidth="1" collapsed="1"/>
    <col min="4" max="4" width="10.6640625" style="106" bestFit="1" customWidth="1" collapsed="1"/>
    <col min="5" max="5" width="10.88671875" style="106" bestFit="1" customWidth="1" collapsed="1"/>
    <col min="6" max="6" width="5.5546875" style="106" bestFit="1" customWidth="1" collapsed="1"/>
    <col min="7" max="7" width="17.33203125" style="106" bestFit="1" customWidth="1" collapsed="1"/>
    <col min="8" max="8" width="10.88671875" style="106" bestFit="1" customWidth="1" collapsed="1"/>
    <col min="9" max="9" width="14.6640625" style="106" bestFit="1" customWidth="1" collapsed="1"/>
    <col min="10" max="10" width="12.88671875" style="106" bestFit="1" customWidth="1" collapsed="1"/>
    <col min="11" max="11" width="13.44140625" style="106" bestFit="1" customWidth="1" collapsed="1"/>
    <col min="12" max="12" width="13.33203125" style="106" bestFit="1" customWidth="1" collapsed="1"/>
    <col min="13" max="13" width="14.44140625" style="106" bestFit="1" customWidth="1" collapsed="1"/>
    <col min="14" max="14" width="7.6640625" style="168" bestFit="1" customWidth="1"/>
    <col min="15" max="15" width="11.109375" style="106" bestFit="1" customWidth="1" collapsed="1"/>
    <col min="16" max="16" width="6.44140625" style="106" bestFit="1" customWidth="1" collapsed="1"/>
    <col min="17" max="17" width="14.33203125" style="106" bestFit="1" customWidth="1" collapsed="1"/>
    <col min="18" max="18" width="10.6640625" style="106" bestFit="1" customWidth="1" collapsed="1"/>
    <col min="19" max="19" width="13.109375" style="106" customWidth="1" collapsed="1"/>
    <col min="20" max="20" width="12" style="106" bestFit="1" customWidth="1" collapsed="1"/>
    <col min="21" max="21" width="11.88671875" style="106" bestFit="1" customWidth="1" collapsed="1"/>
    <col min="22" max="22" width="13.33203125" style="106" customWidth="1" collapsed="1"/>
    <col min="23" max="23" width="11.5546875" style="169" bestFit="1" customWidth="1"/>
    <col min="24" max="24" width="9" style="168" bestFit="1" customWidth="1"/>
    <col min="25" max="25" width="8.6640625" style="106" bestFit="1" customWidth="1" collapsed="1"/>
    <col min="26" max="26" width="10.5546875" style="106" bestFit="1" customWidth="1" collapsed="1"/>
    <col min="27" max="27" width="19.44140625" style="106" bestFit="1" customWidth="1" collapsed="1"/>
    <col min="28" max="28" width="10.44140625" style="106" bestFit="1" customWidth="1" collapsed="1"/>
    <col min="29" max="29" width="6.88671875" style="106" bestFit="1" customWidth="1" collapsed="1"/>
    <col min="30" max="30" width="6.44140625" style="106" bestFit="1" customWidth="1" collapsed="1"/>
    <col min="31" max="31" width="15" style="106" bestFit="1" customWidth="1" collapsed="1"/>
    <col min="32" max="32" width="14.6640625" style="106" bestFit="1" customWidth="1" collapsed="1"/>
    <col min="33" max="33" width="5.44140625" style="106" bestFit="1" customWidth="1" collapsed="1"/>
    <col min="34" max="34" width="16.5546875" style="106" customWidth="1" collapsed="1"/>
    <col min="35" max="16384" width="9.109375" style="106"/>
  </cols>
  <sheetData>
    <row r="1" spans="1:34" x14ac:dyDescent="0.3">
      <c r="A1" s="97" t="s">
        <v>23</v>
      </c>
      <c r="B1" s="97" t="s">
        <v>0</v>
      </c>
      <c r="C1" s="97" t="s">
        <v>1</v>
      </c>
      <c r="D1" s="98" t="s">
        <v>2</v>
      </c>
      <c r="E1" s="99" t="s">
        <v>3</v>
      </c>
      <c r="F1" s="97" t="s">
        <v>4</v>
      </c>
      <c r="G1" s="97" t="s">
        <v>5</v>
      </c>
      <c r="H1" s="99" t="s">
        <v>6</v>
      </c>
      <c r="I1" s="99" t="s">
        <v>7</v>
      </c>
      <c r="J1" s="100" t="s">
        <v>8</v>
      </c>
      <c r="K1" s="99" t="s">
        <v>9</v>
      </c>
      <c r="L1" s="99" t="s">
        <v>10</v>
      </c>
      <c r="M1" s="99" t="s">
        <v>11</v>
      </c>
      <c r="N1" s="337" t="s">
        <v>3066</v>
      </c>
      <c r="O1" s="101" t="s">
        <v>12</v>
      </c>
      <c r="P1" s="102" t="s">
        <v>13</v>
      </c>
      <c r="Q1" s="103" t="s">
        <v>14</v>
      </c>
      <c r="R1" s="103" t="s">
        <v>15</v>
      </c>
      <c r="S1" s="99" t="s">
        <v>16</v>
      </c>
      <c r="T1" s="99" t="s">
        <v>17</v>
      </c>
      <c r="U1" s="104" t="s">
        <v>18</v>
      </c>
      <c r="V1" s="103" t="s">
        <v>19</v>
      </c>
      <c r="W1" s="338" t="s">
        <v>3069</v>
      </c>
      <c r="X1" s="337" t="s">
        <v>3070</v>
      </c>
      <c r="Y1" s="105" t="s">
        <v>20</v>
      </c>
      <c r="Z1" s="97" t="s">
        <v>21</v>
      </c>
      <c r="AA1" s="97" t="s">
        <v>22</v>
      </c>
      <c r="AB1" s="97" t="s">
        <v>23</v>
      </c>
      <c r="AC1" s="97" t="s">
        <v>24</v>
      </c>
      <c r="AD1" s="97" t="s">
        <v>25</v>
      </c>
      <c r="AE1" s="97" t="s">
        <v>26</v>
      </c>
      <c r="AF1" s="97" t="s">
        <v>27</v>
      </c>
      <c r="AG1" s="97" t="s">
        <v>28</v>
      </c>
      <c r="AH1" s="97" t="s">
        <v>29</v>
      </c>
    </row>
    <row r="2" spans="1:34" x14ac:dyDescent="0.3">
      <c r="A2" s="118" t="s">
        <v>864</v>
      </c>
      <c r="B2" s="119" t="s">
        <v>892</v>
      </c>
      <c r="C2" s="119" t="s">
        <v>893</v>
      </c>
      <c r="D2" s="120">
        <v>45198</v>
      </c>
      <c r="E2" s="121">
        <v>167500</v>
      </c>
      <c r="F2" s="119" t="s">
        <v>32</v>
      </c>
      <c r="G2" s="119" t="s">
        <v>33</v>
      </c>
      <c r="H2" s="121">
        <v>167500</v>
      </c>
      <c r="I2" s="121">
        <v>59200</v>
      </c>
      <c r="J2" s="122">
        <f t="shared" ref="J2:J26" si="0">I2/H2*100</f>
        <v>35.343283582089555</v>
      </c>
      <c r="K2" s="121">
        <v>171801</v>
      </c>
      <c r="L2" s="121">
        <f>H2-165154</f>
        <v>2346</v>
      </c>
      <c r="M2" s="121">
        <v>6647</v>
      </c>
      <c r="N2" s="123">
        <f t="shared" ref="N2:N26" si="1">M2/E2</f>
        <v>3.9683582089552236E-2</v>
      </c>
      <c r="O2" s="124">
        <v>43.44</v>
      </c>
      <c r="P2" s="125">
        <v>138.02000000000001</v>
      </c>
      <c r="Q2" s="126">
        <v>0.13300000000000001</v>
      </c>
      <c r="R2" s="126">
        <v>0.13300000000000001</v>
      </c>
      <c r="S2" s="121">
        <f t="shared" ref="S2:S26" si="2">L2/O2</f>
        <v>54.005524861878456</v>
      </c>
      <c r="T2" s="121">
        <f t="shared" ref="T2:T26" si="3">L2/Q2</f>
        <v>17639.097744360901</v>
      </c>
      <c r="U2" s="127">
        <f t="shared" ref="U2:U26" si="4">L2/Q2/43560</f>
        <v>0.40493796474657717</v>
      </c>
      <c r="V2" s="126">
        <v>42</v>
      </c>
      <c r="W2" s="126">
        <f t="shared" ref="W2:W26" si="5">0.2*E2</f>
        <v>33500</v>
      </c>
      <c r="X2" s="126">
        <f t="shared" ref="X2:X26" si="6">W2/V2</f>
        <v>797.61904761904759</v>
      </c>
      <c r="Y2" s="128" t="s">
        <v>863</v>
      </c>
      <c r="Z2" s="119" t="s">
        <v>35</v>
      </c>
      <c r="AA2" s="119" t="s">
        <v>35</v>
      </c>
      <c r="AB2" s="119" t="s">
        <v>864</v>
      </c>
      <c r="AC2" s="119">
        <v>0</v>
      </c>
      <c r="AD2" s="119">
        <v>1</v>
      </c>
      <c r="AE2" s="119" t="s">
        <v>37</v>
      </c>
      <c r="AF2" s="119" t="s">
        <v>43</v>
      </c>
      <c r="AG2" s="119" t="s">
        <v>38</v>
      </c>
      <c r="AH2" s="119" t="s">
        <v>92</v>
      </c>
    </row>
    <row r="3" spans="1:34" x14ac:dyDescent="0.3">
      <c r="A3" s="118" t="s">
        <v>864</v>
      </c>
      <c r="B3" s="119" t="s">
        <v>921</v>
      </c>
      <c r="C3" s="119" t="s">
        <v>922</v>
      </c>
      <c r="D3" s="120">
        <v>45561</v>
      </c>
      <c r="E3" s="121">
        <v>164900</v>
      </c>
      <c r="F3" s="119" t="s">
        <v>32</v>
      </c>
      <c r="G3" s="119" t="s">
        <v>33</v>
      </c>
      <c r="H3" s="121">
        <v>164900</v>
      </c>
      <c r="I3" s="121">
        <v>68000</v>
      </c>
      <c r="J3" s="122">
        <f t="shared" si="0"/>
        <v>41.237113402061851</v>
      </c>
      <c r="K3" s="121">
        <v>169093</v>
      </c>
      <c r="L3" s="121">
        <f>H3-162446</f>
        <v>2454</v>
      </c>
      <c r="M3" s="121">
        <v>6647</v>
      </c>
      <c r="N3" s="123">
        <f t="shared" si="1"/>
        <v>4.0309278350515461E-2</v>
      </c>
      <c r="O3" s="124">
        <v>43.44</v>
      </c>
      <c r="P3" s="125">
        <v>138.02000000000001</v>
      </c>
      <c r="Q3" s="126">
        <v>0.13300000000000001</v>
      </c>
      <c r="R3" s="126">
        <v>0.13300000000000001</v>
      </c>
      <c r="S3" s="121">
        <f t="shared" si="2"/>
        <v>56.491712707182323</v>
      </c>
      <c r="T3" s="121">
        <f t="shared" si="3"/>
        <v>18451.12781954887</v>
      </c>
      <c r="U3" s="127">
        <f t="shared" si="4"/>
        <v>0.42357961018248097</v>
      </c>
      <c r="V3" s="126">
        <v>42</v>
      </c>
      <c r="W3" s="126">
        <f t="shared" si="5"/>
        <v>32980</v>
      </c>
      <c r="X3" s="126">
        <f t="shared" si="6"/>
        <v>785.23809523809518</v>
      </c>
      <c r="Y3" s="128" t="s">
        <v>863</v>
      </c>
      <c r="Z3" s="119" t="s">
        <v>35</v>
      </c>
      <c r="AA3" s="119" t="s">
        <v>35</v>
      </c>
      <c r="AB3" s="119" t="s">
        <v>864</v>
      </c>
      <c r="AC3" s="119">
        <v>0</v>
      </c>
      <c r="AD3" s="119">
        <v>1</v>
      </c>
      <c r="AE3" s="119" t="s">
        <v>37</v>
      </c>
      <c r="AF3" s="119" t="s">
        <v>43</v>
      </c>
      <c r="AG3" s="119" t="s">
        <v>38</v>
      </c>
      <c r="AH3" s="119" t="s">
        <v>92</v>
      </c>
    </row>
    <row r="4" spans="1:34" x14ac:dyDescent="0.3">
      <c r="A4" s="107" t="s">
        <v>864</v>
      </c>
      <c r="B4" s="108" t="s">
        <v>865</v>
      </c>
      <c r="C4" s="108" t="s">
        <v>866</v>
      </c>
      <c r="D4" s="109">
        <v>45211</v>
      </c>
      <c r="E4" s="110">
        <v>130000</v>
      </c>
      <c r="F4" s="108" t="s">
        <v>32</v>
      </c>
      <c r="G4" s="108" t="s">
        <v>33</v>
      </c>
      <c r="H4" s="110">
        <v>130000</v>
      </c>
      <c r="I4" s="110">
        <v>47000</v>
      </c>
      <c r="J4" s="111">
        <f t="shared" si="0"/>
        <v>36.153846153846153</v>
      </c>
      <c r="K4" s="110">
        <v>132338</v>
      </c>
      <c r="L4" s="110">
        <f>H4-126008</f>
        <v>3992</v>
      </c>
      <c r="M4" s="110">
        <v>6330</v>
      </c>
      <c r="N4" s="112">
        <f t="shared" si="1"/>
        <v>4.8692307692307694E-2</v>
      </c>
      <c r="O4" s="113">
        <v>41.37</v>
      </c>
      <c r="P4" s="114">
        <v>138</v>
      </c>
      <c r="Q4" s="115">
        <v>0.127</v>
      </c>
      <c r="R4" s="115">
        <v>0.127</v>
      </c>
      <c r="S4" s="110">
        <f t="shared" si="2"/>
        <v>96.495044718394979</v>
      </c>
      <c r="T4" s="110">
        <f t="shared" si="3"/>
        <v>31433.07086614173</v>
      </c>
      <c r="U4" s="116">
        <f t="shared" si="4"/>
        <v>0.72160401437423627</v>
      </c>
      <c r="V4" s="115">
        <v>40</v>
      </c>
      <c r="W4" s="115">
        <f t="shared" si="5"/>
        <v>26000</v>
      </c>
      <c r="X4" s="115">
        <f t="shared" si="6"/>
        <v>650</v>
      </c>
      <c r="Y4" s="117" t="s">
        <v>863</v>
      </c>
      <c r="Z4" s="108" t="s">
        <v>35</v>
      </c>
      <c r="AA4" s="108" t="s">
        <v>35</v>
      </c>
      <c r="AB4" s="108" t="s">
        <v>864</v>
      </c>
      <c r="AC4" s="108">
        <v>0</v>
      </c>
      <c r="AD4" s="108">
        <v>1</v>
      </c>
      <c r="AE4" s="108" t="s">
        <v>412</v>
      </c>
      <c r="AF4" s="108" t="s">
        <v>43</v>
      </c>
      <c r="AG4" s="108" t="s">
        <v>38</v>
      </c>
      <c r="AH4" s="108" t="s">
        <v>92</v>
      </c>
    </row>
    <row r="5" spans="1:34" x14ac:dyDescent="0.3">
      <c r="A5" s="107" t="s">
        <v>864</v>
      </c>
      <c r="B5" s="108" t="s">
        <v>925</v>
      </c>
      <c r="C5" s="108" t="s">
        <v>926</v>
      </c>
      <c r="D5" s="109">
        <v>45379</v>
      </c>
      <c r="E5" s="110">
        <v>168000</v>
      </c>
      <c r="F5" s="108" t="s">
        <v>32</v>
      </c>
      <c r="G5" s="108" t="s">
        <v>33</v>
      </c>
      <c r="H5" s="110">
        <v>168000</v>
      </c>
      <c r="I5" s="110">
        <v>58300</v>
      </c>
      <c r="J5" s="111">
        <f t="shared" si="0"/>
        <v>34.702380952380949</v>
      </c>
      <c r="K5" s="110">
        <v>170014</v>
      </c>
      <c r="L5" s="110">
        <f>H5-163792</f>
        <v>4208</v>
      </c>
      <c r="M5" s="110">
        <v>6222</v>
      </c>
      <c r="N5" s="112">
        <f t="shared" si="1"/>
        <v>3.7035714285714283E-2</v>
      </c>
      <c r="O5" s="113">
        <v>40.659999999999997</v>
      </c>
      <c r="P5" s="114">
        <v>133.34</v>
      </c>
      <c r="Q5" s="115">
        <v>0.122</v>
      </c>
      <c r="R5" s="115">
        <v>0.122</v>
      </c>
      <c r="S5" s="110">
        <f t="shared" si="2"/>
        <v>103.49237579931138</v>
      </c>
      <c r="T5" s="110">
        <f t="shared" si="3"/>
        <v>34491.803278688523</v>
      </c>
      <c r="U5" s="116">
        <f t="shared" si="4"/>
        <v>0.79182284845474116</v>
      </c>
      <c r="V5" s="115">
        <v>40</v>
      </c>
      <c r="W5" s="115">
        <f t="shared" si="5"/>
        <v>33600</v>
      </c>
      <c r="X5" s="115">
        <f t="shared" si="6"/>
        <v>840</v>
      </c>
      <c r="Y5" s="117" t="s">
        <v>863</v>
      </c>
      <c r="Z5" s="108" t="s">
        <v>35</v>
      </c>
      <c r="AA5" s="108" t="s">
        <v>35</v>
      </c>
      <c r="AB5" s="108" t="s">
        <v>864</v>
      </c>
      <c r="AC5" s="108">
        <v>0</v>
      </c>
      <c r="AD5" s="108">
        <v>1</v>
      </c>
      <c r="AE5" s="108" t="s">
        <v>37</v>
      </c>
      <c r="AF5" s="108" t="s">
        <v>43</v>
      </c>
      <c r="AG5" s="108" t="s">
        <v>38</v>
      </c>
      <c r="AH5" s="108" t="s">
        <v>92</v>
      </c>
    </row>
    <row r="6" spans="1:34" x14ac:dyDescent="0.3">
      <c r="A6" s="118" t="s">
        <v>864</v>
      </c>
      <c r="B6" s="119" t="s">
        <v>894</v>
      </c>
      <c r="C6" s="119" t="s">
        <v>895</v>
      </c>
      <c r="D6" s="120">
        <v>45506</v>
      </c>
      <c r="E6" s="121">
        <v>157000</v>
      </c>
      <c r="F6" s="119" t="s">
        <v>32</v>
      </c>
      <c r="G6" s="119" t="s">
        <v>33</v>
      </c>
      <c r="H6" s="121">
        <v>157000</v>
      </c>
      <c r="I6" s="121">
        <v>63900</v>
      </c>
      <c r="J6" s="122">
        <f t="shared" si="0"/>
        <v>40.70063694267516</v>
      </c>
      <c r="K6" s="121">
        <v>156788</v>
      </c>
      <c r="L6" s="121">
        <f>H6-150458</f>
        <v>6542</v>
      </c>
      <c r="M6" s="121">
        <v>6330</v>
      </c>
      <c r="N6" s="123">
        <f t="shared" si="1"/>
        <v>4.0318471337579619E-2</v>
      </c>
      <c r="O6" s="124">
        <v>41.37</v>
      </c>
      <c r="P6" s="125">
        <v>138.02000000000001</v>
      </c>
      <c r="Q6" s="126">
        <v>0.127</v>
      </c>
      <c r="R6" s="126">
        <v>0.127</v>
      </c>
      <c r="S6" s="121">
        <f t="shared" si="2"/>
        <v>158.13391346386271</v>
      </c>
      <c r="T6" s="121">
        <f t="shared" si="3"/>
        <v>51511.811023622045</v>
      </c>
      <c r="U6" s="127">
        <f t="shared" si="4"/>
        <v>1.1825484624339313</v>
      </c>
      <c r="V6" s="126">
        <v>40</v>
      </c>
      <c r="W6" s="126">
        <f t="shared" si="5"/>
        <v>31400</v>
      </c>
      <c r="X6" s="126">
        <f t="shared" si="6"/>
        <v>785</v>
      </c>
      <c r="Y6" s="128" t="s">
        <v>863</v>
      </c>
      <c r="Z6" s="119" t="s">
        <v>35</v>
      </c>
      <c r="AA6" s="119" t="s">
        <v>35</v>
      </c>
      <c r="AB6" s="119" t="s">
        <v>864</v>
      </c>
      <c r="AC6" s="119">
        <v>0</v>
      </c>
      <c r="AD6" s="119">
        <v>1</v>
      </c>
      <c r="AE6" s="119" t="s">
        <v>42</v>
      </c>
      <c r="AF6" s="119" t="s">
        <v>43</v>
      </c>
      <c r="AG6" s="119" t="s">
        <v>38</v>
      </c>
      <c r="AH6" s="119" t="s">
        <v>92</v>
      </c>
    </row>
    <row r="7" spans="1:34" x14ac:dyDescent="0.3">
      <c r="A7" s="118" t="s">
        <v>864</v>
      </c>
      <c r="B7" s="119" t="s">
        <v>877</v>
      </c>
      <c r="C7" s="119" t="s">
        <v>878</v>
      </c>
      <c r="D7" s="120">
        <v>45135</v>
      </c>
      <c r="E7" s="121">
        <v>136000</v>
      </c>
      <c r="F7" s="119" t="s">
        <v>81</v>
      </c>
      <c r="G7" s="119" t="s">
        <v>33</v>
      </c>
      <c r="H7" s="121">
        <v>136000</v>
      </c>
      <c r="I7" s="121">
        <v>47300</v>
      </c>
      <c r="J7" s="122">
        <f t="shared" si="0"/>
        <v>34.779411764705884</v>
      </c>
      <c r="K7" s="121">
        <v>135182</v>
      </c>
      <c r="L7" s="121">
        <f>H7-128852</f>
        <v>7148</v>
      </c>
      <c r="M7" s="121">
        <v>6330</v>
      </c>
      <c r="N7" s="123">
        <f t="shared" si="1"/>
        <v>4.6544117647058826E-2</v>
      </c>
      <c r="O7" s="124">
        <v>41.37</v>
      </c>
      <c r="P7" s="125">
        <v>138.02000000000001</v>
      </c>
      <c r="Q7" s="126">
        <v>0.127</v>
      </c>
      <c r="R7" s="126">
        <v>0.127</v>
      </c>
      <c r="S7" s="121">
        <f t="shared" si="2"/>
        <v>172.78220933043269</v>
      </c>
      <c r="T7" s="121">
        <f t="shared" si="3"/>
        <v>56283.464566929135</v>
      </c>
      <c r="U7" s="127">
        <f t="shared" si="4"/>
        <v>1.292090554796353</v>
      </c>
      <c r="V7" s="126">
        <v>40</v>
      </c>
      <c r="W7" s="126">
        <f t="shared" si="5"/>
        <v>27200</v>
      </c>
      <c r="X7" s="126">
        <f t="shared" si="6"/>
        <v>680</v>
      </c>
      <c r="Y7" s="128" t="s">
        <v>863</v>
      </c>
      <c r="Z7" s="119" t="s">
        <v>35</v>
      </c>
      <c r="AA7" s="119" t="s">
        <v>35</v>
      </c>
      <c r="AB7" s="119" t="s">
        <v>864</v>
      </c>
      <c r="AC7" s="119">
        <v>0</v>
      </c>
      <c r="AD7" s="119">
        <v>1</v>
      </c>
      <c r="AE7" s="119" t="s">
        <v>37</v>
      </c>
      <c r="AF7" s="119" t="s">
        <v>43</v>
      </c>
      <c r="AG7" s="119" t="s">
        <v>38</v>
      </c>
      <c r="AH7" s="119" t="s">
        <v>92</v>
      </c>
    </row>
    <row r="8" spans="1:34" x14ac:dyDescent="0.3">
      <c r="A8" s="118" t="s">
        <v>864</v>
      </c>
      <c r="B8" s="119" t="s">
        <v>923</v>
      </c>
      <c r="C8" s="119" t="s">
        <v>924</v>
      </c>
      <c r="D8" s="120">
        <v>45443</v>
      </c>
      <c r="E8" s="121">
        <v>165000</v>
      </c>
      <c r="F8" s="119" t="s">
        <v>32</v>
      </c>
      <c r="G8" s="119" t="s">
        <v>33</v>
      </c>
      <c r="H8" s="121">
        <v>165000</v>
      </c>
      <c r="I8" s="121">
        <v>65600</v>
      </c>
      <c r="J8" s="122">
        <f t="shared" si="0"/>
        <v>39.757575757575758</v>
      </c>
      <c r="K8" s="121">
        <v>163247</v>
      </c>
      <c r="L8" s="121">
        <f>H8-156768</f>
        <v>8232</v>
      </c>
      <c r="M8" s="121">
        <v>6479</v>
      </c>
      <c r="N8" s="123">
        <f t="shared" si="1"/>
        <v>3.9266666666666665E-2</v>
      </c>
      <c r="O8" s="124">
        <v>42.34</v>
      </c>
      <c r="P8" s="125">
        <v>131.13</v>
      </c>
      <c r="Q8" s="126">
        <v>0.126</v>
      </c>
      <c r="R8" s="126">
        <v>0.126</v>
      </c>
      <c r="S8" s="121">
        <f t="shared" si="2"/>
        <v>194.4260746339159</v>
      </c>
      <c r="T8" s="121">
        <f t="shared" si="3"/>
        <v>65333.333333333336</v>
      </c>
      <c r="U8" s="127">
        <f t="shared" si="4"/>
        <v>1.4998469543924089</v>
      </c>
      <c r="V8" s="126">
        <v>42</v>
      </c>
      <c r="W8" s="126">
        <f t="shared" si="5"/>
        <v>33000</v>
      </c>
      <c r="X8" s="126">
        <f t="shared" si="6"/>
        <v>785.71428571428567</v>
      </c>
      <c r="Y8" s="128" t="s">
        <v>863</v>
      </c>
      <c r="Z8" s="119" t="s">
        <v>35</v>
      </c>
      <c r="AA8" s="119" t="s">
        <v>35</v>
      </c>
      <c r="AB8" s="119" t="s">
        <v>864</v>
      </c>
      <c r="AC8" s="119">
        <v>0</v>
      </c>
      <c r="AD8" s="119">
        <v>1</v>
      </c>
      <c r="AE8" s="119" t="s">
        <v>37</v>
      </c>
      <c r="AF8" s="119" t="s">
        <v>43</v>
      </c>
      <c r="AG8" s="119" t="s">
        <v>38</v>
      </c>
      <c r="AH8" s="119" t="s">
        <v>92</v>
      </c>
    </row>
    <row r="9" spans="1:34" x14ac:dyDescent="0.3">
      <c r="A9" s="118" t="s">
        <v>864</v>
      </c>
      <c r="B9" s="119" t="s">
        <v>869</v>
      </c>
      <c r="C9" s="119" t="s">
        <v>870</v>
      </c>
      <c r="D9" s="120">
        <v>45090</v>
      </c>
      <c r="E9" s="121">
        <v>134000</v>
      </c>
      <c r="F9" s="119" t="s">
        <v>32</v>
      </c>
      <c r="G9" s="119" t="s">
        <v>33</v>
      </c>
      <c r="H9" s="121">
        <v>134000</v>
      </c>
      <c r="I9" s="121">
        <v>45400</v>
      </c>
      <c r="J9" s="122">
        <f t="shared" si="0"/>
        <v>33.880597014925371</v>
      </c>
      <c r="K9" s="121">
        <v>128272</v>
      </c>
      <c r="L9" s="121">
        <f>H9-121942</f>
        <v>12058</v>
      </c>
      <c r="M9" s="121">
        <v>6330</v>
      </c>
      <c r="N9" s="123">
        <f t="shared" si="1"/>
        <v>4.7238805970149254E-2</v>
      </c>
      <c r="O9" s="124">
        <v>41.37</v>
      </c>
      <c r="P9" s="125">
        <v>138</v>
      </c>
      <c r="Q9" s="126">
        <v>0.127</v>
      </c>
      <c r="R9" s="126">
        <v>0.127</v>
      </c>
      <c r="S9" s="121">
        <f t="shared" si="2"/>
        <v>291.46724679719603</v>
      </c>
      <c r="T9" s="121">
        <f t="shared" si="3"/>
        <v>94944.881889763783</v>
      </c>
      <c r="U9" s="127">
        <f t="shared" si="4"/>
        <v>2.1796345704720794</v>
      </c>
      <c r="V9" s="126">
        <v>40</v>
      </c>
      <c r="W9" s="126">
        <f t="shared" si="5"/>
        <v>26800</v>
      </c>
      <c r="X9" s="126">
        <f t="shared" si="6"/>
        <v>670</v>
      </c>
      <c r="Y9" s="128" t="s">
        <v>863</v>
      </c>
      <c r="Z9" s="119" t="s">
        <v>35</v>
      </c>
      <c r="AA9" s="119" t="s">
        <v>35</v>
      </c>
      <c r="AB9" s="119" t="s">
        <v>864</v>
      </c>
      <c r="AC9" s="119">
        <v>0</v>
      </c>
      <c r="AD9" s="119">
        <v>1</v>
      </c>
      <c r="AE9" s="119" t="s">
        <v>37</v>
      </c>
      <c r="AF9" s="119" t="s">
        <v>43</v>
      </c>
      <c r="AG9" s="119" t="s">
        <v>38</v>
      </c>
      <c r="AH9" s="119" t="s">
        <v>92</v>
      </c>
    </row>
    <row r="10" spans="1:34" x14ac:dyDescent="0.3">
      <c r="A10" s="118" t="s">
        <v>864</v>
      </c>
      <c r="B10" s="119" t="s">
        <v>935</v>
      </c>
      <c r="C10" s="119" t="s">
        <v>936</v>
      </c>
      <c r="D10" s="120">
        <v>45568</v>
      </c>
      <c r="E10" s="121">
        <v>137000</v>
      </c>
      <c r="F10" s="119" t="s">
        <v>32</v>
      </c>
      <c r="G10" s="119" t="s">
        <v>33</v>
      </c>
      <c r="H10" s="121">
        <v>137000</v>
      </c>
      <c r="I10" s="121">
        <v>52900</v>
      </c>
      <c r="J10" s="122">
        <f t="shared" si="0"/>
        <v>38.613138686131386</v>
      </c>
      <c r="K10" s="121">
        <v>129267</v>
      </c>
      <c r="L10" s="121">
        <f>H10-123364</f>
        <v>13636</v>
      </c>
      <c r="M10" s="121">
        <v>5903</v>
      </c>
      <c r="N10" s="123">
        <f t="shared" si="1"/>
        <v>4.3087591240875911E-2</v>
      </c>
      <c r="O10" s="124">
        <v>38.58</v>
      </c>
      <c r="P10" s="125">
        <v>120.01</v>
      </c>
      <c r="Q10" s="126">
        <v>0.11</v>
      </c>
      <c r="R10" s="126">
        <v>0.11</v>
      </c>
      <c r="S10" s="121">
        <f t="shared" si="2"/>
        <v>353.44738206324524</v>
      </c>
      <c r="T10" s="121">
        <f t="shared" si="3"/>
        <v>123963.63636363637</v>
      </c>
      <c r="U10" s="127">
        <f t="shared" si="4"/>
        <v>2.8458135069705319</v>
      </c>
      <c r="V10" s="126">
        <v>40</v>
      </c>
      <c r="W10" s="126">
        <f t="shared" si="5"/>
        <v>27400</v>
      </c>
      <c r="X10" s="126">
        <f t="shared" si="6"/>
        <v>685</v>
      </c>
      <c r="Y10" s="128" t="s">
        <v>863</v>
      </c>
      <c r="Z10" s="119" t="s">
        <v>35</v>
      </c>
      <c r="AA10" s="119" t="s">
        <v>35</v>
      </c>
      <c r="AB10" s="119" t="s">
        <v>864</v>
      </c>
      <c r="AC10" s="119">
        <v>0</v>
      </c>
      <c r="AD10" s="119">
        <v>1</v>
      </c>
      <c r="AE10" s="119" t="s">
        <v>42</v>
      </c>
      <c r="AF10" s="119" t="s">
        <v>35</v>
      </c>
      <c r="AG10" s="119" t="s">
        <v>38</v>
      </c>
      <c r="AH10" s="119" t="s">
        <v>92</v>
      </c>
    </row>
    <row r="11" spans="1:34" x14ac:dyDescent="0.3">
      <c r="A11" s="107" t="s">
        <v>864</v>
      </c>
      <c r="B11" s="108" t="s">
        <v>890</v>
      </c>
      <c r="C11" s="108" t="s">
        <v>891</v>
      </c>
      <c r="D11" s="109">
        <v>45453</v>
      </c>
      <c r="E11" s="110">
        <v>176500</v>
      </c>
      <c r="F11" s="108" t="s">
        <v>32</v>
      </c>
      <c r="G11" s="108" t="s">
        <v>33</v>
      </c>
      <c r="H11" s="110">
        <v>176500</v>
      </c>
      <c r="I11" s="110">
        <v>66000</v>
      </c>
      <c r="J11" s="111">
        <f t="shared" si="0"/>
        <v>37.393767705382437</v>
      </c>
      <c r="K11" s="110">
        <v>163796</v>
      </c>
      <c r="L11" s="110">
        <f>H11-156464</f>
        <v>20036</v>
      </c>
      <c r="M11" s="110">
        <v>7332</v>
      </c>
      <c r="N11" s="112">
        <f t="shared" si="1"/>
        <v>4.1541076487252124E-2</v>
      </c>
      <c r="O11" s="113">
        <v>47.92</v>
      </c>
      <c r="P11" s="114">
        <v>138.01</v>
      </c>
      <c r="Q11" s="115">
        <v>0.14799999999999999</v>
      </c>
      <c r="R11" s="115">
        <v>0.14799999999999999</v>
      </c>
      <c r="S11" s="110">
        <f t="shared" si="2"/>
        <v>418.11352253756257</v>
      </c>
      <c r="T11" s="110">
        <f t="shared" si="3"/>
        <v>135378.37837837837</v>
      </c>
      <c r="U11" s="116">
        <f t="shared" si="4"/>
        <v>3.1078599260417441</v>
      </c>
      <c r="V11" s="115">
        <v>45.77</v>
      </c>
      <c r="W11" s="115">
        <f t="shared" si="5"/>
        <v>35300</v>
      </c>
      <c r="X11" s="115">
        <f t="shared" si="6"/>
        <v>771.24754205811666</v>
      </c>
      <c r="Y11" s="117" t="s">
        <v>863</v>
      </c>
      <c r="Z11" s="108" t="s">
        <v>35</v>
      </c>
      <c r="AA11" s="108" t="s">
        <v>35</v>
      </c>
      <c r="AB11" s="108" t="s">
        <v>864</v>
      </c>
      <c r="AC11" s="108">
        <v>0</v>
      </c>
      <c r="AD11" s="108">
        <v>1</v>
      </c>
      <c r="AE11" s="108" t="s">
        <v>42</v>
      </c>
      <c r="AF11" s="108" t="s">
        <v>43</v>
      </c>
      <c r="AG11" s="108" t="s">
        <v>38</v>
      </c>
      <c r="AH11" s="108" t="s">
        <v>92</v>
      </c>
    </row>
    <row r="12" spans="1:34" x14ac:dyDescent="0.3">
      <c r="A12" s="118" t="s">
        <v>864</v>
      </c>
      <c r="B12" s="119" t="s">
        <v>904</v>
      </c>
      <c r="C12" s="119" t="s">
        <v>905</v>
      </c>
      <c r="D12" s="120">
        <v>45653</v>
      </c>
      <c r="E12" s="121">
        <v>174900</v>
      </c>
      <c r="F12" s="119" t="s">
        <v>32</v>
      </c>
      <c r="G12" s="119" t="s">
        <v>33</v>
      </c>
      <c r="H12" s="121">
        <v>174900</v>
      </c>
      <c r="I12" s="121">
        <v>65600</v>
      </c>
      <c r="J12" s="122">
        <f t="shared" si="0"/>
        <v>37.507146941109205</v>
      </c>
      <c r="K12" s="121">
        <v>162545</v>
      </c>
      <c r="L12" s="121">
        <f>H12-155898</f>
        <v>19002</v>
      </c>
      <c r="M12" s="121">
        <v>6647</v>
      </c>
      <c r="N12" s="123">
        <f t="shared" si="1"/>
        <v>3.8004574042309891E-2</v>
      </c>
      <c r="O12" s="124">
        <v>43.44</v>
      </c>
      <c r="P12" s="125">
        <v>138.02000000000001</v>
      </c>
      <c r="Q12" s="126">
        <v>0.13300000000000001</v>
      </c>
      <c r="R12" s="126">
        <v>0.13300000000000001</v>
      </c>
      <c r="S12" s="121">
        <f t="shared" si="2"/>
        <v>437.43093922651934</v>
      </c>
      <c r="T12" s="121">
        <f t="shared" si="3"/>
        <v>142872.18045112782</v>
      </c>
      <c r="U12" s="127">
        <f t="shared" si="4"/>
        <v>3.2798939497504089</v>
      </c>
      <c r="V12" s="126">
        <v>42</v>
      </c>
      <c r="W12" s="126">
        <f t="shared" si="5"/>
        <v>34980</v>
      </c>
      <c r="X12" s="126">
        <f t="shared" si="6"/>
        <v>832.85714285714289</v>
      </c>
      <c r="Y12" s="128" t="s">
        <v>863</v>
      </c>
      <c r="Z12" s="119" t="s">
        <v>35</v>
      </c>
      <c r="AA12" s="119" t="s">
        <v>35</v>
      </c>
      <c r="AB12" s="119" t="s">
        <v>864</v>
      </c>
      <c r="AC12" s="119">
        <v>0</v>
      </c>
      <c r="AD12" s="119">
        <v>1</v>
      </c>
      <c r="AE12" s="119" t="s">
        <v>37</v>
      </c>
      <c r="AF12" s="119" t="s">
        <v>35</v>
      </c>
      <c r="AG12" s="119" t="s">
        <v>38</v>
      </c>
      <c r="AH12" s="119" t="s">
        <v>92</v>
      </c>
    </row>
    <row r="13" spans="1:34" x14ac:dyDescent="0.3">
      <c r="A13" s="107" t="s">
        <v>864</v>
      </c>
      <c r="B13" s="108" t="s">
        <v>879</v>
      </c>
      <c r="C13" s="108" t="s">
        <v>880</v>
      </c>
      <c r="D13" s="109">
        <v>45531</v>
      </c>
      <c r="E13" s="110">
        <v>160000</v>
      </c>
      <c r="F13" s="108" t="s">
        <v>32</v>
      </c>
      <c r="G13" s="108" t="s">
        <v>33</v>
      </c>
      <c r="H13" s="110">
        <v>160000</v>
      </c>
      <c r="I13" s="110">
        <v>60700</v>
      </c>
      <c r="J13" s="111">
        <f t="shared" si="0"/>
        <v>37.9375</v>
      </c>
      <c r="K13" s="110">
        <v>145468</v>
      </c>
      <c r="L13" s="110">
        <f>H13-139138</f>
        <v>20862</v>
      </c>
      <c r="M13" s="110">
        <v>6330</v>
      </c>
      <c r="N13" s="112">
        <f t="shared" si="1"/>
        <v>3.95625E-2</v>
      </c>
      <c r="O13" s="113">
        <v>41.37</v>
      </c>
      <c r="P13" s="114">
        <v>138.02000000000001</v>
      </c>
      <c r="Q13" s="115">
        <v>0.127</v>
      </c>
      <c r="R13" s="115">
        <v>0.127</v>
      </c>
      <c r="S13" s="110">
        <f t="shared" si="2"/>
        <v>504.27846265409721</v>
      </c>
      <c r="T13" s="110">
        <f t="shared" si="3"/>
        <v>164267.71653543308</v>
      </c>
      <c r="U13" s="116">
        <f t="shared" si="4"/>
        <v>3.7710678727142581</v>
      </c>
      <c r="V13" s="115">
        <v>40</v>
      </c>
      <c r="W13" s="115">
        <f t="shared" si="5"/>
        <v>32000</v>
      </c>
      <c r="X13" s="115">
        <f t="shared" si="6"/>
        <v>800</v>
      </c>
      <c r="Y13" s="117" t="s">
        <v>863</v>
      </c>
      <c r="Z13" s="108" t="s">
        <v>35</v>
      </c>
      <c r="AA13" s="108" t="s">
        <v>35</v>
      </c>
      <c r="AB13" s="108" t="s">
        <v>864</v>
      </c>
      <c r="AC13" s="108">
        <v>0</v>
      </c>
      <c r="AD13" s="108">
        <v>1</v>
      </c>
      <c r="AE13" s="108" t="s">
        <v>881</v>
      </c>
      <c r="AF13" s="108" t="s">
        <v>43</v>
      </c>
      <c r="AG13" s="108" t="s">
        <v>38</v>
      </c>
      <c r="AH13" s="108" t="s">
        <v>92</v>
      </c>
    </row>
    <row r="14" spans="1:34" x14ac:dyDescent="0.3">
      <c r="A14" s="118" t="s">
        <v>864</v>
      </c>
      <c r="B14" s="119" t="s">
        <v>900</v>
      </c>
      <c r="C14" s="119" t="s">
        <v>901</v>
      </c>
      <c r="D14" s="120">
        <v>45457</v>
      </c>
      <c r="E14" s="121">
        <v>127500</v>
      </c>
      <c r="F14" s="119" t="s">
        <v>32</v>
      </c>
      <c r="G14" s="119" t="s">
        <v>33</v>
      </c>
      <c r="H14" s="121">
        <v>127500</v>
      </c>
      <c r="I14" s="121">
        <v>46300</v>
      </c>
      <c r="J14" s="122">
        <f t="shared" si="0"/>
        <v>36.313725490196077</v>
      </c>
      <c r="K14" s="121">
        <v>112807</v>
      </c>
      <c r="L14" s="121">
        <f>H14-106477</f>
        <v>21023</v>
      </c>
      <c r="M14" s="121">
        <v>6330</v>
      </c>
      <c r="N14" s="123">
        <f t="shared" si="1"/>
        <v>4.9647058823529412E-2</v>
      </c>
      <c r="O14" s="124">
        <v>41.37</v>
      </c>
      <c r="P14" s="125">
        <v>138</v>
      </c>
      <c r="Q14" s="126">
        <v>0.127</v>
      </c>
      <c r="R14" s="126">
        <v>0.127</v>
      </c>
      <c r="S14" s="121">
        <f t="shared" si="2"/>
        <v>508.17017162194833</v>
      </c>
      <c r="T14" s="121">
        <f t="shared" si="3"/>
        <v>165535.43307086613</v>
      </c>
      <c r="U14" s="127">
        <f t="shared" si="4"/>
        <v>3.8001706398270461</v>
      </c>
      <c r="V14" s="126">
        <v>40</v>
      </c>
      <c r="W14" s="126">
        <f t="shared" si="5"/>
        <v>25500</v>
      </c>
      <c r="X14" s="126">
        <f t="shared" si="6"/>
        <v>637.5</v>
      </c>
      <c r="Y14" s="128" t="s">
        <v>863</v>
      </c>
      <c r="Z14" s="119" t="s">
        <v>35</v>
      </c>
      <c r="AA14" s="119" t="s">
        <v>35</v>
      </c>
      <c r="AB14" s="119" t="s">
        <v>864</v>
      </c>
      <c r="AC14" s="119">
        <v>0</v>
      </c>
      <c r="AD14" s="119">
        <v>1</v>
      </c>
      <c r="AE14" s="119" t="s">
        <v>42</v>
      </c>
      <c r="AF14" s="119" t="s">
        <v>43</v>
      </c>
      <c r="AG14" s="119" t="s">
        <v>38</v>
      </c>
      <c r="AH14" s="119" t="s">
        <v>92</v>
      </c>
    </row>
    <row r="15" spans="1:34" x14ac:dyDescent="0.3">
      <c r="A15" s="118" t="s">
        <v>864</v>
      </c>
      <c r="B15" s="119" t="s">
        <v>898</v>
      </c>
      <c r="C15" s="119" t="s">
        <v>899</v>
      </c>
      <c r="D15" s="120">
        <v>45565</v>
      </c>
      <c r="E15" s="121">
        <v>189900</v>
      </c>
      <c r="F15" s="119" t="s">
        <v>32</v>
      </c>
      <c r="G15" s="119" t="s">
        <v>33</v>
      </c>
      <c r="H15" s="121">
        <v>189900</v>
      </c>
      <c r="I15" s="121">
        <v>61400</v>
      </c>
      <c r="J15" s="122">
        <f t="shared" si="0"/>
        <v>32.332806740389678</v>
      </c>
      <c r="K15" s="121">
        <v>149615</v>
      </c>
      <c r="L15" s="121">
        <f>H15-135488</f>
        <v>54412</v>
      </c>
      <c r="M15" s="121">
        <v>14127</v>
      </c>
      <c r="N15" s="123">
        <f t="shared" si="1"/>
        <v>7.4391785150078993E-2</v>
      </c>
      <c r="O15" s="124">
        <v>92.33</v>
      </c>
      <c r="P15" s="125">
        <v>109.98</v>
      </c>
      <c r="Q15" s="126">
        <v>0.252</v>
      </c>
      <c r="R15" s="126">
        <v>0.252</v>
      </c>
      <c r="S15" s="121">
        <f t="shared" si="2"/>
        <v>589.32091411242288</v>
      </c>
      <c r="T15" s="121">
        <f t="shared" si="3"/>
        <v>215920.63492063491</v>
      </c>
      <c r="U15" s="127">
        <f t="shared" si="4"/>
        <v>4.9568557144314722</v>
      </c>
      <c r="V15" s="126">
        <v>100</v>
      </c>
      <c r="W15" s="126">
        <f t="shared" si="5"/>
        <v>37980</v>
      </c>
      <c r="X15" s="126">
        <f t="shared" si="6"/>
        <v>379.8</v>
      </c>
      <c r="Y15" s="128" t="s">
        <v>863</v>
      </c>
      <c r="Z15" s="119" t="s">
        <v>35</v>
      </c>
      <c r="AA15" s="119" t="s">
        <v>35</v>
      </c>
      <c r="AB15" s="119" t="s">
        <v>864</v>
      </c>
      <c r="AC15" s="119">
        <v>0</v>
      </c>
      <c r="AD15" s="119">
        <v>1</v>
      </c>
      <c r="AE15" s="119" t="s">
        <v>42</v>
      </c>
      <c r="AF15" s="119" t="s">
        <v>43</v>
      </c>
      <c r="AG15" s="119" t="s">
        <v>38</v>
      </c>
      <c r="AH15" s="119" t="s">
        <v>92</v>
      </c>
    </row>
    <row r="16" spans="1:34" x14ac:dyDescent="0.3">
      <c r="A16" s="107" t="s">
        <v>864</v>
      </c>
      <c r="B16" s="108" t="s">
        <v>873</v>
      </c>
      <c r="C16" s="108" t="s">
        <v>874</v>
      </c>
      <c r="D16" s="109">
        <v>45226</v>
      </c>
      <c r="E16" s="110">
        <v>160500</v>
      </c>
      <c r="F16" s="108" t="s">
        <v>32</v>
      </c>
      <c r="G16" s="108" t="s">
        <v>33</v>
      </c>
      <c r="H16" s="110">
        <v>160500</v>
      </c>
      <c r="I16" s="110">
        <v>50800</v>
      </c>
      <c r="J16" s="111">
        <f t="shared" si="0"/>
        <v>31.651090342679129</v>
      </c>
      <c r="K16" s="110">
        <v>142172</v>
      </c>
      <c r="L16" s="110">
        <f>H16-135842</f>
        <v>24658</v>
      </c>
      <c r="M16" s="110">
        <v>6330</v>
      </c>
      <c r="N16" s="112">
        <f t="shared" si="1"/>
        <v>3.9439252336448599E-2</v>
      </c>
      <c r="O16" s="113">
        <v>41.37</v>
      </c>
      <c r="P16" s="114">
        <v>138</v>
      </c>
      <c r="Q16" s="115">
        <v>0.127</v>
      </c>
      <c r="R16" s="115">
        <v>0.127</v>
      </c>
      <c r="S16" s="110">
        <f t="shared" si="2"/>
        <v>596.03577471597782</v>
      </c>
      <c r="T16" s="110">
        <f t="shared" si="3"/>
        <v>194157.48031496062</v>
      </c>
      <c r="U16" s="116">
        <f t="shared" si="4"/>
        <v>4.4572424314729249</v>
      </c>
      <c r="V16" s="115">
        <v>40</v>
      </c>
      <c r="W16" s="115">
        <f t="shared" si="5"/>
        <v>32100</v>
      </c>
      <c r="X16" s="115">
        <f t="shared" si="6"/>
        <v>802.5</v>
      </c>
      <c r="Y16" s="117" t="s">
        <v>863</v>
      </c>
      <c r="Z16" s="108" t="s">
        <v>35</v>
      </c>
      <c r="AA16" s="108" t="s">
        <v>35</v>
      </c>
      <c r="AB16" s="108" t="s">
        <v>864</v>
      </c>
      <c r="AC16" s="108">
        <v>0</v>
      </c>
      <c r="AD16" s="108">
        <v>1</v>
      </c>
      <c r="AE16" s="108" t="s">
        <v>37</v>
      </c>
      <c r="AF16" s="108" t="s">
        <v>43</v>
      </c>
      <c r="AG16" s="108" t="s">
        <v>38</v>
      </c>
      <c r="AH16" s="108" t="s">
        <v>92</v>
      </c>
    </row>
    <row r="17" spans="1:34" x14ac:dyDescent="0.3">
      <c r="A17" s="107" t="s">
        <v>864</v>
      </c>
      <c r="B17" s="108" t="s">
        <v>908</v>
      </c>
      <c r="C17" s="108" t="s">
        <v>909</v>
      </c>
      <c r="D17" s="109">
        <v>45688</v>
      </c>
      <c r="E17" s="110">
        <v>181000</v>
      </c>
      <c r="F17" s="108" t="s">
        <v>32</v>
      </c>
      <c r="G17" s="108" t="s">
        <v>33</v>
      </c>
      <c r="H17" s="110">
        <v>181000</v>
      </c>
      <c r="I17" s="110">
        <v>64600</v>
      </c>
      <c r="J17" s="111">
        <f t="shared" si="0"/>
        <v>35.690607734806626</v>
      </c>
      <c r="K17" s="110">
        <v>161059</v>
      </c>
      <c r="L17" s="110">
        <f>H17-154412</f>
        <v>26588</v>
      </c>
      <c r="M17" s="110">
        <v>6647</v>
      </c>
      <c r="N17" s="112">
        <f t="shared" si="1"/>
        <v>3.6723756906077348E-2</v>
      </c>
      <c r="O17" s="113">
        <v>43.44</v>
      </c>
      <c r="P17" s="114">
        <v>138.02000000000001</v>
      </c>
      <c r="Q17" s="115">
        <v>0.13300000000000001</v>
      </c>
      <c r="R17" s="115">
        <v>0.13300000000000001</v>
      </c>
      <c r="S17" s="110">
        <f t="shared" si="2"/>
        <v>612.06261510128911</v>
      </c>
      <c r="T17" s="110">
        <f t="shared" si="3"/>
        <v>199909.77443609023</v>
      </c>
      <c r="U17" s="116">
        <f t="shared" si="4"/>
        <v>4.5892969337945413</v>
      </c>
      <c r="V17" s="115">
        <v>42</v>
      </c>
      <c r="W17" s="115">
        <f t="shared" si="5"/>
        <v>36200</v>
      </c>
      <c r="X17" s="115">
        <f t="shared" si="6"/>
        <v>861.90476190476193</v>
      </c>
      <c r="Y17" s="117" t="s">
        <v>863</v>
      </c>
      <c r="Z17" s="108" t="s">
        <v>35</v>
      </c>
      <c r="AA17" s="108" t="s">
        <v>35</v>
      </c>
      <c r="AB17" s="108" t="s">
        <v>864</v>
      </c>
      <c r="AC17" s="108">
        <v>0</v>
      </c>
      <c r="AD17" s="108">
        <v>1</v>
      </c>
      <c r="AE17" s="108" t="s">
        <v>42</v>
      </c>
      <c r="AF17" s="108" t="s">
        <v>35</v>
      </c>
      <c r="AG17" s="108" t="s">
        <v>38</v>
      </c>
      <c r="AH17" s="108" t="s">
        <v>92</v>
      </c>
    </row>
    <row r="18" spans="1:34" x14ac:dyDescent="0.3">
      <c r="A18" s="118" t="s">
        <v>864</v>
      </c>
      <c r="B18" s="119" t="s">
        <v>884</v>
      </c>
      <c r="C18" s="119" t="s">
        <v>885</v>
      </c>
      <c r="D18" s="120">
        <v>45230</v>
      </c>
      <c r="E18" s="121">
        <v>125000</v>
      </c>
      <c r="F18" s="119" t="s">
        <v>32</v>
      </c>
      <c r="G18" s="119" t="s">
        <v>33</v>
      </c>
      <c r="H18" s="121">
        <v>125000</v>
      </c>
      <c r="I18" s="121">
        <v>36800</v>
      </c>
      <c r="J18" s="122">
        <f t="shared" si="0"/>
        <v>29.439999999999998</v>
      </c>
      <c r="K18" s="121">
        <v>105698</v>
      </c>
      <c r="L18" s="121">
        <f>H18-99368</f>
        <v>25632</v>
      </c>
      <c r="M18" s="121">
        <v>6330</v>
      </c>
      <c r="N18" s="123">
        <f t="shared" si="1"/>
        <v>5.0639999999999998E-2</v>
      </c>
      <c r="O18" s="124">
        <v>41.37</v>
      </c>
      <c r="P18" s="125">
        <v>138</v>
      </c>
      <c r="Q18" s="126">
        <v>0.127</v>
      </c>
      <c r="R18" s="126">
        <v>0.127</v>
      </c>
      <c r="S18" s="121">
        <f t="shared" si="2"/>
        <v>619.57940536620742</v>
      </c>
      <c r="T18" s="121">
        <f t="shared" si="3"/>
        <v>201826.77165354331</v>
      </c>
      <c r="U18" s="127">
        <f t="shared" si="4"/>
        <v>4.6333051343788636</v>
      </c>
      <c r="V18" s="126">
        <v>40</v>
      </c>
      <c r="W18" s="126">
        <f t="shared" si="5"/>
        <v>25000</v>
      </c>
      <c r="X18" s="126">
        <f t="shared" si="6"/>
        <v>625</v>
      </c>
      <c r="Y18" s="128" t="s">
        <v>863</v>
      </c>
      <c r="Z18" s="119" t="s">
        <v>35</v>
      </c>
      <c r="AA18" s="119" t="s">
        <v>35</v>
      </c>
      <c r="AB18" s="119" t="s">
        <v>864</v>
      </c>
      <c r="AC18" s="119">
        <v>0</v>
      </c>
      <c r="AD18" s="119">
        <v>1</v>
      </c>
      <c r="AE18" s="119" t="s">
        <v>42</v>
      </c>
      <c r="AF18" s="119" t="s">
        <v>43</v>
      </c>
      <c r="AG18" s="119" t="s">
        <v>38</v>
      </c>
      <c r="AH18" s="119" t="s">
        <v>92</v>
      </c>
    </row>
    <row r="19" spans="1:34" x14ac:dyDescent="0.3">
      <c r="A19" s="118" t="s">
        <v>864</v>
      </c>
      <c r="B19" s="119" t="s">
        <v>913</v>
      </c>
      <c r="C19" s="119" t="s">
        <v>914</v>
      </c>
      <c r="D19" s="120">
        <v>45455</v>
      </c>
      <c r="E19" s="121">
        <v>136000</v>
      </c>
      <c r="F19" s="119" t="s">
        <v>32</v>
      </c>
      <c r="G19" s="119" t="s">
        <v>33</v>
      </c>
      <c r="H19" s="121">
        <v>136000</v>
      </c>
      <c r="I19" s="121">
        <v>46100</v>
      </c>
      <c r="J19" s="122">
        <f t="shared" si="0"/>
        <v>33.897058823529413</v>
      </c>
      <c r="K19" s="121">
        <v>112732</v>
      </c>
      <c r="L19" s="121">
        <f>H19-106402</f>
        <v>29598</v>
      </c>
      <c r="M19" s="121">
        <v>6330</v>
      </c>
      <c r="N19" s="123">
        <f t="shared" si="1"/>
        <v>4.6544117647058826E-2</v>
      </c>
      <c r="O19" s="124">
        <v>41.37</v>
      </c>
      <c r="P19" s="125">
        <v>138.02000000000001</v>
      </c>
      <c r="Q19" s="126">
        <v>0.127</v>
      </c>
      <c r="R19" s="126">
        <v>0.127</v>
      </c>
      <c r="S19" s="121">
        <f t="shared" si="2"/>
        <v>715.44597534445256</v>
      </c>
      <c r="T19" s="121">
        <f t="shared" si="3"/>
        <v>233055.11811023622</v>
      </c>
      <c r="U19" s="127">
        <f t="shared" si="4"/>
        <v>5.350209323008178</v>
      </c>
      <c r="V19" s="126">
        <v>40</v>
      </c>
      <c r="W19" s="126">
        <f t="shared" si="5"/>
        <v>27200</v>
      </c>
      <c r="X19" s="126">
        <f t="shared" si="6"/>
        <v>680</v>
      </c>
      <c r="Y19" s="128" t="s">
        <v>863</v>
      </c>
      <c r="Z19" s="119" t="s">
        <v>35</v>
      </c>
      <c r="AA19" s="119" t="s">
        <v>35</v>
      </c>
      <c r="AB19" s="119" t="s">
        <v>864</v>
      </c>
      <c r="AC19" s="119">
        <v>0</v>
      </c>
      <c r="AD19" s="119">
        <v>1</v>
      </c>
      <c r="AE19" s="119" t="s">
        <v>42</v>
      </c>
      <c r="AF19" s="119" t="s">
        <v>43</v>
      </c>
      <c r="AG19" s="119" t="s">
        <v>38</v>
      </c>
      <c r="AH19" s="119" t="s">
        <v>92</v>
      </c>
    </row>
    <row r="20" spans="1:34" x14ac:dyDescent="0.3">
      <c r="A20" s="107" t="s">
        <v>864</v>
      </c>
      <c r="B20" s="108" t="s">
        <v>896</v>
      </c>
      <c r="C20" s="108" t="s">
        <v>897</v>
      </c>
      <c r="D20" s="109">
        <v>45401</v>
      </c>
      <c r="E20" s="110">
        <v>170000</v>
      </c>
      <c r="F20" s="108" t="s">
        <v>32</v>
      </c>
      <c r="G20" s="108" t="s">
        <v>33</v>
      </c>
      <c r="H20" s="110">
        <v>170000</v>
      </c>
      <c r="I20" s="110">
        <v>62100</v>
      </c>
      <c r="J20" s="111">
        <f t="shared" si="0"/>
        <v>36.529411764705884</v>
      </c>
      <c r="K20" s="110">
        <v>146118</v>
      </c>
      <c r="L20" s="110">
        <f>H20-139788</f>
        <v>30212</v>
      </c>
      <c r="M20" s="110">
        <v>6330</v>
      </c>
      <c r="N20" s="112">
        <f t="shared" si="1"/>
        <v>3.7235294117647061E-2</v>
      </c>
      <c r="O20" s="113">
        <v>41.37</v>
      </c>
      <c r="P20" s="114">
        <v>138.02000000000001</v>
      </c>
      <c r="Q20" s="115">
        <v>0.127</v>
      </c>
      <c r="R20" s="115">
        <v>0.127</v>
      </c>
      <c r="S20" s="110">
        <f t="shared" si="2"/>
        <v>730.28764805414551</v>
      </c>
      <c r="T20" s="110">
        <f t="shared" si="3"/>
        <v>237889.76377952757</v>
      </c>
      <c r="U20" s="116">
        <f t="shared" si="4"/>
        <v>5.4611975155998067</v>
      </c>
      <c r="V20" s="115">
        <v>40</v>
      </c>
      <c r="W20" s="115">
        <f t="shared" si="5"/>
        <v>34000</v>
      </c>
      <c r="X20" s="115">
        <f t="shared" si="6"/>
        <v>850</v>
      </c>
      <c r="Y20" s="117" t="s">
        <v>863</v>
      </c>
      <c r="Z20" s="108" t="s">
        <v>35</v>
      </c>
      <c r="AA20" s="108" t="s">
        <v>35</v>
      </c>
      <c r="AB20" s="108" t="s">
        <v>864</v>
      </c>
      <c r="AC20" s="108">
        <v>0</v>
      </c>
      <c r="AD20" s="108">
        <v>1</v>
      </c>
      <c r="AE20" s="108" t="s">
        <v>42</v>
      </c>
      <c r="AF20" s="108" t="s">
        <v>43</v>
      </c>
      <c r="AG20" s="108" t="s">
        <v>38</v>
      </c>
      <c r="AH20" s="108" t="s">
        <v>92</v>
      </c>
    </row>
    <row r="21" spans="1:34" x14ac:dyDescent="0.3">
      <c r="A21" s="107" t="s">
        <v>864</v>
      </c>
      <c r="B21" s="108" t="s">
        <v>927</v>
      </c>
      <c r="C21" s="108" t="s">
        <v>928</v>
      </c>
      <c r="D21" s="109">
        <v>45127</v>
      </c>
      <c r="E21" s="110">
        <v>146500</v>
      </c>
      <c r="F21" s="108" t="s">
        <v>32</v>
      </c>
      <c r="G21" s="108" t="s">
        <v>33</v>
      </c>
      <c r="H21" s="110">
        <v>146500</v>
      </c>
      <c r="I21" s="110">
        <v>43700</v>
      </c>
      <c r="J21" s="111">
        <f t="shared" si="0"/>
        <v>29.829351535836178</v>
      </c>
      <c r="K21" s="110">
        <v>125318</v>
      </c>
      <c r="L21" s="110">
        <f>H21-119844</f>
        <v>26656</v>
      </c>
      <c r="M21" s="110">
        <v>5474</v>
      </c>
      <c r="N21" s="112">
        <f t="shared" si="1"/>
        <v>3.7365187713310578E-2</v>
      </c>
      <c r="O21" s="113">
        <v>35.770000000000003</v>
      </c>
      <c r="P21" s="114">
        <v>99.99</v>
      </c>
      <c r="Q21" s="115">
        <v>9.4E-2</v>
      </c>
      <c r="R21" s="115">
        <v>9.4E-2</v>
      </c>
      <c r="S21" s="110">
        <f t="shared" si="2"/>
        <v>745.20547945205476</v>
      </c>
      <c r="T21" s="110">
        <f t="shared" si="3"/>
        <v>283574.4680851064</v>
      </c>
      <c r="U21" s="116">
        <f t="shared" si="4"/>
        <v>6.5099740148096048</v>
      </c>
      <c r="V21" s="115">
        <v>40</v>
      </c>
      <c r="W21" s="115">
        <f t="shared" si="5"/>
        <v>29300</v>
      </c>
      <c r="X21" s="115">
        <f t="shared" si="6"/>
        <v>732.5</v>
      </c>
      <c r="Y21" s="117" t="s">
        <v>863</v>
      </c>
      <c r="Z21" s="108" t="s">
        <v>35</v>
      </c>
      <c r="AA21" s="108" t="s">
        <v>35</v>
      </c>
      <c r="AB21" s="108" t="s">
        <v>864</v>
      </c>
      <c r="AC21" s="108">
        <v>0</v>
      </c>
      <c r="AD21" s="108">
        <v>1</v>
      </c>
      <c r="AE21" s="108" t="s">
        <v>42</v>
      </c>
      <c r="AF21" s="108" t="s">
        <v>43</v>
      </c>
      <c r="AG21" s="108" t="s">
        <v>38</v>
      </c>
      <c r="AH21" s="108" t="s">
        <v>92</v>
      </c>
    </row>
    <row r="22" spans="1:34" x14ac:dyDescent="0.3">
      <c r="A22" s="107" t="s">
        <v>864</v>
      </c>
      <c r="B22" s="108" t="s">
        <v>888</v>
      </c>
      <c r="C22" s="108" t="s">
        <v>889</v>
      </c>
      <c r="D22" s="109">
        <v>45737</v>
      </c>
      <c r="E22" s="110">
        <v>140000</v>
      </c>
      <c r="F22" s="108" t="s">
        <v>32</v>
      </c>
      <c r="G22" s="108" t="s">
        <v>33</v>
      </c>
      <c r="H22" s="110">
        <v>140000</v>
      </c>
      <c r="I22" s="110">
        <v>47000</v>
      </c>
      <c r="J22" s="111">
        <f t="shared" si="0"/>
        <v>33.571428571428569</v>
      </c>
      <c r="K22" s="110">
        <v>115002</v>
      </c>
      <c r="L22" s="110">
        <f>H22-108672</f>
        <v>31328</v>
      </c>
      <c r="M22" s="110">
        <v>6330</v>
      </c>
      <c r="N22" s="112">
        <f t="shared" si="1"/>
        <v>4.5214285714285714E-2</v>
      </c>
      <c r="O22" s="113">
        <v>41.37</v>
      </c>
      <c r="P22" s="114">
        <v>138.02000000000001</v>
      </c>
      <c r="Q22" s="115">
        <v>0.127</v>
      </c>
      <c r="R22" s="115">
        <v>0.127</v>
      </c>
      <c r="S22" s="110">
        <f t="shared" si="2"/>
        <v>757.26371766980913</v>
      </c>
      <c r="T22" s="110">
        <f t="shared" si="3"/>
        <v>246677.1653543307</v>
      </c>
      <c r="U22" s="116">
        <f t="shared" si="4"/>
        <v>5.6629284975741667</v>
      </c>
      <c r="V22" s="115">
        <v>40</v>
      </c>
      <c r="W22" s="115">
        <f t="shared" si="5"/>
        <v>28000</v>
      </c>
      <c r="X22" s="115">
        <f t="shared" si="6"/>
        <v>700</v>
      </c>
      <c r="Y22" s="117" t="s">
        <v>863</v>
      </c>
      <c r="Z22" s="108" t="s">
        <v>35</v>
      </c>
      <c r="AA22" s="108" t="s">
        <v>35</v>
      </c>
      <c r="AB22" s="108" t="s">
        <v>864</v>
      </c>
      <c r="AC22" s="108">
        <v>0</v>
      </c>
      <c r="AD22" s="108">
        <v>1</v>
      </c>
      <c r="AE22" s="108" t="s">
        <v>42</v>
      </c>
      <c r="AF22" s="108" t="s">
        <v>35</v>
      </c>
      <c r="AG22" s="108" t="s">
        <v>38</v>
      </c>
      <c r="AH22" s="108" t="s">
        <v>92</v>
      </c>
    </row>
    <row r="23" spans="1:34" x14ac:dyDescent="0.3">
      <c r="A23" s="107" t="s">
        <v>864</v>
      </c>
      <c r="B23" s="108" t="s">
        <v>917</v>
      </c>
      <c r="C23" s="108" t="s">
        <v>918</v>
      </c>
      <c r="D23" s="109">
        <v>45460</v>
      </c>
      <c r="E23" s="110">
        <v>135000</v>
      </c>
      <c r="F23" s="108" t="s">
        <v>32</v>
      </c>
      <c r="G23" s="108" t="s">
        <v>33</v>
      </c>
      <c r="H23" s="110">
        <v>135000</v>
      </c>
      <c r="I23" s="110">
        <v>42100</v>
      </c>
      <c r="J23" s="111">
        <f t="shared" si="0"/>
        <v>31.185185185185183</v>
      </c>
      <c r="K23" s="110">
        <v>103662</v>
      </c>
      <c r="L23" s="110">
        <f>H23-97332</f>
        <v>37668</v>
      </c>
      <c r="M23" s="110">
        <v>6330</v>
      </c>
      <c r="N23" s="112">
        <f t="shared" si="1"/>
        <v>4.688888888888889E-2</v>
      </c>
      <c r="O23" s="113">
        <v>41.37</v>
      </c>
      <c r="P23" s="114">
        <v>138</v>
      </c>
      <c r="Q23" s="115">
        <v>0.127</v>
      </c>
      <c r="R23" s="115">
        <v>0.127</v>
      </c>
      <c r="S23" s="110">
        <f t="shared" si="2"/>
        <v>910.51486584481518</v>
      </c>
      <c r="T23" s="110">
        <f t="shared" si="3"/>
        <v>296598.42519685038</v>
      </c>
      <c r="U23" s="116">
        <f t="shared" si="4"/>
        <v>6.8089629292206242</v>
      </c>
      <c r="V23" s="115">
        <v>40</v>
      </c>
      <c r="W23" s="115">
        <f t="shared" si="5"/>
        <v>27000</v>
      </c>
      <c r="X23" s="115">
        <f t="shared" si="6"/>
        <v>675</v>
      </c>
      <c r="Y23" s="117" t="s">
        <v>863</v>
      </c>
      <c r="Z23" s="108" t="s">
        <v>35</v>
      </c>
      <c r="AA23" s="108" t="s">
        <v>35</v>
      </c>
      <c r="AB23" s="108" t="s">
        <v>864</v>
      </c>
      <c r="AC23" s="108">
        <v>0</v>
      </c>
      <c r="AD23" s="108">
        <v>1</v>
      </c>
      <c r="AE23" s="108" t="s">
        <v>42</v>
      </c>
      <c r="AF23" s="108" t="s">
        <v>43</v>
      </c>
      <c r="AG23" s="108" t="s">
        <v>38</v>
      </c>
      <c r="AH23" s="108" t="s">
        <v>92</v>
      </c>
    </row>
    <row r="24" spans="1:34" x14ac:dyDescent="0.3">
      <c r="A24" s="107" t="s">
        <v>864</v>
      </c>
      <c r="B24" s="108" t="s">
        <v>933</v>
      </c>
      <c r="C24" s="108" t="s">
        <v>934</v>
      </c>
      <c r="D24" s="109">
        <v>45597</v>
      </c>
      <c r="E24" s="110">
        <v>155000</v>
      </c>
      <c r="F24" s="108" t="s">
        <v>32</v>
      </c>
      <c r="G24" s="108" t="s">
        <v>33</v>
      </c>
      <c r="H24" s="110">
        <v>155000</v>
      </c>
      <c r="I24" s="110">
        <v>47900</v>
      </c>
      <c r="J24" s="111">
        <f t="shared" si="0"/>
        <v>30.903225806451612</v>
      </c>
      <c r="K24" s="110">
        <v>117209</v>
      </c>
      <c r="L24" s="110">
        <f>H24-111558</f>
        <v>43442</v>
      </c>
      <c r="M24" s="110">
        <v>5651</v>
      </c>
      <c r="N24" s="112">
        <f t="shared" si="1"/>
        <v>3.6458064516129034E-2</v>
      </c>
      <c r="O24" s="113">
        <v>36.93</v>
      </c>
      <c r="P24" s="114">
        <v>110</v>
      </c>
      <c r="Q24" s="115">
        <v>0.10100000000000001</v>
      </c>
      <c r="R24" s="115">
        <v>0.10100000000000001</v>
      </c>
      <c r="S24" s="110">
        <f t="shared" si="2"/>
        <v>1176.333604115895</v>
      </c>
      <c r="T24" s="110">
        <f t="shared" si="3"/>
        <v>430118.81188118807</v>
      </c>
      <c r="U24" s="116">
        <f t="shared" si="4"/>
        <v>9.8741692351053274</v>
      </c>
      <c r="V24" s="115">
        <v>40</v>
      </c>
      <c r="W24" s="115">
        <f t="shared" si="5"/>
        <v>31000</v>
      </c>
      <c r="X24" s="115">
        <f t="shared" si="6"/>
        <v>775</v>
      </c>
      <c r="Y24" s="117" t="s">
        <v>863</v>
      </c>
      <c r="Z24" s="108" t="s">
        <v>35</v>
      </c>
      <c r="AA24" s="108" t="s">
        <v>35</v>
      </c>
      <c r="AB24" s="108" t="s">
        <v>864</v>
      </c>
      <c r="AC24" s="108">
        <v>0</v>
      </c>
      <c r="AD24" s="108">
        <v>1</v>
      </c>
      <c r="AE24" s="108" t="s">
        <v>42</v>
      </c>
      <c r="AF24" s="108" t="s">
        <v>35</v>
      </c>
      <c r="AG24" s="108" t="s">
        <v>38</v>
      </c>
      <c r="AH24" s="108" t="s">
        <v>92</v>
      </c>
    </row>
    <row r="25" spans="1:34" x14ac:dyDescent="0.3">
      <c r="A25" s="118" t="s">
        <v>864</v>
      </c>
      <c r="B25" s="119" t="s">
        <v>931</v>
      </c>
      <c r="C25" s="119" t="s">
        <v>932</v>
      </c>
      <c r="D25" s="120">
        <v>45685</v>
      </c>
      <c r="E25" s="121">
        <v>139000</v>
      </c>
      <c r="F25" s="119" t="s">
        <v>32</v>
      </c>
      <c r="G25" s="119" t="s">
        <v>33</v>
      </c>
      <c r="H25" s="121">
        <v>139000</v>
      </c>
      <c r="I25" s="121">
        <v>43300</v>
      </c>
      <c r="J25" s="122">
        <f t="shared" si="0"/>
        <v>31.151079136690647</v>
      </c>
      <c r="K25" s="121">
        <v>106883</v>
      </c>
      <c r="L25" s="121">
        <f>H25-101232</f>
        <v>37768</v>
      </c>
      <c r="M25" s="121">
        <v>5651</v>
      </c>
      <c r="N25" s="123">
        <f t="shared" si="1"/>
        <v>4.0654676258992807E-2</v>
      </c>
      <c r="O25" s="124">
        <v>36.93</v>
      </c>
      <c r="P25" s="125">
        <v>110</v>
      </c>
      <c r="Q25" s="126">
        <v>0.10100000000000001</v>
      </c>
      <c r="R25" s="126">
        <v>0.10100000000000001</v>
      </c>
      <c r="S25" s="121">
        <f t="shared" si="2"/>
        <v>1022.6915786623341</v>
      </c>
      <c r="T25" s="121">
        <f t="shared" si="3"/>
        <v>373940.59405940591</v>
      </c>
      <c r="U25" s="127">
        <f t="shared" si="4"/>
        <v>8.5844948131176739</v>
      </c>
      <c r="V25" s="126">
        <v>40</v>
      </c>
      <c r="W25" s="126">
        <f t="shared" si="5"/>
        <v>27800</v>
      </c>
      <c r="X25" s="126">
        <f t="shared" si="6"/>
        <v>695</v>
      </c>
      <c r="Y25" s="128" t="s">
        <v>863</v>
      </c>
      <c r="Z25" s="119" t="s">
        <v>35</v>
      </c>
      <c r="AA25" s="119" t="s">
        <v>35</v>
      </c>
      <c r="AB25" s="119" t="s">
        <v>864</v>
      </c>
      <c r="AC25" s="119">
        <v>0</v>
      </c>
      <c r="AD25" s="119">
        <v>1</v>
      </c>
      <c r="AE25" s="119" t="s">
        <v>42</v>
      </c>
      <c r="AF25" s="119" t="s">
        <v>35</v>
      </c>
      <c r="AG25" s="119" t="s">
        <v>38</v>
      </c>
      <c r="AH25" s="119" t="s">
        <v>92</v>
      </c>
    </row>
    <row r="26" spans="1:34" ht="15" thickBot="1" x14ac:dyDescent="0.35">
      <c r="A26" s="107" t="s">
        <v>864</v>
      </c>
      <c r="B26" s="108" t="s">
        <v>861</v>
      </c>
      <c r="C26" s="108" t="s">
        <v>862</v>
      </c>
      <c r="D26" s="109">
        <v>45716</v>
      </c>
      <c r="E26" s="110">
        <v>168000</v>
      </c>
      <c r="F26" s="108" t="s">
        <v>32</v>
      </c>
      <c r="G26" s="108" t="s">
        <v>33</v>
      </c>
      <c r="H26" s="110">
        <v>168000</v>
      </c>
      <c r="I26" s="110">
        <v>53100</v>
      </c>
      <c r="J26" s="111">
        <f t="shared" si="0"/>
        <v>31.607142857142854</v>
      </c>
      <c r="K26" s="110">
        <v>130396</v>
      </c>
      <c r="L26" s="110">
        <f>H26-124066</f>
        <v>43934</v>
      </c>
      <c r="M26" s="110">
        <v>6330</v>
      </c>
      <c r="N26" s="112">
        <f t="shared" si="1"/>
        <v>3.7678571428571429E-2</v>
      </c>
      <c r="O26" s="113">
        <v>41.37</v>
      </c>
      <c r="P26" s="114">
        <v>138</v>
      </c>
      <c r="Q26" s="115">
        <v>0.127</v>
      </c>
      <c r="R26" s="115">
        <v>0.127</v>
      </c>
      <c r="S26" s="110">
        <f t="shared" si="2"/>
        <v>1061.9772782209332</v>
      </c>
      <c r="T26" s="110">
        <f t="shared" si="3"/>
        <v>345937.00787401572</v>
      </c>
      <c r="U26" s="116">
        <f t="shared" si="4"/>
        <v>7.9416209337469175</v>
      </c>
      <c r="V26" s="115">
        <v>40</v>
      </c>
      <c r="W26" s="115">
        <f t="shared" si="5"/>
        <v>33600</v>
      </c>
      <c r="X26" s="115">
        <f t="shared" si="6"/>
        <v>840</v>
      </c>
      <c r="Y26" s="117" t="s">
        <v>863</v>
      </c>
      <c r="Z26" s="108" t="s">
        <v>35</v>
      </c>
      <c r="AA26" s="108" t="s">
        <v>35</v>
      </c>
      <c r="AB26" s="108" t="s">
        <v>864</v>
      </c>
      <c r="AC26" s="108">
        <v>0</v>
      </c>
      <c r="AD26" s="108">
        <v>1</v>
      </c>
      <c r="AE26" s="108" t="s">
        <v>37</v>
      </c>
      <c r="AF26" s="108" t="s">
        <v>35</v>
      </c>
      <c r="AG26" s="108" t="s">
        <v>38</v>
      </c>
      <c r="AH26" s="108" t="s">
        <v>92</v>
      </c>
    </row>
    <row r="27" spans="1:34" ht="15" thickTop="1" x14ac:dyDescent="0.3">
      <c r="A27" s="129"/>
      <c r="B27" s="130"/>
      <c r="C27" s="130"/>
      <c r="D27" s="131" t="s">
        <v>2876</v>
      </c>
      <c r="E27" s="132">
        <f>+SUM(E2:E26)</f>
        <v>3844200</v>
      </c>
      <c r="F27" s="130"/>
      <c r="G27" s="130"/>
      <c r="H27" s="132">
        <f>+SUM(H2:H26)</f>
        <v>3844200</v>
      </c>
      <c r="I27" s="132">
        <f>+SUM(I2:I26)</f>
        <v>1345100</v>
      </c>
      <c r="J27" s="133"/>
      <c r="K27" s="132">
        <f>+SUM(K2:K26)</f>
        <v>3456482</v>
      </c>
      <c r="L27" s="132">
        <f>+SUM(L2:L26)</f>
        <v>553435</v>
      </c>
      <c r="M27" s="132">
        <f>+SUM(M2:M26)</f>
        <v>165717</v>
      </c>
      <c r="N27" s="134">
        <f>AVERAGE(N2:N26)</f>
        <v>4.320662501244002E-2</v>
      </c>
      <c r="O27" s="135">
        <f>+SUM(O2:O26)</f>
        <v>1083.03</v>
      </c>
      <c r="P27" s="136"/>
      <c r="Q27" s="137">
        <f>+SUM(Q2:Q26)</f>
        <v>3.2369999999999992</v>
      </c>
      <c r="R27" s="137">
        <f>+SUM(R2:R26)</f>
        <v>3.2369999999999992</v>
      </c>
      <c r="S27" s="132"/>
      <c r="T27" s="132"/>
      <c r="U27" s="138"/>
      <c r="V27" s="137"/>
      <c r="W27" s="139">
        <f>AVERAGE(W2:W26)</f>
        <v>30753.599999999999</v>
      </c>
      <c r="X27" s="140">
        <f>AVERAGE(X2:X26)</f>
        <v>733.47523501565797</v>
      </c>
      <c r="Y27" s="141"/>
      <c r="Z27" s="130"/>
      <c r="AA27" s="130"/>
      <c r="AB27" s="130"/>
      <c r="AC27" s="130"/>
      <c r="AD27" s="130"/>
      <c r="AE27" s="130"/>
      <c r="AF27" s="130"/>
      <c r="AG27" s="130"/>
      <c r="AH27" s="130"/>
    </row>
    <row r="28" spans="1:34" x14ac:dyDescent="0.3">
      <c r="A28" s="142"/>
      <c r="B28" s="143"/>
      <c r="C28" s="143"/>
      <c r="D28" s="144"/>
      <c r="E28" s="145"/>
      <c r="F28" s="143"/>
      <c r="G28" s="143"/>
      <c r="H28" s="145"/>
      <c r="I28" s="145" t="s">
        <v>2877</v>
      </c>
      <c r="J28" s="146">
        <f>I27/H27*100</f>
        <v>34.990375110556158</v>
      </c>
      <c r="K28" s="145"/>
      <c r="L28" s="145"/>
      <c r="M28" s="145" t="s">
        <v>2879</v>
      </c>
      <c r="N28" s="147"/>
      <c r="O28" s="148"/>
      <c r="P28" s="149"/>
      <c r="Q28" s="150" t="s">
        <v>2879</v>
      </c>
      <c r="R28" s="150"/>
      <c r="S28" s="145"/>
      <c r="T28" s="145" t="s">
        <v>2879</v>
      </c>
      <c r="U28" s="151"/>
      <c r="V28" s="150"/>
      <c r="W28" s="152"/>
      <c r="X28" s="153"/>
      <c r="Y28" s="154"/>
      <c r="Z28" s="143"/>
      <c r="AA28" s="143"/>
      <c r="AB28" s="143"/>
      <c r="AC28" s="143"/>
      <c r="AD28" s="143"/>
      <c r="AE28" s="143"/>
      <c r="AF28" s="143"/>
      <c r="AG28" s="143"/>
      <c r="AH28" s="143"/>
    </row>
    <row r="29" spans="1:34" x14ac:dyDescent="0.3">
      <c r="A29" s="155"/>
      <c r="B29" s="156"/>
      <c r="C29" s="156"/>
      <c r="D29" s="157"/>
      <c r="E29" s="158"/>
      <c r="F29" s="156"/>
      <c r="G29" s="156"/>
      <c r="H29" s="158"/>
      <c r="I29" s="158" t="s">
        <v>2878</v>
      </c>
      <c r="J29" s="159">
        <f>STDEV(J2:J26)</f>
        <v>3.3645059594509239</v>
      </c>
      <c r="K29" s="158"/>
      <c r="L29" s="158"/>
      <c r="M29" s="158" t="s">
        <v>2880</v>
      </c>
      <c r="N29" s="160"/>
      <c r="O29" s="161">
        <f>L27/O27</f>
        <v>511.00615864749824</v>
      </c>
      <c r="P29" s="162"/>
      <c r="Q29" s="163" t="s">
        <v>2881</v>
      </c>
      <c r="R29" s="163">
        <f>L27/Q27</f>
        <v>170971.57862218108</v>
      </c>
      <c r="S29" s="158"/>
      <c r="T29" s="158" t="s">
        <v>2882</v>
      </c>
      <c r="U29" s="164">
        <f>L27/Q27/43560</f>
        <v>3.9249673696552132</v>
      </c>
      <c r="V29" s="163"/>
      <c r="W29" s="165"/>
      <c r="X29" s="166"/>
      <c r="Y29" s="167"/>
      <c r="Z29" s="156"/>
      <c r="AA29" s="156"/>
      <c r="AB29" s="156"/>
      <c r="AC29" s="156"/>
      <c r="AD29" s="156"/>
      <c r="AE29" s="156"/>
      <c r="AF29" s="156"/>
      <c r="AG29" s="156"/>
      <c r="AH29" s="156"/>
    </row>
    <row r="30" spans="1:34" customFormat="1" x14ac:dyDescent="0.3">
      <c r="A30" s="55"/>
      <c r="E30" s="94" t="s">
        <v>3099</v>
      </c>
      <c r="L30" s="95"/>
      <c r="N30" s="55"/>
      <c r="W30" s="65"/>
      <c r="X30" s="55"/>
    </row>
    <row r="31" spans="1:34" customFormat="1" x14ac:dyDescent="0.3">
      <c r="A31" s="55"/>
      <c r="E31" s="383" t="s">
        <v>3163</v>
      </c>
      <c r="F31" s="383"/>
      <c r="G31" s="383"/>
      <c r="H31" s="383"/>
      <c r="I31" s="383"/>
      <c r="J31" s="383"/>
      <c r="K31" s="383"/>
      <c r="L31" s="383"/>
      <c r="N31" s="55"/>
      <c r="W31" s="65"/>
      <c r="X31" s="55"/>
    </row>
    <row r="32" spans="1:34" customFormat="1" x14ac:dyDescent="0.3">
      <c r="A32" s="55"/>
      <c r="E32" s="383" t="s">
        <v>3164</v>
      </c>
      <c r="F32" s="383"/>
      <c r="G32" s="383"/>
      <c r="H32" s="383"/>
      <c r="I32" s="383"/>
      <c r="J32" s="383"/>
      <c r="K32" s="383"/>
      <c r="L32" s="383"/>
      <c r="N32" s="55"/>
      <c r="W32" s="65"/>
      <c r="X32" s="55"/>
    </row>
    <row r="33" spans="1:34" customFormat="1" x14ac:dyDescent="0.3">
      <c r="A33" s="55"/>
      <c r="E33" s="383" t="s">
        <v>3165</v>
      </c>
      <c r="F33" s="383"/>
      <c r="G33" s="383"/>
      <c r="H33" s="383"/>
      <c r="I33" s="383"/>
      <c r="J33" s="383"/>
      <c r="K33" s="383"/>
      <c r="L33" s="383"/>
      <c r="N33" s="55"/>
      <c r="W33" s="65"/>
      <c r="X33" s="55"/>
    </row>
    <row r="34" spans="1:34" customFormat="1" x14ac:dyDescent="0.3">
      <c r="A34" s="55"/>
      <c r="E34" s="383" t="s">
        <v>3166</v>
      </c>
      <c r="F34" s="383"/>
      <c r="G34" s="383"/>
      <c r="H34" s="383"/>
      <c r="I34" s="383"/>
      <c r="J34" s="96"/>
      <c r="K34" s="96"/>
      <c r="L34" s="96"/>
      <c r="N34" s="55"/>
      <c r="W34" s="65"/>
      <c r="X34" s="55"/>
    </row>
    <row r="35" spans="1:34" customFormat="1" x14ac:dyDescent="0.3">
      <c r="A35" s="55"/>
      <c r="E35" s="383" t="s">
        <v>3167</v>
      </c>
      <c r="F35" s="383"/>
      <c r="G35" s="383"/>
      <c r="H35" s="383"/>
      <c r="I35" s="383"/>
      <c r="L35" s="95"/>
      <c r="N35" s="55"/>
      <c r="W35" s="65"/>
      <c r="X35" s="55"/>
    </row>
    <row r="36" spans="1:34" customFormat="1" x14ac:dyDescent="0.3">
      <c r="A36" s="55"/>
      <c r="E36" s="383" t="s">
        <v>3100</v>
      </c>
      <c r="F36" s="383"/>
      <c r="G36" s="383"/>
      <c r="H36" s="383"/>
      <c r="I36" s="383"/>
      <c r="L36" s="95"/>
      <c r="N36" s="55"/>
      <c r="W36" s="65"/>
      <c r="X36" s="55"/>
    </row>
    <row r="37" spans="1:34" customFormat="1" x14ac:dyDescent="0.3">
      <c r="A37" s="55"/>
      <c r="E37" s="96"/>
      <c r="F37" s="96"/>
      <c r="G37" s="96"/>
      <c r="H37" s="96"/>
      <c r="I37" s="96"/>
      <c r="L37" s="95"/>
      <c r="N37" s="55"/>
      <c r="W37" s="65"/>
      <c r="X37" s="55"/>
    </row>
    <row r="38" spans="1:34" customFormat="1" x14ac:dyDescent="0.3">
      <c r="A38" s="55" t="s">
        <v>3092</v>
      </c>
      <c r="E38" s="96"/>
      <c r="F38" s="96"/>
      <c r="G38" s="96"/>
      <c r="H38" s="96"/>
      <c r="I38" s="96"/>
      <c r="L38" s="95"/>
      <c r="N38" s="55"/>
      <c r="W38" s="65"/>
      <c r="X38" s="55"/>
    </row>
    <row r="39" spans="1:34" x14ac:dyDescent="0.3">
      <c r="A39" s="107" t="s">
        <v>864</v>
      </c>
      <c r="B39" s="108" t="s">
        <v>933</v>
      </c>
      <c r="C39" s="108" t="s">
        <v>934</v>
      </c>
      <c r="D39" s="109">
        <v>45513</v>
      </c>
      <c r="E39" s="110">
        <v>55000</v>
      </c>
      <c r="F39" s="108" t="s">
        <v>32</v>
      </c>
      <c r="G39" s="108" t="s">
        <v>33</v>
      </c>
      <c r="H39" s="110">
        <v>55000</v>
      </c>
      <c r="I39" s="110">
        <v>47900</v>
      </c>
      <c r="J39" s="111">
        <f t="shared" ref="J39:J53" si="7">I39/H39*100</f>
        <v>87.090909090909079</v>
      </c>
      <c r="K39" s="110">
        <v>117209</v>
      </c>
      <c r="L39" s="110">
        <f>H39-111558</f>
        <v>-56558</v>
      </c>
      <c r="M39" s="110">
        <v>5651</v>
      </c>
      <c r="N39" s="112">
        <f t="shared" ref="N39:N53" si="8">M39/E39</f>
        <v>0.10274545454545454</v>
      </c>
      <c r="O39" s="113">
        <v>36.93</v>
      </c>
      <c r="P39" s="114">
        <v>110</v>
      </c>
      <c r="Q39" s="115">
        <v>0.10100000000000001</v>
      </c>
      <c r="R39" s="115">
        <v>0.10100000000000001</v>
      </c>
      <c r="S39" s="110">
        <f t="shared" ref="S39:S53" si="9">L39/O39</f>
        <v>-1531.4920119144326</v>
      </c>
      <c r="T39" s="110">
        <f t="shared" ref="T39:T53" si="10">L39/Q39</f>
        <v>-559980.19801980199</v>
      </c>
      <c r="U39" s="116">
        <f t="shared" ref="U39:U53" si="11">L39/Q39/43560</f>
        <v>-12.855376446735583</v>
      </c>
      <c r="V39" s="115">
        <v>40</v>
      </c>
      <c r="W39" s="115">
        <f t="shared" ref="W39:W53" si="12">0.2*E39</f>
        <v>11000</v>
      </c>
      <c r="X39" s="115">
        <f t="shared" ref="X39:X53" si="13">W39/V39</f>
        <v>275</v>
      </c>
      <c r="Y39" s="117" t="s">
        <v>863</v>
      </c>
      <c r="Z39" s="108" t="s">
        <v>35</v>
      </c>
      <c r="AA39" s="108" t="s">
        <v>35</v>
      </c>
      <c r="AB39" s="108" t="s">
        <v>864</v>
      </c>
      <c r="AC39" s="108">
        <v>0</v>
      </c>
      <c r="AD39" s="108">
        <v>1</v>
      </c>
      <c r="AE39" s="108" t="s">
        <v>42</v>
      </c>
      <c r="AF39" s="108" t="s">
        <v>43</v>
      </c>
      <c r="AG39" s="108" t="s">
        <v>38</v>
      </c>
      <c r="AH39" s="108" t="s">
        <v>92</v>
      </c>
    </row>
    <row r="40" spans="1:34" x14ac:dyDescent="0.3">
      <c r="A40" s="107" t="s">
        <v>864</v>
      </c>
      <c r="B40" s="108" t="s">
        <v>904</v>
      </c>
      <c r="C40" s="108" t="s">
        <v>905</v>
      </c>
      <c r="D40" s="109">
        <v>45595</v>
      </c>
      <c r="E40" s="110">
        <v>110000</v>
      </c>
      <c r="F40" s="108" t="s">
        <v>32</v>
      </c>
      <c r="G40" s="108" t="s">
        <v>33</v>
      </c>
      <c r="H40" s="110">
        <v>110000</v>
      </c>
      <c r="I40" s="110">
        <v>65600</v>
      </c>
      <c r="J40" s="111">
        <f t="shared" si="7"/>
        <v>59.636363636363633</v>
      </c>
      <c r="K40" s="110">
        <v>162545</v>
      </c>
      <c r="L40" s="110">
        <f>H40-155898</f>
        <v>-45898</v>
      </c>
      <c r="M40" s="110">
        <v>6647</v>
      </c>
      <c r="N40" s="112">
        <f t="shared" si="8"/>
        <v>6.0427272727272725E-2</v>
      </c>
      <c r="O40" s="113">
        <v>43.44</v>
      </c>
      <c r="P40" s="114">
        <v>138.02000000000001</v>
      </c>
      <c r="Q40" s="115">
        <v>0.13300000000000001</v>
      </c>
      <c r="R40" s="115">
        <v>0.13300000000000001</v>
      </c>
      <c r="S40" s="110">
        <f t="shared" si="9"/>
        <v>-1056.5837937384899</v>
      </c>
      <c r="T40" s="110">
        <f t="shared" si="10"/>
        <v>-345097.74436090223</v>
      </c>
      <c r="U40" s="116">
        <f t="shared" si="11"/>
        <v>-7.9223540946028974</v>
      </c>
      <c r="V40" s="115">
        <v>42</v>
      </c>
      <c r="W40" s="115">
        <f t="shared" si="12"/>
        <v>22000</v>
      </c>
      <c r="X40" s="115">
        <f t="shared" si="13"/>
        <v>523.80952380952385</v>
      </c>
      <c r="Y40" s="117" t="s">
        <v>863</v>
      </c>
      <c r="Z40" s="108" t="s">
        <v>35</v>
      </c>
      <c r="AA40" s="108" t="s">
        <v>35</v>
      </c>
      <c r="AB40" s="108" t="s">
        <v>864</v>
      </c>
      <c r="AC40" s="108">
        <v>0</v>
      </c>
      <c r="AD40" s="108">
        <v>1</v>
      </c>
      <c r="AE40" s="108" t="s">
        <v>37</v>
      </c>
      <c r="AF40" s="108" t="s">
        <v>35</v>
      </c>
      <c r="AG40" s="108" t="s">
        <v>38</v>
      </c>
      <c r="AH40" s="108" t="s">
        <v>92</v>
      </c>
    </row>
    <row r="41" spans="1:34" x14ac:dyDescent="0.3">
      <c r="A41" s="107" t="s">
        <v>864</v>
      </c>
      <c r="B41" s="108" t="s">
        <v>898</v>
      </c>
      <c r="C41" s="108" t="s">
        <v>899</v>
      </c>
      <c r="D41" s="109">
        <v>45481</v>
      </c>
      <c r="E41" s="110">
        <v>40000</v>
      </c>
      <c r="F41" s="108" t="s">
        <v>32</v>
      </c>
      <c r="G41" s="108" t="s">
        <v>33</v>
      </c>
      <c r="H41" s="110">
        <v>40000</v>
      </c>
      <c r="I41" s="110">
        <v>61400</v>
      </c>
      <c r="J41" s="111">
        <f t="shared" si="7"/>
        <v>153.5</v>
      </c>
      <c r="K41" s="110">
        <v>149615</v>
      </c>
      <c r="L41" s="110">
        <f>H41-135488</f>
        <v>-95488</v>
      </c>
      <c r="M41" s="110">
        <v>14127</v>
      </c>
      <c r="N41" s="112">
        <f t="shared" si="8"/>
        <v>0.35317500000000002</v>
      </c>
      <c r="O41" s="113">
        <v>92.33</v>
      </c>
      <c r="P41" s="114">
        <v>109.98</v>
      </c>
      <c r="Q41" s="115">
        <v>0.252</v>
      </c>
      <c r="R41" s="115">
        <v>0.252</v>
      </c>
      <c r="S41" s="110">
        <f t="shared" si="9"/>
        <v>-1034.2034008447959</v>
      </c>
      <c r="T41" s="110">
        <f t="shared" si="10"/>
        <v>-378920.63492063491</v>
      </c>
      <c r="U41" s="116">
        <f t="shared" si="11"/>
        <v>-8.6988208200329407</v>
      </c>
      <c r="V41" s="115">
        <v>100</v>
      </c>
      <c r="W41" s="115">
        <f t="shared" si="12"/>
        <v>8000</v>
      </c>
      <c r="X41" s="115">
        <f t="shared" si="13"/>
        <v>80</v>
      </c>
      <c r="Y41" s="117" t="s">
        <v>863</v>
      </c>
      <c r="Z41" s="108" t="s">
        <v>35</v>
      </c>
      <c r="AA41" s="108" t="s">
        <v>35</v>
      </c>
      <c r="AB41" s="108" t="s">
        <v>864</v>
      </c>
      <c r="AC41" s="108">
        <v>0</v>
      </c>
      <c r="AD41" s="108">
        <v>1</v>
      </c>
      <c r="AE41" s="108" t="s">
        <v>42</v>
      </c>
      <c r="AF41" s="108" t="s">
        <v>43</v>
      </c>
      <c r="AG41" s="108" t="s">
        <v>38</v>
      </c>
      <c r="AH41" s="108" t="s">
        <v>92</v>
      </c>
    </row>
    <row r="42" spans="1:34" x14ac:dyDescent="0.3">
      <c r="A42" s="107" t="s">
        <v>864</v>
      </c>
      <c r="B42" s="108" t="s">
        <v>871</v>
      </c>
      <c r="C42" s="108" t="s">
        <v>872</v>
      </c>
      <c r="D42" s="109">
        <v>45563</v>
      </c>
      <c r="E42" s="110">
        <v>150000</v>
      </c>
      <c r="F42" s="108" t="s">
        <v>32</v>
      </c>
      <c r="G42" s="108" t="s">
        <v>33</v>
      </c>
      <c r="H42" s="110">
        <v>150000</v>
      </c>
      <c r="I42" s="110">
        <v>26500</v>
      </c>
      <c r="J42" s="111">
        <f t="shared" si="7"/>
        <v>17.666666666666668</v>
      </c>
      <c r="K42" s="110">
        <v>62416</v>
      </c>
      <c r="L42" s="110">
        <f>H42-56086</f>
        <v>93914</v>
      </c>
      <c r="M42" s="110">
        <v>6330</v>
      </c>
      <c r="N42" s="112">
        <f t="shared" si="8"/>
        <v>4.2200000000000001E-2</v>
      </c>
      <c r="O42" s="113">
        <v>41.37</v>
      </c>
      <c r="P42" s="114">
        <v>138</v>
      </c>
      <c r="Q42" s="115">
        <v>0.127</v>
      </c>
      <c r="R42" s="115">
        <v>0.127</v>
      </c>
      <c r="S42" s="110">
        <f t="shared" si="9"/>
        <v>2270.0991056321009</v>
      </c>
      <c r="T42" s="110">
        <f t="shared" si="10"/>
        <v>739480.31496062991</v>
      </c>
      <c r="U42" s="116">
        <f t="shared" si="11"/>
        <v>16.97613211571694</v>
      </c>
      <c r="V42" s="115">
        <v>40</v>
      </c>
      <c r="W42" s="115">
        <f t="shared" si="12"/>
        <v>30000</v>
      </c>
      <c r="X42" s="115">
        <f t="shared" si="13"/>
        <v>750</v>
      </c>
      <c r="Y42" s="117" t="s">
        <v>863</v>
      </c>
      <c r="Z42" s="108" t="s">
        <v>35</v>
      </c>
      <c r="AA42" s="108" t="s">
        <v>35</v>
      </c>
      <c r="AB42" s="108" t="s">
        <v>864</v>
      </c>
      <c r="AC42" s="108">
        <v>0</v>
      </c>
      <c r="AD42" s="108">
        <v>1</v>
      </c>
      <c r="AE42" s="108" t="s">
        <v>37</v>
      </c>
      <c r="AF42" s="108" t="s">
        <v>35</v>
      </c>
      <c r="AG42" s="108" t="s">
        <v>38</v>
      </c>
      <c r="AH42" s="108" t="s">
        <v>92</v>
      </c>
    </row>
    <row r="43" spans="1:34" x14ac:dyDescent="0.3">
      <c r="A43" s="107" t="s">
        <v>864</v>
      </c>
      <c r="B43" s="108" t="s">
        <v>902</v>
      </c>
      <c r="C43" s="108" t="s">
        <v>903</v>
      </c>
      <c r="D43" s="109">
        <v>45099</v>
      </c>
      <c r="E43" s="110">
        <v>145000</v>
      </c>
      <c r="F43" s="108" t="s">
        <v>32</v>
      </c>
      <c r="G43" s="108" t="s">
        <v>33</v>
      </c>
      <c r="H43" s="110">
        <v>145000</v>
      </c>
      <c r="I43" s="110">
        <v>59400</v>
      </c>
      <c r="J43" s="111">
        <f t="shared" si="7"/>
        <v>40.96551724137931</v>
      </c>
      <c r="K43" s="110">
        <v>171325</v>
      </c>
      <c r="L43" s="110">
        <f>H43-164995</f>
        <v>-19995</v>
      </c>
      <c r="M43" s="110">
        <v>6330</v>
      </c>
      <c r="N43" s="112">
        <f t="shared" si="8"/>
        <v>4.3655172413793103E-2</v>
      </c>
      <c r="O43" s="113">
        <v>41.37</v>
      </c>
      <c r="P43" s="114">
        <v>138</v>
      </c>
      <c r="Q43" s="115">
        <v>0.127</v>
      </c>
      <c r="R43" s="115">
        <v>0.127</v>
      </c>
      <c r="S43" s="110">
        <f t="shared" si="9"/>
        <v>-483.32124728063815</v>
      </c>
      <c r="T43" s="110">
        <f t="shared" si="10"/>
        <v>-157440.94488188977</v>
      </c>
      <c r="U43" s="116">
        <f t="shared" si="11"/>
        <v>-3.6143467603739614</v>
      </c>
      <c r="V43" s="115">
        <v>40</v>
      </c>
      <c r="W43" s="115">
        <f t="shared" si="12"/>
        <v>29000</v>
      </c>
      <c r="X43" s="115">
        <f t="shared" si="13"/>
        <v>725</v>
      </c>
      <c r="Y43" s="117" t="s">
        <v>863</v>
      </c>
      <c r="Z43" s="108" t="s">
        <v>35</v>
      </c>
      <c r="AA43" s="108" t="s">
        <v>35</v>
      </c>
      <c r="AB43" s="108" t="s">
        <v>864</v>
      </c>
      <c r="AC43" s="108">
        <v>0</v>
      </c>
      <c r="AD43" s="108">
        <v>1</v>
      </c>
      <c r="AE43" s="108" t="s">
        <v>42</v>
      </c>
      <c r="AF43" s="108" t="s">
        <v>43</v>
      </c>
      <c r="AG43" s="108" t="s">
        <v>38</v>
      </c>
      <c r="AH43" s="108" t="s">
        <v>92</v>
      </c>
    </row>
    <row r="44" spans="1:34" x14ac:dyDescent="0.3">
      <c r="A44" s="107" t="s">
        <v>864</v>
      </c>
      <c r="B44" s="108" t="s">
        <v>882</v>
      </c>
      <c r="C44" s="108" t="s">
        <v>883</v>
      </c>
      <c r="D44" s="109">
        <v>45485</v>
      </c>
      <c r="E44" s="110">
        <v>77000</v>
      </c>
      <c r="F44" s="108" t="s">
        <v>32</v>
      </c>
      <c r="G44" s="108" t="s">
        <v>33</v>
      </c>
      <c r="H44" s="110">
        <v>77000</v>
      </c>
      <c r="I44" s="110">
        <v>41500</v>
      </c>
      <c r="J44" s="111">
        <f t="shared" si="7"/>
        <v>53.896103896103895</v>
      </c>
      <c r="K44" s="110">
        <v>102041</v>
      </c>
      <c r="L44" s="110">
        <f>H44-95670</f>
        <v>-18670</v>
      </c>
      <c r="M44" s="110">
        <v>6371</v>
      </c>
      <c r="N44" s="112">
        <f t="shared" si="8"/>
        <v>8.2740259740259739E-2</v>
      </c>
      <c r="O44" s="113">
        <v>41.63</v>
      </c>
      <c r="P44" s="114">
        <v>139.93</v>
      </c>
      <c r="Q44" s="115">
        <v>0.128</v>
      </c>
      <c r="R44" s="115">
        <v>0.128</v>
      </c>
      <c r="S44" s="110">
        <f t="shared" si="9"/>
        <v>-448.47465769877488</v>
      </c>
      <c r="T44" s="110">
        <f t="shared" si="10"/>
        <v>-145859.375</v>
      </c>
      <c r="U44" s="116">
        <f t="shared" si="11"/>
        <v>-3.3484705004591366</v>
      </c>
      <c r="V44" s="115">
        <v>39.979999999999997</v>
      </c>
      <c r="W44" s="115">
        <f t="shared" si="12"/>
        <v>15400</v>
      </c>
      <c r="X44" s="115">
        <f t="shared" si="13"/>
        <v>385.19259629814911</v>
      </c>
      <c r="Y44" s="117" t="s">
        <v>863</v>
      </c>
      <c r="Z44" s="108" t="s">
        <v>35</v>
      </c>
      <c r="AA44" s="108" t="s">
        <v>35</v>
      </c>
      <c r="AB44" s="108" t="s">
        <v>864</v>
      </c>
      <c r="AC44" s="108">
        <v>0</v>
      </c>
      <c r="AD44" s="108">
        <v>1</v>
      </c>
      <c r="AE44" s="108" t="s">
        <v>42</v>
      </c>
      <c r="AF44" s="108" t="s">
        <v>43</v>
      </c>
      <c r="AG44" s="108" t="s">
        <v>38</v>
      </c>
      <c r="AH44" s="108" t="s">
        <v>92</v>
      </c>
    </row>
    <row r="45" spans="1:34" x14ac:dyDescent="0.3">
      <c r="A45" s="118" t="s">
        <v>864</v>
      </c>
      <c r="B45" s="119" t="s">
        <v>886</v>
      </c>
      <c r="C45" s="119" t="s">
        <v>887</v>
      </c>
      <c r="D45" s="120">
        <v>45100</v>
      </c>
      <c r="E45" s="121">
        <v>130000</v>
      </c>
      <c r="F45" s="119" t="s">
        <v>32</v>
      </c>
      <c r="G45" s="119" t="s">
        <v>33</v>
      </c>
      <c r="H45" s="121">
        <v>130000</v>
      </c>
      <c r="I45" s="121">
        <v>52100</v>
      </c>
      <c r="J45" s="122">
        <f t="shared" si="7"/>
        <v>40.07692307692308</v>
      </c>
      <c r="K45" s="121">
        <v>154738</v>
      </c>
      <c r="L45" s="121">
        <f>H45-148408</f>
        <v>-18408</v>
      </c>
      <c r="M45" s="121">
        <v>6330</v>
      </c>
      <c r="N45" s="123">
        <f t="shared" si="8"/>
        <v>4.8692307692307694E-2</v>
      </c>
      <c r="O45" s="124">
        <v>41.37</v>
      </c>
      <c r="P45" s="125">
        <v>138.02000000000001</v>
      </c>
      <c r="Q45" s="126">
        <v>0.127</v>
      </c>
      <c r="R45" s="126">
        <v>0.127</v>
      </c>
      <c r="S45" s="121">
        <f t="shared" si="9"/>
        <v>-444.96011602610588</v>
      </c>
      <c r="T45" s="121">
        <f t="shared" si="10"/>
        <v>-144944.88188976378</v>
      </c>
      <c r="U45" s="127">
        <f t="shared" si="11"/>
        <v>-3.3274766274050456</v>
      </c>
      <c r="V45" s="126">
        <v>40</v>
      </c>
      <c r="W45" s="126">
        <f t="shared" si="12"/>
        <v>26000</v>
      </c>
      <c r="X45" s="126">
        <f t="shared" si="13"/>
        <v>650</v>
      </c>
      <c r="Y45" s="128" t="s">
        <v>863</v>
      </c>
      <c r="Z45" s="119" t="s">
        <v>35</v>
      </c>
      <c r="AA45" s="119" t="s">
        <v>35</v>
      </c>
      <c r="AB45" s="119" t="s">
        <v>864</v>
      </c>
      <c r="AC45" s="119">
        <v>0</v>
      </c>
      <c r="AD45" s="119">
        <v>1</v>
      </c>
      <c r="AE45" s="119" t="s">
        <v>42</v>
      </c>
      <c r="AF45" s="119" t="s">
        <v>43</v>
      </c>
      <c r="AG45" s="119" t="s">
        <v>38</v>
      </c>
      <c r="AH45" s="119" t="s">
        <v>92</v>
      </c>
    </row>
    <row r="46" spans="1:34" x14ac:dyDescent="0.3">
      <c r="A46" s="118" t="s">
        <v>864</v>
      </c>
      <c r="B46" s="119" t="s">
        <v>915</v>
      </c>
      <c r="C46" s="119" t="s">
        <v>916</v>
      </c>
      <c r="D46" s="120">
        <v>45019</v>
      </c>
      <c r="E46" s="121">
        <v>132000</v>
      </c>
      <c r="F46" s="119" t="s">
        <v>32</v>
      </c>
      <c r="G46" s="119" t="s">
        <v>33</v>
      </c>
      <c r="H46" s="121">
        <v>132000</v>
      </c>
      <c r="I46" s="121">
        <v>52700</v>
      </c>
      <c r="J46" s="122">
        <f t="shared" si="7"/>
        <v>39.924242424242422</v>
      </c>
      <c r="K46" s="121">
        <v>153318</v>
      </c>
      <c r="L46" s="121">
        <f>H46-146988</f>
        <v>-14988</v>
      </c>
      <c r="M46" s="121">
        <v>6330</v>
      </c>
      <c r="N46" s="123">
        <f t="shared" si="8"/>
        <v>4.7954545454545451E-2</v>
      </c>
      <c r="O46" s="124">
        <v>41.37</v>
      </c>
      <c r="P46" s="125">
        <v>138</v>
      </c>
      <c r="Q46" s="126">
        <v>0.127</v>
      </c>
      <c r="R46" s="126">
        <v>0.127</v>
      </c>
      <c r="S46" s="121">
        <f t="shared" si="9"/>
        <v>-362.29151559100802</v>
      </c>
      <c r="T46" s="121">
        <f t="shared" si="10"/>
        <v>-118015.74803149606</v>
      </c>
      <c r="U46" s="127">
        <f t="shared" si="11"/>
        <v>-2.7092687794191015</v>
      </c>
      <c r="V46" s="126">
        <v>40</v>
      </c>
      <c r="W46" s="126">
        <f t="shared" si="12"/>
        <v>26400</v>
      </c>
      <c r="X46" s="126">
        <f t="shared" si="13"/>
        <v>660</v>
      </c>
      <c r="Y46" s="128" t="s">
        <v>863</v>
      </c>
      <c r="Z46" s="119" t="s">
        <v>35</v>
      </c>
      <c r="AA46" s="119" t="s">
        <v>35</v>
      </c>
      <c r="AB46" s="119" t="s">
        <v>864</v>
      </c>
      <c r="AC46" s="119">
        <v>0</v>
      </c>
      <c r="AD46" s="119">
        <v>1</v>
      </c>
      <c r="AE46" s="119" t="s">
        <v>42</v>
      </c>
      <c r="AF46" s="119" t="s">
        <v>43</v>
      </c>
      <c r="AG46" s="119" t="s">
        <v>38</v>
      </c>
      <c r="AH46" s="119" t="s">
        <v>92</v>
      </c>
    </row>
    <row r="47" spans="1:34" x14ac:dyDescent="0.3">
      <c r="A47" s="118" t="s">
        <v>864</v>
      </c>
      <c r="B47" s="119" t="s">
        <v>867</v>
      </c>
      <c r="C47" s="119" t="s">
        <v>868</v>
      </c>
      <c r="D47" s="120">
        <v>45519</v>
      </c>
      <c r="E47" s="121">
        <v>128000</v>
      </c>
      <c r="F47" s="119" t="s">
        <v>32</v>
      </c>
      <c r="G47" s="119" t="s">
        <v>33</v>
      </c>
      <c r="H47" s="121">
        <v>128000</v>
      </c>
      <c r="I47" s="121">
        <v>84000</v>
      </c>
      <c r="J47" s="122">
        <f t="shared" si="7"/>
        <v>65.625</v>
      </c>
      <c r="K47" s="121">
        <v>167520</v>
      </c>
      <c r="L47" s="121">
        <f>H47-154860</f>
        <v>-26860</v>
      </c>
      <c r="M47" s="121">
        <v>12660</v>
      </c>
      <c r="N47" s="123">
        <f t="shared" si="8"/>
        <v>9.8906250000000001E-2</v>
      </c>
      <c r="O47" s="124">
        <v>82.74</v>
      </c>
      <c r="P47" s="125">
        <v>138</v>
      </c>
      <c r="Q47" s="126">
        <v>0.253</v>
      </c>
      <c r="R47" s="126">
        <v>0.253</v>
      </c>
      <c r="S47" s="121">
        <f t="shared" si="9"/>
        <v>-324.63137539279671</v>
      </c>
      <c r="T47" s="121">
        <f t="shared" si="10"/>
        <v>-106166.00790513834</v>
      </c>
      <c r="U47" s="127">
        <f t="shared" si="11"/>
        <v>-2.4372361778039102</v>
      </c>
      <c r="V47" s="126">
        <v>80</v>
      </c>
      <c r="W47" s="126">
        <f t="shared" si="12"/>
        <v>25600</v>
      </c>
      <c r="X47" s="126">
        <f t="shared" si="13"/>
        <v>320</v>
      </c>
      <c r="Y47" s="128" t="s">
        <v>863</v>
      </c>
      <c r="Z47" s="119" t="s">
        <v>35</v>
      </c>
      <c r="AA47" s="119" t="s">
        <v>35</v>
      </c>
      <c r="AB47" s="119" t="s">
        <v>864</v>
      </c>
      <c r="AC47" s="119">
        <v>0</v>
      </c>
      <c r="AD47" s="119">
        <v>1</v>
      </c>
      <c r="AE47" s="119" t="s">
        <v>42</v>
      </c>
      <c r="AF47" s="119" t="s">
        <v>43</v>
      </c>
      <c r="AG47" s="119" t="s">
        <v>38</v>
      </c>
      <c r="AH47" s="119" t="s">
        <v>92</v>
      </c>
    </row>
    <row r="48" spans="1:34" x14ac:dyDescent="0.3">
      <c r="A48" s="107" t="s">
        <v>864</v>
      </c>
      <c r="B48" s="108" t="s">
        <v>919</v>
      </c>
      <c r="C48" s="108" t="s">
        <v>920</v>
      </c>
      <c r="D48" s="109">
        <v>45576</v>
      </c>
      <c r="E48" s="110">
        <v>107000</v>
      </c>
      <c r="F48" s="108" t="s">
        <v>32</v>
      </c>
      <c r="G48" s="108" t="s">
        <v>33</v>
      </c>
      <c r="H48" s="110">
        <v>107000</v>
      </c>
      <c r="I48" s="110">
        <v>51400</v>
      </c>
      <c r="J48" s="111">
        <f t="shared" si="7"/>
        <v>48.037383177570092</v>
      </c>
      <c r="K48" s="110">
        <v>125239</v>
      </c>
      <c r="L48" s="110">
        <f>H48-118930</f>
        <v>-11930</v>
      </c>
      <c r="M48" s="110">
        <v>6309</v>
      </c>
      <c r="N48" s="112">
        <f t="shared" si="8"/>
        <v>5.8962616822429904E-2</v>
      </c>
      <c r="O48" s="113">
        <v>41.23</v>
      </c>
      <c r="P48" s="114">
        <v>137.07</v>
      </c>
      <c r="Q48" s="115">
        <v>0.126</v>
      </c>
      <c r="R48" s="115">
        <v>0.126</v>
      </c>
      <c r="S48" s="110">
        <f t="shared" si="9"/>
        <v>-289.35241329129275</v>
      </c>
      <c r="T48" s="110">
        <f t="shared" si="10"/>
        <v>-94682.539682539675</v>
      </c>
      <c r="U48" s="116">
        <f t="shared" si="11"/>
        <v>-2.1736120220968704</v>
      </c>
      <c r="V48" s="115">
        <v>40</v>
      </c>
      <c r="W48" s="115">
        <f t="shared" si="12"/>
        <v>21400</v>
      </c>
      <c r="X48" s="115">
        <f t="shared" si="13"/>
        <v>535</v>
      </c>
      <c r="Y48" s="117" t="s">
        <v>863</v>
      </c>
      <c r="Z48" s="108" t="s">
        <v>35</v>
      </c>
      <c r="AA48" s="108" t="s">
        <v>35</v>
      </c>
      <c r="AB48" s="108" t="s">
        <v>864</v>
      </c>
      <c r="AC48" s="108">
        <v>0</v>
      </c>
      <c r="AD48" s="108">
        <v>1</v>
      </c>
      <c r="AE48" s="108" t="s">
        <v>42</v>
      </c>
      <c r="AF48" s="108" t="s">
        <v>35</v>
      </c>
      <c r="AG48" s="108" t="s">
        <v>38</v>
      </c>
      <c r="AH48" s="108" t="s">
        <v>92</v>
      </c>
    </row>
    <row r="49" spans="1:34" x14ac:dyDescent="0.3">
      <c r="A49" s="118" t="s">
        <v>864</v>
      </c>
      <c r="B49" s="119" t="s">
        <v>929</v>
      </c>
      <c r="C49" s="119" t="s">
        <v>930</v>
      </c>
      <c r="D49" s="120">
        <v>45021</v>
      </c>
      <c r="E49" s="121">
        <v>110000</v>
      </c>
      <c r="F49" s="119" t="s">
        <v>32</v>
      </c>
      <c r="G49" s="119" t="s">
        <v>33</v>
      </c>
      <c r="H49" s="121">
        <v>110000</v>
      </c>
      <c r="I49" s="121">
        <v>43600</v>
      </c>
      <c r="J49" s="122">
        <f t="shared" si="7"/>
        <v>39.636363636363633</v>
      </c>
      <c r="K49" s="121">
        <v>124270</v>
      </c>
      <c r="L49" s="121">
        <f>H49-117816</f>
        <v>-7816</v>
      </c>
      <c r="M49" s="121">
        <v>6454</v>
      </c>
      <c r="N49" s="123">
        <f t="shared" si="8"/>
        <v>5.8672727272727272E-2</v>
      </c>
      <c r="O49" s="124">
        <v>42.18</v>
      </c>
      <c r="P49" s="125">
        <v>143.47</v>
      </c>
      <c r="Q49" s="126">
        <v>0.13200000000000001</v>
      </c>
      <c r="R49" s="126">
        <v>0.13200000000000001</v>
      </c>
      <c r="S49" s="121">
        <f t="shared" si="9"/>
        <v>-185.30109056424845</v>
      </c>
      <c r="T49" s="121">
        <f t="shared" si="10"/>
        <v>-59212.121212121208</v>
      </c>
      <c r="U49" s="127">
        <f t="shared" si="11"/>
        <v>-1.3593232601497063</v>
      </c>
      <c r="V49" s="126">
        <v>40</v>
      </c>
      <c r="W49" s="126">
        <f t="shared" si="12"/>
        <v>22000</v>
      </c>
      <c r="X49" s="126">
        <f t="shared" si="13"/>
        <v>550</v>
      </c>
      <c r="Y49" s="128" t="s">
        <v>863</v>
      </c>
      <c r="Z49" s="119" t="s">
        <v>35</v>
      </c>
      <c r="AA49" s="119" t="s">
        <v>35</v>
      </c>
      <c r="AB49" s="119" t="s">
        <v>864</v>
      </c>
      <c r="AC49" s="119">
        <v>0</v>
      </c>
      <c r="AD49" s="119">
        <v>1</v>
      </c>
      <c r="AE49" s="119" t="s">
        <v>42</v>
      </c>
      <c r="AF49" s="119" t="s">
        <v>43</v>
      </c>
      <c r="AG49" s="119" t="s">
        <v>38</v>
      </c>
      <c r="AH49" s="119" t="s">
        <v>92</v>
      </c>
    </row>
    <row r="50" spans="1:34" x14ac:dyDescent="0.3">
      <c r="A50" s="118" t="s">
        <v>864</v>
      </c>
      <c r="B50" s="119" t="s">
        <v>906</v>
      </c>
      <c r="C50" s="119" t="s">
        <v>907</v>
      </c>
      <c r="D50" s="120">
        <v>45189</v>
      </c>
      <c r="E50" s="121">
        <v>155000</v>
      </c>
      <c r="F50" s="119" t="s">
        <v>32</v>
      </c>
      <c r="G50" s="119" t="s">
        <v>33</v>
      </c>
      <c r="H50" s="121">
        <v>155000</v>
      </c>
      <c r="I50" s="121">
        <v>58100</v>
      </c>
      <c r="J50" s="122">
        <f t="shared" si="7"/>
        <v>37.483870967741936</v>
      </c>
      <c r="K50" s="121">
        <v>169013</v>
      </c>
      <c r="L50" s="121">
        <f>H50-162366</f>
        <v>-7366</v>
      </c>
      <c r="M50" s="121">
        <v>6647</v>
      </c>
      <c r="N50" s="123">
        <f t="shared" si="8"/>
        <v>4.2883870967741933E-2</v>
      </c>
      <c r="O50" s="124">
        <v>43.44</v>
      </c>
      <c r="P50" s="125">
        <v>138.02000000000001</v>
      </c>
      <c r="Q50" s="126">
        <v>0.13300000000000001</v>
      </c>
      <c r="R50" s="126">
        <v>0.13300000000000001</v>
      </c>
      <c r="S50" s="121">
        <f t="shared" si="9"/>
        <v>-169.56721915285453</v>
      </c>
      <c r="T50" s="121">
        <f t="shared" si="10"/>
        <v>-55383.458646616542</v>
      </c>
      <c r="U50" s="127">
        <f t="shared" si="11"/>
        <v>-1.2714292618598839</v>
      </c>
      <c r="V50" s="126">
        <v>42</v>
      </c>
      <c r="W50" s="126">
        <f t="shared" si="12"/>
        <v>31000</v>
      </c>
      <c r="X50" s="126">
        <f t="shared" si="13"/>
        <v>738.09523809523807</v>
      </c>
      <c r="Y50" s="128" t="s">
        <v>863</v>
      </c>
      <c r="Z50" s="119" t="s">
        <v>35</v>
      </c>
      <c r="AA50" s="119" t="s">
        <v>35</v>
      </c>
      <c r="AB50" s="119" t="s">
        <v>864</v>
      </c>
      <c r="AC50" s="119">
        <v>0</v>
      </c>
      <c r="AD50" s="119">
        <v>1</v>
      </c>
      <c r="AE50" s="119" t="s">
        <v>37</v>
      </c>
      <c r="AF50" s="119" t="s">
        <v>43</v>
      </c>
      <c r="AG50" s="119" t="s">
        <v>38</v>
      </c>
      <c r="AH50" s="119" t="s">
        <v>92</v>
      </c>
    </row>
    <row r="51" spans="1:34" x14ac:dyDescent="0.3">
      <c r="A51" s="118" t="s">
        <v>864</v>
      </c>
      <c r="B51" s="119" t="s">
        <v>937</v>
      </c>
      <c r="C51" s="119" t="s">
        <v>938</v>
      </c>
      <c r="D51" s="120">
        <v>45023</v>
      </c>
      <c r="E51" s="121">
        <v>170000</v>
      </c>
      <c r="F51" s="119" t="s">
        <v>32</v>
      </c>
      <c r="G51" s="119" t="s">
        <v>33</v>
      </c>
      <c r="H51" s="121">
        <v>170000</v>
      </c>
      <c r="I51" s="121">
        <v>68800</v>
      </c>
      <c r="J51" s="122">
        <f t="shared" si="7"/>
        <v>40.470588235294116</v>
      </c>
      <c r="K51" s="121">
        <v>187441</v>
      </c>
      <c r="L51" s="121">
        <f>H51-174110</f>
        <v>-4110</v>
      </c>
      <c r="M51" s="121">
        <v>13331</v>
      </c>
      <c r="N51" s="123">
        <f t="shared" si="8"/>
        <v>7.8417647058823522E-2</v>
      </c>
      <c r="O51" s="124">
        <v>87.12</v>
      </c>
      <c r="P51" s="125">
        <v>153.01</v>
      </c>
      <c r="Q51" s="126">
        <v>0.28100000000000003</v>
      </c>
      <c r="R51" s="126">
        <v>0.28100000000000003</v>
      </c>
      <c r="S51" s="121">
        <f t="shared" si="9"/>
        <v>-47.176308539944898</v>
      </c>
      <c r="T51" s="121">
        <f t="shared" si="10"/>
        <v>-14626.334519572953</v>
      </c>
      <c r="U51" s="127">
        <f t="shared" si="11"/>
        <v>-0.33577443800672524</v>
      </c>
      <c r="V51" s="126">
        <v>80</v>
      </c>
      <c r="W51" s="126">
        <f t="shared" si="12"/>
        <v>34000</v>
      </c>
      <c r="X51" s="126">
        <f t="shared" si="13"/>
        <v>425</v>
      </c>
      <c r="Y51" s="128" t="s">
        <v>863</v>
      </c>
      <c r="Z51" s="119" t="s">
        <v>35</v>
      </c>
      <c r="AA51" s="119" t="s">
        <v>35</v>
      </c>
      <c r="AB51" s="119" t="s">
        <v>864</v>
      </c>
      <c r="AC51" s="119">
        <v>0</v>
      </c>
      <c r="AD51" s="119">
        <v>1</v>
      </c>
      <c r="AE51" s="119" t="s">
        <v>42</v>
      </c>
      <c r="AF51" s="119" t="s">
        <v>43</v>
      </c>
      <c r="AG51" s="119" t="s">
        <v>38</v>
      </c>
      <c r="AH51" s="119" t="s">
        <v>92</v>
      </c>
    </row>
    <row r="52" spans="1:34" x14ac:dyDescent="0.3">
      <c r="A52" s="107" t="s">
        <v>864</v>
      </c>
      <c r="B52" s="108" t="s">
        <v>910</v>
      </c>
      <c r="C52" s="108" t="s">
        <v>911</v>
      </c>
      <c r="D52" s="109">
        <v>45184</v>
      </c>
      <c r="E52" s="110">
        <v>163500</v>
      </c>
      <c r="F52" s="108" t="s">
        <v>32</v>
      </c>
      <c r="G52" s="108" t="s">
        <v>33</v>
      </c>
      <c r="H52" s="110">
        <v>163500</v>
      </c>
      <c r="I52" s="110">
        <v>62900</v>
      </c>
      <c r="J52" s="111">
        <f t="shared" si="7"/>
        <v>38.470948012232412</v>
      </c>
      <c r="K52" s="110">
        <v>179011</v>
      </c>
      <c r="L52" s="110">
        <f>H52-166350</f>
        <v>-2850</v>
      </c>
      <c r="M52" s="110">
        <v>12661</v>
      </c>
      <c r="N52" s="112">
        <f t="shared" si="8"/>
        <v>7.7437308868501531E-2</v>
      </c>
      <c r="O52" s="113">
        <v>82.74</v>
      </c>
      <c r="P52" s="114">
        <v>138.02000000000001</v>
      </c>
      <c r="Q52" s="115">
        <v>0.253</v>
      </c>
      <c r="R52" s="115">
        <v>0.253</v>
      </c>
      <c r="S52" s="110">
        <f t="shared" si="9"/>
        <v>-34.445250181290795</v>
      </c>
      <c r="T52" s="110">
        <f t="shared" si="10"/>
        <v>-11264.822134387352</v>
      </c>
      <c r="U52" s="116">
        <f t="shared" si="11"/>
        <v>-0.25860473219438368</v>
      </c>
      <c r="V52" s="115">
        <v>80</v>
      </c>
      <c r="W52" s="115">
        <f t="shared" si="12"/>
        <v>32700</v>
      </c>
      <c r="X52" s="115">
        <f t="shared" si="13"/>
        <v>408.75</v>
      </c>
      <c r="Y52" s="117" t="s">
        <v>863</v>
      </c>
      <c r="Z52" s="108" t="s">
        <v>35</v>
      </c>
      <c r="AA52" s="108" t="s">
        <v>35</v>
      </c>
      <c r="AB52" s="108" t="s">
        <v>864</v>
      </c>
      <c r="AC52" s="108">
        <v>0</v>
      </c>
      <c r="AD52" s="108">
        <v>1</v>
      </c>
      <c r="AE52" s="108" t="s">
        <v>912</v>
      </c>
      <c r="AF52" s="108" t="s">
        <v>43</v>
      </c>
      <c r="AG52" s="108" t="s">
        <v>38</v>
      </c>
      <c r="AH52" s="108" t="s">
        <v>92</v>
      </c>
    </row>
    <row r="53" spans="1:34" x14ac:dyDescent="0.3">
      <c r="A53" s="118" t="s">
        <v>864</v>
      </c>
      <c r="B53" s="119" t="s">
        <v>875</v>
      </c>
      <c r="C53" s="119" t="s">
        <v>876</v>
      </c>
      <c r="D53" s="120">
        <v>45551</v>
      </c>
      <c r="E53" s="121">
        <v>139900</v>
      </c>
      <c r="F53" s="119" t="s">
        <v>32</v>
      </c>
      <c r="G53" s="119" t="s">
        <v>33</v>
      </c>
      <c r="H53" s="121">
        <v>139900</v>
      </c>
      <c r="I53" s="121">
        <v>62600</v>
      </c>
      <c r="J53" s="122">
        <f t="shared" si="7"/>
        <v>44.746247319513941</v>
      </c>
      <c r="K53" s="121">
        <v>146934</v>
      </c>
      <c r="L53" s="121">
        <f>H53-140604</f>
        <v>-704</v>
      </c>
      <c r="M53" s="121">
        <v>6330</v>
      </c>
      <c r="N53" s="123">
        <f t="shared" si="8"/>
        <v>4.5246604717655466E-2</v>
      </c>
      <c r="O53" s="124">
        <v>41.37</v>
      </c>
      <c r="P53" s="125">
        <v>138</v>
      </c>
      <c r="Q53" s="126">
        <v>0.127</v>
      </c>
      <c r="R53" s="126">
        <v>0.127</v>
      </c>
      <c r="S53" s="121">
        <f t="shared" si="9"/>
        <v>-17.017162194827172</v>
      </c>
      <c r="T53" s="121">
        <f t="shared" si="10"/>
        <v>-5543.3070866141734</v>
      </c>
      <c r="U53" s="127">
        <f t="shared" si="11"/>
        <v>-0.12725682017020601</v>
      </c>
      <c r="V53" s="126">
        <v>40</v>
      </c>
      <c r="W53" s="126">
        <f t="shared" si="12"/>
        <v>27980</v>
      </c>
      <c r="X53" s="126">
        <f t="shared" si="13"/>
        <v>699.5</v>
      </c>
      <c r="Y53" s="128" t="s">
        <v>863</v>
      </c>
      <c r="Z53" s="119" t="s">
        <v>35</v>
      </c>
      <c r="AA53" s="119" t="s">
        <v>35</v>
      </c>
      <c r="AB53" s="119" t="s">
        <v>864</v>
      </c>
      <c r="AC53" s="119">
        <v>0</v>
      </c>
      <c r="AD53" s="119">
        <v>1</v>
      </c>
      <c r="AE53" s="119" t="s">
        <v>37</v>
      </c>
      <c r="AF53" s="119" t="s">
        <v>43</v>
      </c>
      <c r="AG53" s="119" t="s">
        <v>38</v>
      </c>
      <c r="AH53" s="119" t="s">
        <v>92</v>
      </c>
    </row>
  </sheetData>
  <sortState xmlns:xlrd2="http://schemas.microsoft.com/office/spreadsheetml/2017/richdata2" ref="A2:AH41">
    <sortCondition ref="S2:S41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>
    <tabColor rgb="FF00B050"/>
  </sheetPr>
  <dimension ref="A1:AH18"/>
  <sheetViews>
    <sheetView topLeftCell="A4" workbookViewId="0">
      <selection activeCell="D8" sqref="D8:M15"/>
    </sheetView>
  </sheetViews>
  <sheetFormatPr defaultRowHeight="14.4" x14ac:dyDescent="0.3"/>
  <cols>
    <col min="1" max="1" width="10.44140625" style="55" bestFit="1" customWidth="1" collapsed="1"/>
    <col min="2" max="2" width="16.88671875" bestFit="1" customWidth="1" collapsed="1"/>
    <col min="3" max="3" width="14.109375" bestFit="1" customWidth="1" collapsed="1"/>
    <col min="4" max="4" width="10.664062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966</v>
      </c>
      <c r="B2" s="10" t="s">
        <v>969</v>
      </c>
      <c r="C2" s="10" t="s">
        <v>970</v>
      </c>
      <c r="D2" s="11">
        <v>45719</v>
      </c>
      <c r="E2" s="12">
        <v>285000</v>
      </c>
      <c r="F2" s="10" t="s">
        <v>32</v>
      </c>
      <c r="G2" s="10" t="s">
        <v>33</v>
      </c>
      <c r="H2" s="12">
        <v>285000</v>
      </c>
      <c r="I2" s="12">
        <v>104500</v>
      </c>
      <c r="J2" s="13">
        <f>I2/H2*100</f>
        <v>36.666666666666664</v>
      </c>
      <c r="K2" s="12">
        <v>238335</v>
      </c>
      <c r="L2" s="12">
        <f>H2-205769</f>
        <v>79231</v>
      </c>
      <c r="M2" s="12">
        <v>32566</v>
      </c>
      <c r="N2" s="66">
        <f>M2/E2</f>
        <v>0.11426666666666667</v>
      </c>
      <c r="O2" s="14">
        <v>134.56</v>
      </c>
      <c r="P2" s="15">
        <v>304</v>
      </c>
      <c r="Q2" s="16">
        <v>0.94599999999999995</v>
      </c>
      <c r="R2" s="16">
        <v>0.94599999999999995</v>
      </c>
      <c r="S2" s="12">
        <f>L2/O2</f>
        <v>588.81539833531508</v>
      </c>
      <c r="T2" s="12">
        <f>L2/Q2</f>
        <v>83753.699788583515</v>
      </c>
      <c r="U2" s="17">
        <f>L2/Q2/43560</f>
        <v>1.9227203808214766</v>
      </c>
      <c r="V2" s="16">
        <v>129.81</v>
      </c>
      <c r="W2" s="16">
        <f>0.2*E2</f>
        <v>57000</v>
      </c>
      <c r="X2" s="16">
        <f>W2/V2</f>
        <v>439.10330483013632</v>
      </c>
      <c r="Y2" s="18" t="s">
        <v>965</v>
      </c>
      <c r="Z2" s="10" t="s">
        <v>35</v>
      </c>
      <c r="AA2" s="10" t="s">
        <v>35</v>
      </c>
      <c r="AB2" s="10" t="s">
        <v>966</v>
      </c>
      <c r="AC2" s="10">
        <v>0</v>
      </c>
      <c r="AD2" s="10">
        <v>1</v>
      </c>
      <c r="AE2" s="10" t="s">
        <v>42</v>
      </c>
      <c r="AF2" s="10" t="s">
        <v>35</v>
      </c>
      <c r="AG2" s="10" t="s">
        <v>38</v>
      </c>
      <c r="AH2" s="10" t="s">
        <v>92</v>
      </c>
    </row>
    <row r="3" spans="1:34" x14ac:dyDescent="0.3">
      <c r="A3" s="75" t="s">
        <v>966</v>
      </c>
      <c r="B3" s="19" t="s">
        <v>963</v>
      </c>
      <c r="C3" s="19" t="s">
        <v>964</v>
      </c>
      <c r="D3" s="20">
        <v>45184</v>
      </c>
      <c r="E3" s="21">
        <v>305000</v>
      </c>
      <c r="F3" s="19" t="s">
        <v>32</v>
      </c>
      <c r="G3" s="19" t="s">
        <v>33</v>
      </c>
      <c r="H3" s="21">
        <v>305000</v>
      </c>
      <c r="I3" s="21">
        <v>111600</v>
      </c>
      <c r="J3" s="22">
        <f>I3/H3*100</f>
        <v>36.590163934426229</v>
      </c>
      <c r="K3" s="21">
        <v>248533</v>
      </c>
      <c r="L3" s="21">
        <f>H3-228754</f>
        <v>76246</v>
      </c>
      <c r="M3" s="21">
        <v>19779</v>
      </c>
      <c r="N3" s="67">
        <f>M3/E3</f>
        <v>6.4849180327868849E-2</v>
      </c>
      <c r="O3" s="23">
        <v>81.73</v>
      </c>
      <c r="P3" s="24">
        <v>298.04000000000002</v>
      </c>
      <c r="Q3" s="25">
        <v>0.56100000000000005</v>
      </c>
      <c r="R3" s="25">
        <v>0.56100000000000005</v>
      </c>
      <c r="S3" s="21">
        <f>L3/O3</f>
        <v>932.90101553896977</v>
      </c>
      <c r="T3" s="21">
        <f>L3/Q3</f>
        <v>135910.87344028518</v>
      </c>
      <c r="U3" s="26">
        <f>L3/Q3/43560</f>
        <v>3.1200843305850592</v>
      </c>
      <c r="V3" s="25">
        <v>82</v>
      </c>
      <c r="W3" s="25">
        <f>0.2*E3</f>
        <v>61000</v>
      </c>
      <c r="X3" s="25">
        <f>W3/V3</f>
        <v>743.90243902439022</v>
      </c>
      <c r="Y3" s="27" t="s">
        <v>965</v>
      </c>
      <c r="Z3" s="19" t="s">
        <v>35</v>
      </c>
      <c r="AA3" s="19" t="s">
        <v>35</v>
      </c>
      <c r="AB3" s="19" t="s">
        <v>966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ht="15" thickBot="1" x14ac:dyDescent="0.35">
      <c r="A4" s="74" t="s">
        <v>966</v>
      </c>
      <c r="B4" s="10" t="s">
        <v>967</v>
      </c>
      <c r="C4" s="10" t="s">
        <v>968</v>
      </c>
      <c r="D4" s="11">
        <v>45345</v>
      </c>
      <c r="E4" s="12">
        <v>300000</v>
      </c>
      <c r="F4" s="10" t="s">
        <v>32</v>
      </c>
      <c r="G4" s="10" t="s">
        <v>33</v>
      </c>
      <c r="H4" s="12">
        <v>300000</v>
      </c>
      <c r="I4" s="12">
        <v>102600</v>
      </c>
      <c r="J4" s="13">
        <f>I4/H4*100</f>
        <v>34.200000000000003</v>
      </c>
      <c r="K4" s="12">
        <v>227760</v>
      </c>
      <c r="L4" s="12">
        <f>H4-207493</f>
        <v>92507</v>
      </c>
      <c r="M4" s="12">
        <v>20267</v>
      </c>
      <c r="N4" s="66">
        <f>M4/E4</f>
        <v>6.7556666666666668E-2</v>
      </c>
      <c r="O4" s="14">
        <v>83.74</v>
      </c>
      <c r="P4" s="15">
        <v>298.12</v>
      </c>
      <c r="Q4" s="16">
        <v>0.57499999999999996</v>
      </c>
      <c r="R4" s="16">
        <v>0.57499999999999996</v>
      </c>
      <c r="S4" s="12">
        <f>L4/O4</f>
        <v>1104.6930976833055</v>
      </c>
      <c r="T4" s="12">
        <f>L4/Q4</f>
        <v>160881.73913043478</v>
      </c>
      <c r="U4" s="17">
        <f>L4/Q4/43560</f>
        <v>3.6933365273286221</v>
      </c>
      <c r="V4" s="16">
        <v>84.01</v>
      </c>
      <c r="W4" s="16">
        <f>0.2*E4</f>
        <v>60000</v>
      </c>
      <c r="X4" s="16">
        <f>W4/V4</f>
        <v>714.20069039400062</v>
      </c>
      <c r="Y4" s="18" t="s">
        <v>965</v>
      </c>
      <c r="Z4" s="10" t="s">
        <v>35</v>
      </c>
      <c r="AA4" s="10" t="s">
        <v>35</v>
      </c>
      <c r="AB4" s="10" t="s">
        <v>966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890000</v>
      </c>
      <c r="F5" s="37"/>
      <c r="G5" s="37"/>
      <c r="H5" s="39">
        <f>+SUM(H2:H4)</f>
        <v>890000</v>
      </c>
      <c r="I5" s="39">
        <f>+SUM(I2:I4)</f>
        <v>318700</v>
      </c>
      <c r="J5" s="40"/>
      <c r="K5" s="39">
        <f>+SUM(K2:K4)</f>
        <v>714628</v>
      </c>
      <c r="L5" s="39">
        <f>+SUM(L2:L4)</f>
        <v>247984</v>
      </c>
      <c r="M5" s="39">
        <f>+SUM(M2:M4)</f>
        <v>72612</v>
      </c>
      <c r="N5" s="81">
        <f>AVERAGE(N2:N4)</f>
        <v>8.2224171220400724E-2</v>
      </c>
      <c r="O5" s="41">
        <f>+SUM(O2:O4)</f>
        <v>300.03000000000003</v>
      </c>
      <c r="P5" s="42"/>
      <c r="Q5" s="43">
        <f>+SUM(Q2:Q4)</f>
        <v>2.0819999999999999</v>
      </c>
      <c r="R5" s="43">
        <f>+SUM(R2:R4)</f>
        <v>2.0819999999999999</v>
      </c>
      <c r="S5" s="39"/>
      <c r="T5" s="39"/>
      <c r="U5" s="44"/>
      <c r="V5" s="43"/>
      <c r="W5" s="82">
        <f>AVERAGE(W2:W4)</f>
        <v>59333.333333333336</v>
      </c>
      <c r="X5" s="83">
        <f>AVERAGE(X2:X4)</f>
        <v>632.40214474950915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35.80898876404494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1.4025679274053318</v>
      </c>
      <c r="K7" s="48"/>
      <c r="L7" s="48"/>
      <c r="M7" s="48" t="s">
        <v>2880</v>
      </c>
      <c r="N7" s="80"/>
      <c r="O7" s="54">
        <f>L5/O5</f>
        <v>826.53068026530673</v>
      </c>
      <c r="P7" s="50"/>
      <c r="Q7" s="51" t="s">
        <v>2881</v>
      </c>
      <c r="R7" s="51">
        <f>L5/Q5</f>
        <v>119108.54947166187</v>
      </c>
      <c r="S7" s="48"/>
      <c r="T7" s="48" t="s">
        <v>2882</v>
      </c>
      <c r="U7" s="52">
        <f>L5/Q5/43560</f>
        <v>2.7343560484770859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5" t="s">
        <v>966</v>
      </c>
      <c r="B17" s="19" t="s">
        <v>973</v>
      </c>
      <c r="C17" s="19" t="s">
        <v>974</v>
      </c>
      <c r="D17" s="20">
        <v>45649</v>
      </c>
      <c r="E17" s="21">
        <v>142500</v>
      </c>
      <c r="F17" s="19" t="s">
        <v>81</v>
      </c>
      <c r="G17" s="19" t="s">
        <v>33</v>
      </c>
      <c r="H17" s="21">
        <v>142500</v>
      </c>
      <c r="I17" s="21">
        <v>74800</v>
      </c>
      <c r="J17" s="22">
        <f>I17/H17*100</f>
        <v>52.491228070175445</v>
      </c>
      <c r="K17" s="21">
        <v>311983</v>
      </c>
      <c r="L17" s="21">
        <f>H17-278363</f>
        <v>-135863</v>
      </c>
      <c r="M17" s="21">
        <v>33620</v>
      </c>
      <c r="N17" s="67">
        <f>M17/E17</f>
        <v>0.23592982456140352</v>
      </c>
      <c r="O17" s="23">
        <v>138.91999999999999</v>
      </c>
      <c r="P17" s="24">
        <v>304</v>
      </c>
      <c r="Q17" s="25">
        <v>0.96299999999999997</v>
      </c>
      <c r="R17" s="25">
        <v>0.96299999999999997</v>
      </c>
      <c r="S17" s="21">
        <f>L17/O17</f>
        <v>-977.99452922545356</v>
      </c>
      <c r="T17" s="21">
        <f>L17/Q17</f>
        <v>-141083.07372793354</v>
      </c>
      <c r="U17" s="26">
        <f>L17/Q17/43560</f>
        <v>-3.2388217109259307</v>
      </c>
      <c r="V17" s="25">
        <v>138.01</v>
      </c>
      <c r="W17" s="25">
        <f>0.2*E17</f>
        <v>28500</v>
      </c>
      <c r="X17" s="25">
        <f>W17/V17</f>
        <v>206.50677487138614</v>
      </c>
      <c r="Y17" s="27" t="s">
        <v>965</v>
      </c>
      <c r="Z17" s="19" t="s">
        <v>35</v>
      </c>
      <c r="AA17" s="19" t="s">
        <v>35</v>
      </c>
      <c r="AB17" s="19" t="s">
        <v>966</v>
      </c>
      <c r="AC17" s="19">
        <v>0</v>
      </c>
      <c r="AD17" s="19">
        <v>1</v>
      </c>
      <c r="AE17" s="19" t="s">
        <v>42</v>
      </c>
      <c r="AF17" s="19" t="s">
        <v>35</v>
      </c>
      <c r="AG17" s="19" t="s">
        <v>38</v>
      </c>
      <c r="AH17" s="19" t="s">
        <v>92</v>
      </c>
    </row>
    <row r="18" spans="1:34" x14ac:dyDescent="0.3">
      <c r="A18" s="75" t="s">
        <v>966</v>
      </c>
      <c r="B18" s="19" t="s">
        <v>971</v>
      </c>
      <c r="C18" s="19" t="s">
        <v>972</v>
      </c>
      <c r="D18" s="20">
        <v>45471</v>
      </c>
      <c r="E18" s="21">
        <v>70000</v>
      </c>
      <c r="F18" s="19" t="s">
        <v>32</v>
      </c>
      <c r="G18" s="19" t="s">
        <v>33</v>
      </c>
      <c r="H18" s="21">
        <v>70000</v>
      </c>
      <c r="I18" s="21">
        <v>75500</v>
      </c>
      <c r="J18" s="22">
        <f>I18/H18*100</f>
        <v>107.85714285714285</v>
      </c>
      <c r="K18" s="21">
        <v>112445</v>
      </c>
      <c r="L18" s="21">
        <f>H18-81100</f>
        <v>-11100</v>
      </c>
      <c r="M18" s="21">
        <v>31345</v>
      </c>
      <c r="N18" s="67">
        <f>M18/E18</f>
        <v>0.44778571428571429</v>
      </c>
      <c r="O18" s="23">
        <v>129.52000000000001</v>
      </c>
      <c r="P18" s="24">
        <v>304</v>
      </c>
      <c r="Q18" s="25">
        <v>0.97399999999999998</v>
      </c>
      <c r="R18" s="25">
        <v>0.96699999999999997</v>
      </c>
      <c r="S18" s="21">
        <f>L18/O18</f>
        <v>-85.701050030883252</v>
      </c>
      <c r="T18" s="21">
        <f>L18/Q18</f>
        <v>-11396.303901437372</v>
      </c>
      <c r="U18" s="26">
        <f>L18/Q18/43560</f>
        <v>-0.26162313823318117</v>
      </c>
      <c r="V18" s="25">
        <v>109</v>
      </c>
      <c r="W18" s="25">
        <f>0.2*E18</f>
        <v>14000</v>
      </c>
      <c r="X18" s="25">
        <f>W18/V18</f>
        <v>128.44036697247705</v>
      </c>
      <c r="Y18" s="27" t="s">
        <v>965</v>
      </c>
      <c r="Z18" s="19" t="s">
        <v>35</v>
      </c>
      <c r="AA18" s="19" t="s">
        <v>35</v>
      </c>
      <c r="AB18" s="19" t="s">
        <v>966</v>
      </c>
      <c r="AC18" s="19">
        <v>0</v>
      </c>
      <c r="AD18" s="19">
        <v>1</v>
      </c>
      <c r="AE18" s="19" t="s">
        <v>37</v>
      </c>
      <c r="AF18" s="19" t="s">
        <v>43</v>
      </c>
      <c r="AG18" s="19" t="s">
        <v>38</v>
      </c>
      <c r="AH18" s="19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AH21"/>
  <sheetViews>
    <sheetView topLeftCell="A4" workbookViewId="0">
      <selection activeCell="D10" sqref="D10:L17"/>
    </sheetView>
  </sheetViews>
  <sheetFormatPr defaultColWidth="9.109375" defaultRowHeight="14.4" x14ac:dyDescent="0.3"/>
  <cols>
    <col min="1" max="1" width="10.44140625" style="168" bestFit="1" customWidth="1" collapsed="1"/>
    <col min="2" max="3" width="16.88671875" style="106" bestFit="1" customWidth="1" collapsed="1"/>
    <col min="4" max="4" width="10.6640625" style="106" bestFit="1" customWidth="1" collapsed="1"/>
    <col min="5" max="5" width="9.5546875" style="106" bestFit="1" customWidth="1" collapsed="1"/>
    <col min="6" max="6" width="5.5546875" style="106" bestFit="1" customWidth="1" collapsed="1"/>
    <col min="7" max="7" width="17.33203125" style="106" bestFit="1" customWidth="1" collapsed="1"/>
    <col min="8" max="8" width="10.109375" style="106" bestFit="1" customWidth="1" collapsed="1"/>
    <col min="9" max="9" width="14.6640625" style="106" bestFit="1" customWidth="1" collapsed="1"/>
    <col min="10" max="10" width="12.88671875" style="106" bestFit="1" customWidth="1" collapsed="1"/>
    <col min="11" max="11" width="13.44140625" style="106" bestFit="1" customWidth="1" collapsed="1"/>
    <col min="12" max="12" width="13.33203125" style="106" bestFit="1" customWidth="1" collapsed="1"/>
    <col min="13" max="13" width="14.44140625" style="106" bestFit="1" customWidth="1" collapsed="1"/>
    <col min="14" max="14" width="7.6640625" style="168" bestFit="1" customWidth="1"/>
    <col min="15" max="15" width="11.109375" style="106" bestFit="1" customWidth="1" collapsed="1"/>
    <col min="16" max="16" width="6.44140625" style="106" bestFit="1" customWidth="1" collapsed="1"/>
    <col min="17" max="17" width="14.33203125" style="106" bestFit="1" customWidth="1" collapsed="1"/>
    <col min="18" max="18" width="10.6640625" style="106" bestFit="1" customWidth="1" collapsed="1"/>
    <col min="19" max="19" width="10" style="106" bestFit="1" customWidth="1" collapsed="1"/>
    <col min="20" max="20" width="12" style="106" bestFit="1" customWidth="1" collapsed="1"/>
    <col min="21" max="21" width="11.88671875" style="106" bestFit="1" customWidth="1" collapsed="1"/>
    <col min="22" max="22" width="11.6640625" style="106" bestFit="1" customWidth="1" collapsed="1"/>
    <col min="23" max="23" width="11.5546875" style="169" bestFit="1" customWidth="1"/>
    <col min="24" max="24" width="9" style="168" bestFit="1" customWidth="1"/>
    <col min="25" max="25" width="8.6640625" style="106" bestFit="1" customWidth="1" collapsed="1"/>
    <col min="26" max="26" width="10.5546875" style="106" bestFit="1" customWidth="1" collapsed="1"/>
    <col min="27" max="27" width="19.44140625" style="106" bestFit="1" customWidth="1" collapsed="1"/>
    <col min="28" max="28" width="10.44140625" style="106" bestFit="1" customWidth="1" collapsed="1"/>
    <col min="29" max="29" width="6.88671875" style="106" bestFit="1" customWidth="1" collapsed="1"/>
    <col min="30" max="30" width="6.44140625" style="106" bestFit="1" customWidth="1" collapsed="1"/>
    <col min="31" max="31" width="15" style="106" bestFit="1" customWidth="1" collapsed="1"/>
    <col min="32" max="32" width="14.6640625" style="106" bestFit="1" customWidth="1" collapsed="1"/>
    <col min="33" max="33" width="5.44140625" style="106" bestFit="1" customWidth="1" collapsed="1"/>
    <col min="34" max="34" width="14.5546875" style="106" bestFit="1" customWidth="1" collapsed="1"/>
    <col min="35" max="16384" width="9.109375" style="106"/>
  </cols>
  <sheetData>
    <row r="1" spans="1:34" x14ac:dyDescent="0.3">
      <c r="A1" s="97" t="s">
        <v>23</v>
      </c>
      <c r="B1" s="97" t="s">
        <v>0</v>
      </c>
      <c r="C1" s="97" t="s">
        <v>1</v>
      </c>
      <c r="D1" s="98" t="s">
        <v>2</v>
      </c>
      <c r="E1" s="99" t="s">
        <v>3</v>
      </c>
      <c r="F1" s="97" t="s">
        <v>4</v>
      </c>
      <c r="G1" s="97" t="s">
        <v>5</v>
      </c>
      <c r="H1" s="99" t="s">
        <v>6</v>
      </c>
      <c r="I1" s="99" t="s">
        <v>7</v>
      </c>
      <c r="J1" s="100" t="s">
        <v>8</v>
      </c>
      <c r="K1" s="99" t="s">
        <v>9</v>
      </c>
      <c r="L1" s="99" t="s">
        <v>10</v>
      </c>
      <c r="M1" s="99" t="s">
        <v>11</v>
      </c>
      <c r="N1" s="337" t="s">
        <v>3066</v>
      </c>
      <c r="O1" s="101" t="s">
        <v>12</v>
      </c>
      <c r="P1" s="102" t="s">
        <v>13</v>
      </c>
      <c r="Q1" s="103" t="s">
        <v>14</v>
      </c>
      <c r="R1" s="103" t="s">
        <v>15</v>
      </c>
      <c r="S1" s="99" t="s">
        <v>16</v>
      </c>
      <c r="T1" s="99" t="s">
        <v>17</v>
      </c>
      <c r="U1" s="104" t="s">
        <v>18</v>
      </c>
      <c r="V1" s="103" t="s">
        <v>19</v>
      </c>
      <c r="W1" s="338" t="s">
        <v>3069</v>
      </c>
      <c r="X1" s="337" t="s">
        <v>3070</v>
      </c>
      <c r="Y1" s="105" t="s">
        <v>20</v>
      </c>
      <c r="Z1" s="97" t="s">
        <v>21</v>
      </c>
      <c r="AA1" s="97" t="s">
        <v>22</v>
      </c>
      <c r="AB1" s="97" t="s">
        <v>23</v>
      </c>
      <c r="AC1" s="97" t="s">
        <v>24</v>
      </c>
      <c r="AD1" s="97" t="s">
        <v>25</v>
      </c>
      <c r="AE1" s="97" t="s">
        <v>26</v>
      </c>
      <c r="AF1" s="97" t="s">
        <v>27</v>
      </c>
      <c r="AG1" s="97" t="s">
        <v>28</v>
      </c>
      <c r="AH1" s="97" t="s">
        <v>29</v>
      </c>
    </row>
    <row r="2" spans="1:34" x14ac:dyDescent="0.3">
      <c r="A2" s="118" t="s">
        <v>652</v>
      </c>
      <c r="B2" s="119" t="s">
        <v>663</v>
      </c>
      <c r="C2" s="119" t="s">
        <v>664</v>
      </c>
      <c r="D2" s="120">
        <v>45471</v>
      </c>
      <c r="E2" s="121">
        <v>220000</v>
      </c>
      <c r="F2" s="119" t="s">
        <v>32</v>
      </c>
      <c r="G2" s="119" t="s">
        <v>33</v>
      </c>
      <c r="H2" s="121">
        <v>220000</v>
      </c>
      <c r="I2" s="121">
        <v>107400</v>
      </c>
      <c r="J2" s="122">
        <f t="shared" ref="J2:J5" si="0">I2/H2*100</f>
        <v>48.818181818181813</v>
      </c>
      <c r="K2" s="121">
        <v>239988</v>
      </c>
      <c r="L2" s="121">
        <f>H2-193517</f>
        <v>26483</v>
      </c>
      <c r="M2" s="121">
        <v>46471</v>
      </c>
      <c r="N2" s="123">
        <f t="shared" ref="N2:N5" si="1">M2/E2</f>
        <v>0.21123181818181819</v>
      </c>
      <c r="O2" s="124">
        <v>267.07</v>
      </c>
      <c r="P2" s="125">
        <v>397.99</v>
      </c>
      <c r="Q2" s="126">
        <v>1.6240000000000001</v>
      </c>
      <c r="R2" s="126">
        <v>1.6240000000000001</v>
      </c>
      <c r="S2" s="121">
        <f t="shared" ref="S2:S5" si="2">L2/O2</f>
        <v>99.161268581270832</v>
      </c>
      <c r="T2" s="121">
        <f t="shared" ref="T2:T5" si="3">L2/Q2</f>
        <v>16307.266009852216</v>
      </c>
      <c r="U2" s="127">
        <f t="shared" ref="U2:U5" si="4">L2/Q2/43560</f>
        <v>0.37436331519403615</v>
      </c>
      <c r="V2" s="126">
        <v>119.82</v>
      </c>
      <c r="W2" s="126">
        <f t="shared" ref="W2:W5" si="5">0.2*E2</f>
        <v>44000</v>
      </c>
      <c r="X2" s="126">
        <f t="shared" ref="X2:X5" si="6">W2/V2</f>
        <v>367.21749290602571</v>
      </c>
      <c r="Y2" s="128" t="s">
        <v>651</v>
      </c>
      <c r="Z2" s="119" t="s">
        <v>35</v>
      </c>
      <c r="AA2" s="119" t="s">
        <v>35</v>
      </c>
      <c r="AB2" s="119" t="s">
        <v>652</v>
      </c>
      <c r="AC2" s="119">
        <v>0</v>
      </c>
      <c r="AD2" s="119">
        <v>0</v>
      </c>
      <c r="AE2" s="119" t="s">
        <v>42</v>
      </c>
      <c r="AF2" s="119" t="s">
        <v>43</v>
      </c>
      <c r="AG2" s="119" t="s">
        <v>38</v>
      </c>
      <c r="AH2" s="119" t="s">
        <v>92</v>
      </c>
    </row>
    <row r="3" spans="1:34" x14ac:dyDescent="0.3">
      <c r="A3" s="118" t="s">
        <v>652</v>
      </c>
      <c r="B3" s="119" t="s">
        <v>655</v>
      </c>
      <c r="C3" s="119" t="s">
        <v>656</v>
      </c>
      <c r="D3" s="120">
        <v>45141</v>
      </c>
      <c r="E3" s="121">
        <v>138000</v>
      </c>
      <c r="F3" s="119" t="s">
        <v>32</v>
      </c>
      <c r="G3" s="119" t="s">
        <v>33</v>
      </c>
      <c r="H3" s="121">
        <v>138000</v>
      </c>
      <c r="I3" s="121">
        <v>60000</v>
      </c>
      <c r="J3" s="122">
        <f t="shared" si="0"/>
        <v>43.478260869565219</v>
      </c>
      <c r="K3" s="121">
        <v>143740</v>
      </c>
      <c r="L3" s="121">
        <f>H3-126874</f>
        <v>11126</v>
      </c>
      <c r="M3" s="121">
        <v>16866</v>
      </c>
      <c r="N3" s="123">
        <f t="shared" si="1"/>
        <v>0.12221739130434782</v>
      </c>
      <c r="O3" s="124">
        <v>96.92</v>
      </c>
      <c r="P3" s="125">
        <v>354.3</v>
      </c>
      <c r="Q3" s="126">
        <v>0.499</v>
      </c>
      <c r="R3" s="126">
        <v>0.499</v>
      </c>
      <c r="S3" s="121">
        <f t="shared" si="2"/>
        <v>114.79570780024763</v>
      </c>
      <c r="T3" s="121">
        <f t="shared" si="3"/>
        <v>22296.593186372746</v>
      </c>
      <c r="U3" s="127">
        <f t="shared" si="4"/>
        <v>0.51185934771287289</v>
      </c>
      <c r="V3" s="126">
        <v>60</v>
      </c>
      <c r="W3" s="126">
        <f t="shared" si="5"/>
        <v>27600</v>
      </c>
      <c r="X3" s="126">
        <f t="shared" si="6"/>
        <v>460</v>
      </c>
      <c r="Y3" s="128" t="s">
        <v>651</v>
      </c>
      <c r="Z3" s="119" t="s">
        <v>35</v>
      </c>
      <c r="AA3" s="119" t="s">
        <v>35</v>
      </c>
      <c r="AB3" s="119" t="s">
        <v>652</v>
      </c>
      <c r="AC3" s="119">
        <v>0</v>
      </c>
      <c r="AD3" s="119">
        <v>1</v>
      </c>
      <c r="AE3" s="119" t="s">
        <v>42</v>
      </c>
      <c r="AF3" s="119" t="s">
        <v>43</v>
      </c>
      <c r="AG3" s="119" t="s">
        <v>38</v>
      </c>
      <c r="AH3" s="119" t="s">
        <v>92</v>
      </c>
    </row>
    <row r="4" spans="1:34" x14ac:dyDescent="0.3">
      <c r="A4" s="107" t="s">
        <v>652</v>
      </c>
      <c r="B4" s="108" t="s">
        <v>661</v>
      </c>
      <c r="C4" s="108" t="s">
        <v>662</v>
      </c>
      <c r="D4" s="109">
        <v>45338</v>
      </c>
      <c r="E4" s="110">
        <v>91500</v>
      </c>
      <c r="F4" s="108" t="s">
        <v>32</v>
      </c>
      <c r="G4" s="108" t="s">
        <v>33</v>
      </c>
      <c r="H4" s="110">
        <v>91500</v>
      </c>
      <c r="I4" s="110">
        <v>34900</v>
      </c>
      <c r="J4" s="111">
        <f t="shared" si="0"/>
        <v>38.142076502732245</v>
      </c>
      <c r="K4" s="110">
        <v>84276</v>
      </c>
      <c r="L4" s="110">
        <f>H4-74216</f>
        <v>17284</v>
      </c>
      <c r="M4" s="110">
        <v>10060</v>
      </c>
      <c r="N4" s="112">
        <f t="shared" si="1"/>
        <v>0.10994535519125682</v>
      </c>
      <c r="O4" s="113">
        <v>57.81</v>
      </c>
      <c r="P4" s="114">
        <v>130</v>
      </c>
      <c r="Q4" s="115">
        <v>0.17899999999999999</v>
      </c>
      <c r="R4" s="115">
        <v>0.17899999999999999</v>
      </c>
      <c r="S4" s="110">
        <f t="shared" si="2"/>
        <v>298.97941532606814</v>
      </c>
      <c r="T4" s="110">
        <f t="shared" si="3"/>
        <v>96558.659217877095</v>
      </c>
      <c r="U4" s="116">
        <f t="shared" si="4"/>
        <v>2.216681800226747</v>
      </c>
      <c r="V4" s="115">
        <v>60</v>
      </c>
      <c r="W4" s="115">
        <f t="shared" si="5"/>
        <v>18300</v>
      </c>
      <c r="X4" s="115">
        <f t="shared" si="6"/>
        <v>305</v>
      </c>
      <c r="Y4" s="117" t="s">
        <v>651</v>
      </c>
      <c r="Z4" s="108" t="s">
        <v>35</v>
      </c>
      <c r="AA4" s="108" t="s">
        <v>35</v>
      </c>
      <c r="AB4" s="108" t="s">
        <v>652</v>
      </c>
      <c r="AC4" s="108">
        <v>0</v>
      </c>
      <c r="AD4" s="108">
        <v>0</v>
      </c>
      <c r="AE4" s="108" t="s">
        <v>42</v>
      </c>
      <c r="AF4" s="108" t="s">
        <v>43</v>
      </c>
      <c r="AG4" s="108" t="s">
        <v>38</v>
      </c>
      <c r="AH4" s="108" t="s">
        <v>92</v>
      </c>
    </row>
    <row r="5" spans="1:34" ht="15" thickBot="1" x14ac:dyDescent="0.35">
      <c r="A5" s="118" t="s">
        <v>652</v>
      </c>
      <c r="B5" s="119" t="s">
        <v>657</v>
      </c>
      <c r="C5" s="119" t="s">
        <v>658</v>
      </c>
      <c r="D5" s="120">
        <v>45666</v>
      </c>
      <c r="E5" s="121">
        <v>140000</v>
      </c>
      <c r="F5" s="119" t="s">
        <v>32</v>
      </c>
      <c r="G5" s="119" t="s">
        <v>33</v>
      </c>
      <c r="H5" s="121">
        <v>140000</v>
      </c>
      <c r="I5" s="121">
        <v>56000</v>
      </c>
      <c r="J5" s="122">
        <f t="shared" si="0"/>
        <v>40</v>
      </c>
      <c r="K5" s="121">
        <v>125013</v>
      </c>
      <c r="L5" s="121">
        <f>H5-109011</f>
        <v>30989</v>
      </c>
      <c r="M5" s="121">
        <v>16002</v>
      </c>
      <c r="N5" s="123">
        <f t="shared" si="1"/>
        <v>0.1143</v>
      </c>
      <c r="O5" s="124">
        <v>91.96</v>
      </c>
      <c r="P5" s="125">
        <v>318.94</v>
      </c>
      <c r="Q5" s="126">
        <v>0.45</v>
      </c>
      <c r="R5" s="126">
        <v>0.45</v>
      </c>
      <c r="S5" s="121">
        <f t="shared" si="2"/>
        <v>336.98347107438019</v>
      </c>
      <c r="T5" s="121">
        <f t="shared" si="3"/>
        <v>68864.444444444438</v>
      </c>
      <c r="U5" s="127">
        <f t="shared" si="4"/>
        <v>1.5809101112131414</v>
      </c>
      <c r="V5" s="126">
        <v>60</v>
      </c>
      <c r="W5" s="126">
        <f t="shared" si="5"/>
        <v>28000</v>
      </c>
      <c r="X5" s="126">
        <f t="shared" si="6"/>
        <v>466.66666666666669</v>
      </c>
      <c r="Y5" s="128" t="s">
        <v>651</v>
      </c>
      <c r="Z5" s="119" t="s">
        <v>35</v>
      </c>
      <c r="AA5" s="119" t="s">
        <v>35</v>
      </c>
      <c r="AB5" s="119" t="s">
        <v>652</v>
      </c>
      <c r="AC5" s="119">
        <v>0</v>
      </c>
      <c r="AD5" s="119">
        <v>1</v>
      </c>
      <c r="AE5" s="119" t="s">
        <v>42</v>
      </c>
      <c r="AF5" s="119" t="s">
        <v>35</v>
      </c>
      <c r="AG5" s="119" t="s">
        <v>38</v>
      </c>
      <c r="AH5" s="119" t="s">
        <v>92</v>
      </c>
    </row>
    <row r="6" spans="1:34" ht="15" thickTop="1" x14ac:dyDescent="0.3">
      <c r="A6" s="129"/>
      <c r="B6" s="130"/>
      <c r="C6" s="130"/>
      <c r="D6" s="131" t="s">
        <v>2876</v>
      </c>
      <c r="E6" s="132">
        <f>+SUM(E2:E5)</f>
        <v>589500</v>
      </c>
      <c r="F6" s="130"/>
      <c r="G6" s="130"/>
      <c r="H6" s="132">
        <f>+SUM(H2:H5)</f>
        <v>589500</v>
      </c>
      <c r="I6" s="132">
        <f>+SUM(I2:I5)</f>
        <v>258300</v>
      </c>
      <c r="J6" s="133"/>
      <c r="K6" s="132">
        <f>+SUM(K2:K5)</f>
        <v>593017</v>
      </c>
      <c r="L6" s="132">
        <f>+SUM(L2:L5)</f>
        <v>85882</v>
      </c>
      <c r="M6" s="132">
        <f>+SUM(M2:M5)</f>
        <v>89399</v>
      </c>
      <c r="N6" s="134">
        <f>AVERAGE(N2:N5)</f>
        <v>0.13942364116935571</v>
      </c>
      <c r="O6" s="135">
        <f>+SUM(O2:O5)</f>
        <v>513.76</v>
      </c>
      <c r="P6" s="136"/>
      <c r="Q6" s="137">
        <f>+SUM(Q2:Q5)</f>
        <v>2.7520000000000002</v>
      </c>
      <c r="R6" s="137">
        <f>+SUM(R2:R5)</f>
        <v>2.7520000000000002</v>
      </c>
      <c r="S6" s="132"/>
      <c r="T6" s="132"/>
      <c r="U6" s="138"/>
      <c r="V6" s="137"/>
      <c r="W6" s="139">
        <f>AVERAGE(W2:W5)</f>
        <v>29475</v>
      </c>
      <c r="X6" s="140">
        <f>AVERAGE(X2:X5)</f>
        <v>399.7210398931731</v>
      </c>
      <c r="Y6" s="141"/>
      <c r="Z6" s="130"/>
      <c r="AA6" s="130"/>
      <c r="AB6" s="130"/>
      <c r="AC6" s="130"/>
      <c r="AD6" s="130"/>
      <c r="AE6" s="130"/>
      <c r="AF6" s="130"/>
      <c r="AG6" s="130"/>
      <c r="AH6" s="130"/>
    </row>
    <row r="7" spans="1:34" x14ac:dyDescent="0.3">
      <c r="A7" s="142"/>
      <c r="B7" s="143"/>
      <c r="C7" s="143"/>
      <c r="D7" s="144"/>
      <c r="E7" s="145"/>
      <c r="F7" s="143"/>
      <c r="G7" s="143"/>
      <c r="H7" s="145"/>
      <c r="I7" s="145" t="s">
        <v>2877</v>
      </c>
      <c r="J7" s="146">
        <f>I6/H6*100</f>
        <v>43.81679389312977</v>
      </c>
      <c r="K7" s="145"/>
      <c r="L7" s="145"/>
      <c r="M7" s="145" t="s">
        <v>2879</v>
      </c>
      <c r="N7" s="147"/>
      <c r="O7" s="148"/>
      <c r="P7" s="149"/>
      <c r="Q7" s="150" t="s">
        <v>2879</v>
      </c>
      <c r="R7" s="150"/>
      <c r="S7" s="145"/>
      <c r="T7" s="145" t="s">
        <v>2879</v>
      </c>
      <c r="U7" s="151"/>
      <c r="V7" s="150"/>
      <c r="W7" s="152"/>
      <c r="X7" s="153"/>
      <c r="Y7" s="154"/>
      <c r="Z7" s="143"/>
      <c r="AA7" s="143"/>
      <c r="AB7" s="143"/>
      <c r="AC7" s="143"/>
      <c r="AD7" s="143"/>
      <c r="AE7" s="143"/>
      <c r="AF7" s="143"/>
      <c r="AG7" s="143"/>
      <c r="AH7" s="143"/>
    </row>
    <row r="8" spans="1:34" x14ac:dyDescent="0.3">
      <c r="A8" s="155"/>
      <c r="B8" s="156"/>
      <c r="C8" s="156"/>
      <c r="D8" s="157"/>
      <c r="E8" s="158"/>
      <c r="F8" s="156"/>
      <c r="G8" s="156"/>
      <c r="H8" s="158"/>
      <c r="I8" s="158" t="s">
        <v>2878</v>
      </c>
      <c r="J8" s="159">
        <f>STDEV(J2:J5)</f>
        <v>4.6928966980057387</v>
      </c>
      <c r="K8" s="158"/>
      <c r="L8" s="158"/>
      <c r="M8" s="158" t="s">
        <v>2880</v>
      </c>
      <c r="N8" s="160"/>
      <c r="O8" s="161">
        <f>L6/O6</f>
        <v>167.16365618187481</v>
      </c>
      <c r="P8" s="162"/>
      <c r="Q8" s="163" t="s">
        <v>2881</v>
      </c>
      <c r="R8" s="163">
        <f>L6/Q6</f>
        <v>31207.122093023252</v>
      </c>
      <c r="S8" s="158"/>
      <c r="T8" s="158" t="s">
        <v>2882</v>
      </c>
      <c r="U8" s="164">
        <f>L6/Q6/43560</f>
        <v>0.71641694428428038</v>
      </c>
      <c r="V8" s="163"/>
      <c r="W8" s="165"/>
      <c r="X8" s="166"/>
      <c r="Y8" s="167"/>
      <c r="Z8" s="156"/>
      <c r="AA8" s="156"/>
      <c r="AB8" s="156"/>
      <c r="AC8" s="156"/>
      <c r="AD8" s="156"/>
      <c r="AE8" s="156"/>
      <c r="AF8" s="156"/>
      <c r="AG8" s="156"/>
      <c r="AH8" s="156"/>
    </row>
    <row r="10" spans="1:34" x14ac:dyDescent="0.3">
      <c r="D10" s="94" t="s">
        <v>3099</v>
      </c>
      <c r="E10"/>
      <c r="F10"/>
      <c r="G10"/>
      <c r="H10"/>
      <c r="I10"/>
      <c r="J10"/>
      <c r="K10" s="95"/>
    </row>
    <row r="11" spans="1:34" x14ac:dyDescent="0.3">
      <c r="D11" s="383" t="s">
        <v>3163</v>
      </c>
      <c r="E11" s="383"/>
      <c r="F11" s="383"/>
      <c r="G11" s="383"/>
      <c r="H11" s="383"/>
      <c r="I11" s="383"/>
      <c r="J11" s="383"/>
      <c r="K11" s="383"/>
    </row>
    <row r="12" spans="1:34" x14ac:dyDescent="0.3">
      <c r="D12" s="383" t="s">
        <v>3164</v>
      </c>
      <c r="E12" s="383"/>
      <c r="F12" s="383"/>
      <c r="G12" s="383"/>
      <c r="H12" s="383"/>
      <c r="I12" s="383"/>
      <c r="J12" s="383"/>
      <c r="K12" s="383"/>
    </row>
    <row r="13" spans="1:34" x14ac:dyDescent="0.3">
      <c r="D13" s="383" t="s">
        <v>3165</v>
      </c>
      <c r="E13" s="383"/>
      <c r="F13" s="383"/>
      <c r="G13" s="383"/>
      <c r="H13" s="383"/>
      <c r="I13" s="383"/>
      <c r="J13" s="383"/>
      <c r="K13" s="383"/>
    </row>
    <row r="14" spans="1:34" x14ac:dyDescent="0.3">
      <c r="D14" s="383" t="s">
        <v>3166</v>
      </c>
      <c r="E14" s="383"/>
      <c r="F14" s="383"/>
      <c r="G14" s="383"/>
      <c r="H14" s="383"/>
      <c r="I14" s="96"/>
      <c r="J14" s="96"/>
      <c r="K14" s="96"/>
    </row>
    <row r="15" spans="1:34" x14ac:dyDescent="0.3">
      <c r="D15" s="383" t="s">
        <v>3167</v>
      </c>
      <c r="E15" s="383"/>
      <c r="F15" s="383"/>
      <c r="G15" s="383"/>
      <c r="H15" s="383"/>
      <c r="I15"/>
      <c r="J15"/>
      <c r="K15" s="95"/>
    </row>
    <row r="16" spans="1:34" x14ac:dyDescent="0.3">
      <c r="D16" s="383" t="s">
        <v>3100</v>
      </c>
      <c r="E16" s="383"/>
      <c r="F16" s="383"/>
      <c r="G16" s="383"/>
      <c r="H16" s="383"/>
      <c r="I16"/>
      <c r="J16"/>
      <c r="K16" s="95"/>
    </row>
    <row r="19" spans="1:34" x14ac:dyDescent="0.3">
      <c r="A19" s="107" t="s">
        <v>652</v>
      </c>
      <c r="B19" s="108" t="s">
        <v>653</v>
      </c>
      <c r="C19" s="108" t="s">
        <v>654</v>
      </c>
      <c r="D19" s="109">
        <v>45653</v>
      </c>
      <c r="E19" s="110">
        <v>45000</v>
      </c>
      <c r="F19" s="108" t="s">
        <v>32</v>
      </c>
      <c r="G19" s="108" t="s">
        <v>33</v>
      </c>
      <c r="H19" s="110">
        <v>45000</v>
      </c>
      <c r="I19" s="110">
        <v>48500</v>
      </c>
      <c r="J19" s="111">
        <f t="shared" ref="J19:J21" si="7">I19/H19*100</f>
        <v>107.77777777777777</v>
      </c>
      <c r="K19" s="110">
        <v>109016</v>
      </c>
      <c r="L19" s="110">
        <f>H19-102258</f>
        <v>-57258</v>
      </c>
      <c r="M19" s="110">
        <v>6758</v>
      </c>
      <c r="N19" s="112">
        <f t="shared" ref="N19:N21" si="8">M19/E19</f>
        <v>0.15017777777777777</v>
      </c>
      <c r="O19" s="113">
        <v>38.840000000000003</v>
      </c>
      <c r="P19" s="114">
        <v>132</v>
      </c>
      <c r="Q19" s="115">
        <v>0.121</v>
      </c>
      <c r="R19" s="115">
        <v>0.121</v>
      </c>
      <c r="S19" s="110">
        <f t="shared" ref="S19:S21" si="9">L19/O19</f>
        <v>-1474.2018537590111</v>
      </c>
      <c r="T19" s="110">
        <f t="shared" ref="T19:T21" si="10">L19/Q19</f>
        <v>-473206.61157024797</v>
      </c>
      <c r="U19" s="116">
        <f t="shared" ref="U19:U21" si="11">L19/Q19/43560</f>
        <v>-10.86332900758145</v>
      </c>
      <c r="V19" s="115">
        <v>40</v>
      </c>
      <c r="W19" s="115">
        <f t="shared" ref="W19:W21" si="12">0.2*E19</f>
        <v>9000</v>
      </c>
      <c r="X19" s="115">
        <f t="shared" ref="X19:X21" si="13">W19/V19</f>
        <v>225</v>
      </c>
      <c r="Y19" s="117" t="s">
        <v>651</v>
      </c>
      <c r="Z19" s="108" t="s">
        <v>35</v>
      </c>
      <c r="AA19" s="108" t="s">
        <v>35</v>
      </c>
      <c r="AB19" s="108" t="s">
        <v>652</v>
      </c>
      <c r="AC19" s="108">
        <v>0</v>
      </c>
      <c r="AD19" s="108">
        <v>1</v>
      </c>
      <c r="AE19" s="108" t="s">
        <v>37</v>
      </c>
      <c r="AF19" s="108" t="s">
        <v>35</v>
      </c>
      <c r="AG19" s="108" t="s">
        <v>38</v>
      </c>
      <c r="AH19" s="108" t="s">
        <v>92</v>
      </c>
    </row>
    <row r="20" spans="1:34" x14ac:dyDescent="0.3">
      <c r="A20" s="107" t="s">
        <v>652</v>
      </c>
      <c r="B20" s="108" t="s">
        <v>649</v>
      </c>
      <c r="C20" s="108" t="s">
        <v>650</v>
      </c>
      <c r="D20" s="109">
        <v>45093</v>
      </c>
      <c r="E20" s="110">
        <v>75500</v>
      </c>
      <c r="F20" s="108" t="s">
        <v>32</v>
      </c>
      <c r="G20" s="108" t="s">
        <v>33</v>
      </c>
      <c r="H20" s="110">
        <v>75500</v>
      </c>
      <c r="I20" s="110">
        <v>42900</v>
      </c>
      <c r="J20" s="111">
        <f t="shared" si="7"/>
        <v>56.82119205298013</v>
      </c>
      <c r="K20" s="110">
        <v>103001</v>
      </c>
      <c r="L20" s="110">
        <f>H20-96243</f>
        <v>-20743</v>
      </c>
      <c r="M20" s="110">
        <v>6758</v>
      </c>
      <c r="N20" s="112">
        <f t="shared" si="8"/>
        <v>8.9509933774834433E-2</v>
      </c>
      <c r="O20" s="113">
        <v>38.840000000000003</v>
      </c>
      <c r="P20" s="114">
        <v>132</v>
      </c>
      <c r="Q20" s="115">
        <v>0.121</v>
      </c>
      <c r="R20" s="115">
        <v>0.121</v>
      </c>
      <c r="S20" s="110">
        <f t="shared" si="9"/>
        <v>-534.06282183316159</v>
      </c>
      <c r="T20" s="110">
        <f t="shared" si="10"/>
        <v>-171429.7520661157</v>
      </c>
      <c r="U20" s="116">
        <f t="shared" si="11"/>
        <v>-3.9354855846215728</v>
      </c>
      <c r="V20" s="115">
        <v>40</v>
      </c>
      <c r="W20" s="115">
        <f t="shared" si="12"/>
        <v>15100</v>
      </c>
      <c r="X20" s="115">
        <f t="shared" si="13"/>
        <v>377.5</v>
      </c>
      <c r="Y20" s="117" t="s">
        <v>651</v>
      </c>
      <c r="Z20" s="108" t="s">
        <v>35</v>
      </c>
      <c r="AA20" s="108" t="s">
        <v>35</v>
      </c>
      <c r="AB20" s="108" t="s">
        <v>652</v>
      </c>
      <c r="AC20" s="108">
        <v>0</v>
      </c>
      <c r="AD20" s="108">
        <v>1</v>
      </c>
      <c r="AE20" s="108" t="s">
        <v>42</v>
      </c>
      <c r="AF20" s="108" t="s">
        <v>43</v>
      </c>
      <c r="AG20" s="108" t="s">
        <v>38</v>
      </c>
      <c r="AH20" s="108" t="s">
        <v>92</v>
      </c>
    </row>
    <row r="21" spans="1:34" x14ac:dyDescent="0.3">
      <c r="A21" s="107" t="s">
        <v>652</v>
      </c>
      <c r="B21" s="108" t="s">
        <v>659</v>
      </c>
      <c r="C21" s="108" t="s">
        <v>660</v>
      </c>
      <c r="D21" s="109">
        <v>45691</v>
      </c>
      <c r="E21" s="110">
        <v>216900</v>
      </c>
      <c r="F21" s="108" t="s">
        <v>32</v>
      </c>
      <c r="G21" s="108" t="s">
        <v>33</v>
      </c>
      <c r="H21" s="110">
        <v>216900</v>
      </c>
      <c r="I21" s="110">
        <v>110500</v>
      </c>
      <c r="J21" s="111">
        <f t="shared" si="7"/>
        <v>50.945136007376668</v>
      </c>
      <c r="K21" s="110">
        <v>239471</v>
      </c>
      <c r="L21" s="110">
        <f>H21-225953</f>
        <v>-9053</v>
      </c>
      <c r="M21" s="110">
        <v>13518</v>
      </c>
      <c r="N21" s="112">
        <f t="shared" si="8"/>
        <v>6.2323651452282157E-2</v>
      </c>
      <c r="O21" s="113">
        <v>77.680000000000007</v>
      </c>
      <c r="P21" s="114">
        <v>200</v>
      </c>
      <c r="Q21" s="115">
        <v>0.29799999999999999</v>
      </c>
      <c r="R21" s="115">
        <v>0.29799999999999999</v>
      </c>
      <c r="S21" s="110">
        <f t="shared" si="9"/>
        <v>-116.54222451081358</v>
      </c>
      <c r="T21" s="110">
        <f t="shared" si="10"/>
        <v>-30379.194630872484</v>
      </c>
      <c r="U21" s="116">
        <f t="shared" si="11"/>
        <v>-0.6974103450613518</v>
      </c>
      <c r="V21" s="115">
        <v>65</v>
      </c>
      <c r="W21" s="115">
        <f t="shared" si="12"/>
        <v>43380</v>
      </c>
      <c r="X21" s="115">
        <f t="shared" si="13"/>
        <v>667.38461538461536</v>
      </c>
      <c r="Y21" s="117" t="s">
        <v>651</v>
      </c>
      <c r="Z21" s="108" t="s">
        <v>35</v>
      </c>
      <c r="AA21" s="108" t="s">
        <v>35</v>
      </c>
      <c r="AB21" s="108" t="s">
        <v>652</v>
      </c>
      <c r="AC21" s="108">
        <v>0</v>
      </c>
      <c r="AD21" s="108">
        <v>0</v>
      </c>
      <c r="AE21" s="108" t="s">
        <v>42</v>
      </c>
      <c r="AF21" s="108" t="s">
        <v>35</v>
      </c>
      <c r="AG21" s="108" t="s">
        <v>38</v>
      </c>
      <c r="AH21" s="108" t="s">
        <v>92</v>
      </c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:AA5"/>
  <sheetViews>
    <sheetView workbookViewId="0"/>
  </sheetViews>
  <sheetFormatPr defaultRowHeight="14.4" x14ac:dyDescent="0.3"/>
  <cols>
    <col min="1" max="1" width="17.5546875" bestFit="1" customWidth="1" collapsed="1"/>
    <col min="2" max="2" width="14.109375" bestFit="1" customWidth="1" collapsed="1"/>
    <col min="3" max="3" width="9.88671875" bestFit="1" customWidth="1" collapsed="1"/>
    <col min="4" max="4" width="9.5546875" bestFit="1" customWidth="1" collapsed="1"/>
    <col min="5" max="5" width="5.5546875" bestFit="1" customWidth="1" collapsed="1"/>
    <col min="6" max="6" width="17.33203125" bestFit="1" customWidth="1" collapsed="1"/>
    <col min="7" max="7" width="10.109375" bestFit="1" customWidth="1" collapsed="1"/>
    <col min="8" max="8" width="14.6640625" customWidth="1" collapsed="1"/>
    <col min="9" max="9" width="12.88671875" bestFit="1" customWidth="1" collapsed="1"/>
    <col min="10" max="10" width="13.44140625" bestFit="1" customWidth="1" collapsed="1"/>
    <col min="11" max="11" width="13.33203125" bestFit="1" customWidth="1" collapsed="1"/>
    <col min="12" max="12" width="14.44140625" bestFit="1" customWidth="1" collapsed="1"/>
    <col min="13" max="13" width="11.109375" bestFit="1" customWidth="1" collapsed="1"/>
    <col min="14" max="14" width="6.44140625" bestFit="1" customWidth="1" collapsed="1"/>
    <col min="15" max="15" width="14.33203125" bestFit="1" customWidth="1" collapsed="1"/>
    <col min="16" max="16" width="10.6640625" bestFit="1" customWidth="1" collapsed="1"/>
    <col min="17" max="17" width="10" bestFit="1" customWidth="1" collapsed="1"/>
    <col min="18" max="18" width="12" bestFit="1" customWidth="1" collapsed="1"/>
    <col min="19" max="19" width="11.88671875" bestFit="1" customWidth="1" collapsed="1"/>
    <col min="20" max="20" width="11.6640625" bestFit="1" customWidth="1" collapsed="1"/>
    <col min="21" max="21" width="8.6640625" bestFit="1" customWidth="1" collapsed="1"/>
    <col min="22" max="22" width="25" bestFit="1" customWidth="1" collapsed="1"/>
    <col min="23" max="23" width="6.88671875" bestFit="1" customWidth="1" collapsed="1"/>
    <col min="24" max="24" width="6.44140625" bestFit="1" customWidth="1" collapsed="1"/>
    <col min="25" max="25" width="15" bestFit="1" customWidth="1" collapsed="1"/>
    <col min="26" max="26" width="14.6640625" bestFit="1" customWidth="1" collapsed="1"/>
    <col min="27" max="27" width="5.44140625" bestFit="1" customWidth="1" collapsed="1"/>
  </cols>
  <sheetData>
    <row r="1" spans="1:27" x14ac:dyDescent="0.3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3" t="s">
        <v>6</v>
      </c>
      <c r="H1" s="3" t="s">
        <v>7</v>
      </c>
      <c r="I1" s="4" t="s">
        <v>8</v>
      </c>
      <c r="J1" s="3" t="s">
        <v>9</v>
      </c>
      <c r="K1" s="3" t="s">
        <v>10</v>
      </c>
      <c r="L1" s="3" t="s">
        <v>11</v>
      </c>
      <c r="M1" s="5" t="s">
        <v>12</v>
      </c>
      <c r="N1" s="6" t="s">
        <v>13</v>
      </c>
      <c r="O1" s="7" t="s">
        <v>14</v>
      </c>
      <c r="P1" s="7" t="s">
        <v>15</v>
      </c>
      <c r="Q1" s="3" t="s">
        <v>16</v>
      </c>
      <c r="R1" s="3" t="s">
        <v>17</v>
      </c>
      <c r="S1" s="8" t="s">
        <v>18</v>
      </c>
      <c r="T1" s="7" t="s">
        <v>19</v>
      </c>
      <c r="U1" s="9" t="s">
        <v>20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</row>
    <row r="2" spans="1:27" ht="15" thickBot="1" x14ac:dyDescent="0.35">
      <c r="A2" s="10" t="s">
        <v>3085</v>
      </c>
      <c r="B2" s="10" t="s">
        <v>3086</v>
      </c>
      <c r="C2" s="11">
        <v>45138</v>
      </c>
      <c r="D2" s="12">
        <v>12000</v>
      </c>
      <c r="E2" s="10" t="s">
        <v>32</v>
      </c>
      <c r="F2" s="10" t="s">
        <v>33</v>
      </c>
      <c r="G2" s="12">
        <v>12000</v>
      </c>
      <c r="H2" s="12">
        <v>7900</v>
      </c>
      <c r="I2" s="13">
        <f t="shared" ref="I2" si="0">H2/G2*100</f>
        <v>65.833333333333329</v>
      </c>
      <c r="J2" s="12">
        <v>11881</v>
      </c>
      <c r="K2" s="12">
        <f>G2-0</f>
        <v>12000</v>
      </c>
      <c r="L2" s="12">
        <v>11881</v>
      </c>
      <c r="M2" s="14">
        <v>0</v>
      </c>
      <c r="N2" s="15">
        <v>0</v>
      </c>
      <c r="O2" s="16">
        <v>1.091</v>
      </c>
      <c r="P2" s="16">
        <v>1.091</v>
      </c>
      <c r="Q2" s="12" t="e">
        <f t="shared" ref="Q2" si="1">K2/M2</f>
        <v>#DIV/0!</v>
      </c>
      <c r="R2" s="12">
        <f t="shared" ref="R2" si="2">K2/O2</f>
        <v>10999.083409715857</v>
      </c>
      <c r="S2" s="17">
        <f t="shared" ref="S2" si="3">K2/O2/43560</f>
        <v>0.25250421050771021</v>
      </c>
      <c r="T2" s="16">
        <v>0</v>
      </c>
      <c r="U2" s="18" t="s">
        <v>2262</v>
      </c>
      <c r="V2" s="10" t="s">
        <v>3087</v>
      </c>
      <c r="W2" s="10">
        <v>0</v>
      </c>
      <c r="X2" s="10">
        <v>1</v>
      </c>
      <c r="Y2" s="10" t="s">
        <v>37</v>
      </c>
      <c r="Z2" s="10" t="s">
        <v>43</v>
      </c>
      <c r="AA2" s="10" t="s">
        <v>61</v>
      </c>
    </row>
    <row r="3" spans="1:27" ht="15" thickTop="1" x14ac:dyDescent="0.3">
      <c r="A3" s="37"/>
      <c r="B3" s="37"/>
      <c r="C3" s="38" t="s">
        <v>2876</v>
      </c>
      <c r="D3" s="39">
        <f>+SUM(D2:D2)</f>
        <v>12000</v>
      </c>
      <c r="E3" s="37"/>
      <c r="F3" s="37"/>
      <c r="G3" s="39">
        <f>+SUM(G2:G2)</f>
        <v>12000</v>
      </c>
      <c r="H3" s="39">
        <f>+SUM(H2:H2)</f>
        <v>7900</v>
      </c>
      <c r="I3" s="40"/>
      <c r="J3" s="39">
        <f>+SUM(J2:J2)</f>
        <v>11881</v>
      </c>
      <c r="K3" s="39">
        <f>+SUM(K2:K2)</f>
        <v>12000</v>
      </c>
      <c r="L3" s="39">
        <f>+SUM(L2:L2)</f>
        <v>11881</v>
      </c>
      <c r="M3" s="41">
        <f>+SUM(M2:M2)</f>
        <v>0</v>
      </c>
      <c r="N3" s="42"/>
      <c r="O3" s="43">
        <f>+SUM(O2:O2)</f>
        <v>1.091</v>
      </c>
      <c r="P3" s="43">
        <f>+SUM(P2:P2)</f>
        <v>1.091</v>
      </c>
      <c r="Q3" s="39"/>
      <c r="R3" s="39"/>
      <c r="S3" s="44"/>
      <c r="T3" s="43"/>
      <c r="U3" s="45"/>
      <c r="V3" s="37"/>
      <c r="W3" s="37"/>
      <c r="X3" s="37"/>
      <c r="Y3" s="37"/>
      <c r="Z3" s="37"/>
      <c r="AA3" s="37"/>
    </row>
    <row r="4" spans="1:27" x14ac:dyDescent="0.3">
      <c r="A4" s="28"/>
      <c r="B4" s="28"/>
      <c r="C4" s="29"/>
      <c r="D4" s="30"/>
      <c r="E4" s="28"/>
      <c r="F4" s="28"/>
      <c r="G4" s="30"/>
      <c r="H4" s="30" t="s">
        <v>2877</v>
      </c>
      <c r="I4" s="31">
        <f>H3/G3*100</f>
        <v>65.833333333333329</v>
      </c>
      <c r="J4" s="30"/>
      <c r="K4" s="30"/>
      <c r="L4" s="30" t="s">
        <v>2879</v>
      </c>
      <c r="M4" s="32"/>
      <c r="N4" s="33"/>
      <c r="O4" s="34" t="s">
        <v>2879</v>
      </c>
      <c r="P4" s="34"/>
      <c r="Q4" s="30"/>
      <c r="R4" s="30" t="s">
        <v>2879</v>
      </c>
      <c r="S4" s="35"/>
      <c r="T4" s="34"/>
      <c r="U4" s="36"/>
      <c r="V4" s="28"/>
      <c r="W4" s="28"/>
      <c r="X4" s="28"/>
      <c r="Y4" s="28"/>
      <c r="Z4" s="28"/>
      <c r="AA4" s="28"/>
    </row>
    <row r="5" spans="1:27" x14ac:dyDescent="0.3">
      <c r="A5" s="46"/>
      <c r="B5" s="46"/>
      <c r="C5" s="47"/>
      <c r="D5" s="48"/>
      <c r="E5" s="46"/>
      <c r="F5" s="46"/>
      <c r="G5" s="48"/>
      <c r="H5" s="48" t="s">
        <v>2878</v>
      </c>
      <c r="I5" s="49" t="e">
        <f>STDEV(I2:I2)</f>
        <v>#DIV/0!</v>
      </c>
      <c r="J5" s="48"/>
      <c r="K5" s="48"/>
      <c r="L5" s="48" t="s">
        <v>2880</v>
      </c>
      <c r="M5" s="54" t="e">
        <f>K3/M3</f>
        <v>#DIV/0!</v>
      </c>
      <c r="N5" s="50"/>
      <c r="O5" s="51" t="s">
        <v>2881</v>
      </c>
      <c r="P5" s="51">
        <f>K3/O3</f>
        <v>10999.083409715857</v>
      </c>
      <c r="Q5" s="48"/>
      <c r="R5" s="48" t="s">
        <v>2882</v>
      </c>
      <c r="S5" s="84">
        <f>K3/O3/43560</f>
        <v>0.25250421050771021</v>
      </c>
      <c r="T5" s="51"/>
      <c r="U5" s="53"/>
      <c r="V5" s="46"/>
      <c r="W5" s="46"/>
      <c r="X5" s="46"/>
      <c r="Y5" s="46"/>
      <c r="Z5" s="46"/>
      <c r="AA5" s="46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>
    <tabColor rgb="FF00B050"/>
  </sheetPr>
  <dimension ref="A1:AH68"/>
  <sheetViews>
    <sheetView topLeftCell="A39" workbookViewId="0">
      <selection activeCell="E58" sqref="E58:L6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109375" bestFit="1" customWidth="1" collapsed="1"/>
    <col min="4" max="4" width="10.88671875" bestFit="1" customWidth="1" collapsed="1"/>
    <col min="5" max="5" width="11.88671875" bestFit="1" customWidth="1" collapsed="1"/>
    <col min="6" max="6" width="5.5546875" bestFit="1" customWidth="1" collapsed="1"/>
    <col min="7" max="7" width="17.33203125" bestFit="1" customWidth="1" collapsed="1"/>
    <col min="8" max="8" width="11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611</v>
      </c>
      <c r="B2" s="10" t="s">
        <v>684</v>
      </c>
      <c r="C2" s="10" t="s">
        <v>685</v>
      </c>
      <c r="D2" s="11">
        <v>45602</v>
      </c>
      <c r="E2" s="12">
        <v>140000</v>
      </c>
      <c r="F2" s="10" t="s">
        <v>32</v>
      </c>
      <c r="G2" s="10" t="s">
        <v>33</v>
      </c>
      <c r="H2" s="12">
        <v>140000</v>
      </c>
      <c r="I2" s="12">
        <v>84500</v>
      </c>
      <c r="J2" s="13">
        <f t="shared" ref="J2:J31" si="0">I2/H2*100</f>
        <v>60.357142857142854</v>
      </c>
      <c r="K2" s="12">
        <v>183854</v>
      </c>
      <c r="L2" s="12">
        <f>H2-172689</f>
        <v>-32689</v>
      </c>
      <c r="M2" s="12">
        <v>11165</v>
      </c>
      <c r="N2" s="66">
        <f t="shared" ref="N2:N31" si="1">M2/E2</f>
        <v>7.9750000000000001E-2</v>
      </c>
      <c r="O2" s="14">
        <v>52.41</v>
      </c>
      <c r="P2" s="15">
        <v>118.36</v>
      </c>
      <c r="Q2" s="16">
        <v>0.13600000000000001</v>
      </c>
      <c r="R2" s="16">
        <v>0.13600000000000001</v>
      </c>
      <c r="S2" s="12">
        <f t="shared" ref="S2:S31" si="2">L2/O2</f>
        <v>-623.71684792978442</v>
      </c>
      <c r="T2" s="12">
        <f t="shared" ref="T2:T31" si="3">L2/Q2</f>
        <v>-240360.29411764705</v>
      </c>
      <c r="U2" s="17">
        <f t="shared" ref="U2:U31" si="4">L2/Q2/43560</f>
        <v>-5.5179130881002534</v>
      </c>
      <c r="V2" s="16">
        <v>55</v>
      </c>
      <c r="W2" s="16">
        <f t="shared" ref="W2:W31" si="5">0.2*E2</f>
        <v>28000</v>
      </c>
      <c r="X2" s="16">
        <f t="shared" ref="X2:X31" si="6">W2/V2</f>
        <v>509.09090909090907</v>
      </c>
      <c r="Y2" s="18" t="s">
        <v>610</v>
      </c>
      <c r="Z2" s="10" t="s">
        <v>35</v>
      </c>
      <c r="AA2" s="10" t="s">
        <v>35</v>
      </c>
      <c r="AB2" s="10" t="s">
        <v>611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38</v>
      </c>
      <c r="AH2" s="10" t="s">
        <v>92</v>
      </c>
    </row>
    <row r="3" spans="1:34" x14ac:dyDescent="0.3">
      <c r="A3" s="75" t="s">
        <v>611</v>
      </c>
      <c r="B3" s="19" t="s">
        <v>628</v>
      </c>
      <c r="C3" s="19" t="s">
        <v>629</v>
      </c>
      <c r="D3" s="20">
        <v>45127</v>
      </c>
      <c r="E3" s="21">
        <v>150000</v>
      </c>
      <c r="F3" s="19" t="s">
        <v>32</v>
      </c>
      <c r="G3" s="19" t="s">
        <v>33</v>
      </c>
      <c r="H3" s="21">
        <v>150000</v>
      </c>
      <c r="I3" s="21">
        <v>74900</v>
      </c>
      <c r="J3" s="22">
        <f t="shared" si="0"/>
        <v>49.933333333333337</v>
      </c>
      <c r="K3" s="21">
        <v>190013</v>
      </c>
      <c r="L3" s="21">
        <f>H3-179565</f>
        <v>-29565</v>
      </c>
      <c r="M3" s="21">
        <v>10448</v>
      </c>
      <c r="N3" s="67">
        <f t="shared" si="1"/>
        <v>6.9653333333333331E-2</v>
      </c>
      <c r="O3" s="23">
        <v>49.04</v>
      </c>
      <c r="P3" s="24">
        <v>110.67</v>
      </c>
      <c r="Q3" s="25">
        <v>0.127</v>
      </c>
      <c r="R3" s="25">
        <v>0.127</v>
      </c>
      <c r="S3" s="21">
        <f t="shared" si="2"/>
        <v>-602.87520391517126</v>
      </c>
      <c r="T3" s="21">
        <f t="shared" si="3"/>
        <v>-232795.27559055117</v>
      </c>
      <c r="U3" s="26">
        <f t="shared" si="4"/>
        <v>-5.3442441595626988</v>
      </c>
      <c r="V3" s="25">
        <v>50</v>
      </c>
      <c r="W3" s="25">
        <f t="shared" si="5"/>
        <v>30000</v>
      </c>
      <c r="X3" s="25">
        <f t="shared" si="6"/>
        <v>600</v>
      </c>
      <c r="Y3" s="27" t="s">
        <v>610</v>
      </c>
      <c r="Z3" s="19" t="s">
        <v>35</v>
      </c>
      <c r="AA3" s="19" t="s">
        <v>35</v>
      </c>
      <c r="AB3" s="19" t="s">
        <v>611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611</v>
      </c>
      <c r="B4" s="10" t="s">
        <v>669</v>
      </c>
      <c r="C4" s="10" t="s">
        <v>670</v>
      </c>
      <c r="D4" s="11">
        <v>45744</v>
      </c>
      <c r="E4" s="12">
        <v>154500</v>
      </c>
      <c r="F4" s="10" t="s">
        <v>32</v>
      </c>
      <c r="G4" s="10" t="s">
        <v>33</v>
      </c>
      <c r="H4" s="12">
        <v>154500</v>
      </c>
      <c r="I4" s="12">
        <v>90100</v>
      </c>
      <c r="J4" s="13">
        <f t="shared" si="0"/>
        <v>58.317152103559863</v>
      </c>
      <c r="K4" s="12">
        <v>195782</v>
      </c>
      <c r="L4" s="12">
        <f>H4-184324</f>
        <v>-29824</v>
      </c>
      <c r="M4" s="12">
        <v>11458</v>
      </c>
      <c r="N4" s="66">
        <f t="shared" si="1"/>
        <v>7.4161812297734622E-2</v>
      </c>
      <c r="O4" s="14">
        <v>53.79</v>
      </c>
      <c r="P4" s="15">
        <v>110</v>
      </c>
      <c r="Q4" s="16">
        <v>0.13900000000000001</v>
      </c>
      <c r="R4" s="16">
        <v>0.13900000000000001</v>
      </c>
      <c r="S4" s="12">
        <f t="shared" si="2"/>
        <v>-554.45250046477042</v>
      </c>
      <c r="T4" s="12">
        <f t="shared" si="3"/>
        <v>-214561.15107913667</v>
      </c>
      <c r="U4" s="17">
        <f t="shared" si="4"/>
        <v>-4.9256462598516224</v>
      </c>
      <c r="V4" s="16">
        <v>55</v>
      </c>
      <c r="W4" s="16">
        <f t="shared" si="5"/>
        <v>30900</v>
      </c>
      <c r="X4" s="16">
        <f t="shared" si="6"/>
        <v>561.81818181818187</v>
      </c>
      <c r="Y4" s="18" t="s">
        <v>610</v>
      </c>
      <c r="Z4" s="10" t="s">
        <v>35</v>
      </c>
      <c r="AA4" s="10" t="s">
        <v>35</v>
      </c>
      <c r="AB4" s="10" t="s">
        <v>611</v>
      </c>
      <c r="AC4" s="10">
        <v>0</v>
      </c>
      <c r="AD4" s="10">
        <v>1</v>
      </c>
      <c r="AE4" s="10" t="s">
        <v>37</v>
      </c>
      <c r="AF4" s="10" t="s">
        <v>35</v>
      </c>
      <c r="AG4" s="10" t="s">
        <v>38</v>
      </c>
      <c r="AH4" s="10" t="s">
        <v>92</v>
      </c>
    </row>
    <row r="5" spans="1:34" x14ac:dyDescent="0.3">
      <c r="A5" s="75" t="s">
        <v>611</v>
      </c>
      <c r="B5" s="19" t="s">
        <v>622</v>
      </c>
      <c r="C5" s="19" t="s">
        <v>623</v>
      </c>
      <c r="D5" s="20">
        <v>45203</v>
      </c>
      <c r="E5" s="21">
        <v>155000</v>
      </c>
      <c r="F5" s="19" t="s">
        <v>32</v>
      </c>
      <c r="G5" s="19" t="s">
        <v>33</v>
      </c>
      <c r="H5" s="21">
        <v>155000</v>
      </c>
      <c r="I5" s="21">
        <v>77200</v>
      </c>
      <c r="J5" s="22">
        <f t="shared" si="0"/>
        <v>49.806451612903224</v>
      </c>
      <c r="K5" s="21">
        <v>196143</v>
      </c>
      <c r="L5" s="21">
        <f>H5-184070</f>
        <v>-29070</v>
      </c>
      <c r="M5" s="21">
        <v>12073</v>
      </c>
      <c r="N5" s="67">
        <f t="shared" si="1"/>
        <v>7.7890322580645155E-2</v>
      </c>
      <c r="O5" s="23">
        <v>56.68</v>
      </c>
      <c r="P5" s="24">
        <v>139.33000000000001</v>
      </c>
      <c r="Q5" s="25">
        <v>0.16200000000000001</v>
      </c>
      <c r="R5" s="25">
        <v>0.16200000000000001</v>
      </c>
      <c r="S5" s="21">
        <f t="shared" si="2"/>
        <v>-512.87932251235009</v>
      </c>
      <c r="T5" s="21">
        <f t="shared" si="3"/>
        <v>-179444.44444444444</v>
      </c>
      <c r="U5" s="26">
        <f t="shared" si="4"/>
        <v>-4.1194776043260894</v>
      </c>
      <c r="V5" s="25">
        <v>52.89</v>
      </c>
      <c r="W5" s="25">
        <f t="shared" si="5"/>
        <v>31000</v>
      </c>
      <c r="X5" s="25">
        <f t="shared" si="6"/>
        <v>586.12214029117035</v>
      </c>
      <c r="Y5" s="27" t="s">
        <v>610</v>
      </c>
      <c r="Z5" s="19" t="s">
        <v>35</v>
      </c>
      <c r="AA5" s="19" t="s">
        <v>35</v>
      </c>
      <c r="AB5" s="19" t="s">
        <v>611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611</v>
      </c>
      <c r="B6" s="10" t="s">
        <v>712</v>
      </c>
      <c r="C6" s="10" t="s">
        <v>713</v>
      </c>
      <c r="D6" s="11">
        <v>45247</v>
      </c>
      <c r="E6" s="12">
        <v>150000</v>
      </c>
      <c r="F6" s="10" t="s">
        <v>32</v>
      </c>
      <c r="G6" s="10" t="s">
        <v>33</v>
      </c>
      <c r="H6" s="12">
        <v>150000</v>
      </c>
      <c r="I6" s="12">
        <v>75600</v>
      </c>
      <c r="J6" s="13">
        <f t="shared" si="0"/>
        <v>50.4</v>
      </c>
      <c r="K6" s="12">
        <v>191478</v>
      </c>
      <c r="L6" s="12">
        <f>H6-177153</f>
        <v>-27153</v>
      </c>
      <c r="M6" s="12">
        <v>14325</v>
      </c>
      <c r="N6" s="66">
        <f t="shared" si="1"/>
        <v>9.5500000000000002E-2</v>
      </c>
      <c r="O6" s="14">
        <v>67.25</v>
      </c>
      <c r="P6" s="15">
        <v>125.02</v>
      </c>
      <c r="Q6" s="16">
        <v>0.185</v>
      </c>
      <c r="R6" s="16">
        <v>0.185</v>
      </c>
      <c r="S6" s="12">
        <f t="shared" si="2"/>
        <v>-403.76208178438662</v>
      </c>
      <c r="T6" s="12">
        <f t="shared" si="3"/>
        <v>-146772.97297297299</v>
      </c>
      <c r="U6" s="17">
        <f t="shared" si="4"/>
        <v>-3.369443823989279</v>
      </c>
      <c r="V6" s="16">
        <v>64.5</v>
      </c>
      <c r="W6" s="16">
        <f t="shared" si="5"/>
        <v>30000</v>
      </c>
      <c r="X6" s="16">
        <f t="shared" si="6"/>
        <v>465.11627906976742</v>
      </c>
      <c r="Y6" s="18" t="s">
        <v>610</v>
      </c>
      <c r="Z6" s="10" t="s">
        <v>35</v>
      </c>
      <c r="AA6" s="10" t="s">
        <v>35</v>
      </c>
      <c r="AB6" s="10" t="s">
        <v>611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5" t="s">
        <v>611</v>
      </c>
      <c r="B7" s="19" t="s">
        <v>714</v>
      </c>
      <c r="C7" s="19" t="s">
        <v>715</v>
      </c>
      <c r="D7" s="20">
        <v>45170</v>
      </c>
      <c r="E7" s="21">
        <v>150000</v>
      </c>
      <c r="F7" s="19" t="s">
        <v>32</v>
      </c>
      <c r="G7" s="19" t="s">
        <v>33</v>
      </c>
      <c r="H7" s="21">
        <v>150000</v>
      </c>
      <c r="I7" s="21">
        <v>70900</v>
      </c>
      <c r="J7" s="22">
        <f t="shared" si="0"/>
        <v>47.266666666666666</v>
      </c>
      <c r="K7" s="21">
        <v>179667</v>
      </c>
      <c r="L7" s="21">
        <f>H7-168564</f>
        <v>-18564</v>
      </c>
      <c r="M7" s="21">
        <v>11103</v>
      </c>
      <c r="N7" s="67">
        <f t="shared" si="1"/>
        <v>7.4020000000000002E-2</v>
      </c>
      <c r="O7" s="23">
        <v>52.12</v>
      </c>
      <c r="P7" s="24">
        <v>125</v>
      </c>
      <c r="Q7" s="25">
        <v>0.14299999999999999</v>
      </c>
      <c r="R7" s="25">
        <v>0.14299999999999999</v>
      </c>
      <c r="S7" s="21">
        <f t="shared" si="2"/>
        <v>-356.17805065234074</v>
      </c>
      <c r="T7" s="21">
        <f t="shared" si="3"/>
        <v>-129818.18181818182</v>
      </c>
      <c r="U7" s="26">
        <f t="shared" si="4"/>
        <v>-2.9802153769095918</v>
      </c>
      <c r="V7" s="25">
        <v>50</v>
      </c>
      <c r="W7" s="25">
        <f t="shared" si="5"/>
        <v>30000</v>
      </c>
      <c r="X7" s="25">
        <f t="shared" si="6"/>
        <v>600</v>
      </c>
      <c r="Y7" s="27" t="s">
        <v>610</v>
      </c>
      <c r="Z7" s="19" t="s">
        <v>35</v>
      </c>
      <c r="AA7" s="19" t="s">
        <v>35</v>
      </c>
      <c r="AB7" s="19" t="s">
        <v>611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611</v>
      </c>
      <c r="B8" s="19" t="s">
        <v>728</v>
      </c>
      <c r="C8" s="19" t="s">
        <v>729</v>
      </c>
      <c r="D8" s="20">
        <v>45089</v>
      </c>
      <c r="E8" s="21">
        <v>205000</v>
      </c>
      <c r="F8" s="19" t="s">
        <v>32</v>
      </c>
      <c r="G8" s="19" t="s">
        <v>33</v>
      </c>
      <c r="H8" s="21">
        <v>205000</v>
      </c>
      <c r="I8" s="21">
        <v>89800</v>
      </c>
      <c r="J8" s="22">
        <f t="shared" si="0"/>
        <v>43.804878048780488</v>
      </c>
      <c r="K8" s="21">
        <v>229570</v>
      </c>
      <c r="L8" s="21">
        <f>H8-217855</f>
        <v>-12855</v>
      </c>
      <c r="M8" s="21">
        <v>11715</v>
      </c>
      <c r="N8" s="67">
        <f t="shared" si="1"/>
        <v>5.7146341463414636E-2</v>
      </c>
      <c r="O8" s="23">
        <v>55</v>
      </c>
      <c r="P8" s="24">
        <v>115</v>
      </c>
      <c r="Q8" s="25">
        <v>0.14499999999999999</v>
      </c>
      <c r="R8" s="25">
        <v>0.14499999999999999</v>
      </c>
      <c r="S8" s="21">
        <f t="shared" si="2"/>
        <v>-233.72727272727272</v>
      </c>
      <c r="T8" s="21">
        <f t="shared" si="3"/>
        <v>-88655.172413793116</v>
      </c>
      <c r="U8" s="26">
        <f t="shared" si="4"/>
        <v>-2.0352427092239007</v>
      </c>
      <c r="V8" s="25">
        <v>55</v>
      </c>
      <c r="W8" s="25">
        <f t="shared" si="5"/>
        <v>41000</v>
      </c>
      <c r="X8" s="25">
        <f t="shared" si="6"/>
        <v>745.4545454545455</v>
      </c>
      <c r="Y8" s="27" t="s">
        <v>610</v>
      </c>
      <c r="Z8" s="19" t="s">
        <v>35</v>
      </c>
      <c r="AA8" s="19" t="s">
        <v>35</v>
      </c>
      <c r="AB8" s="19" t="s">
        <v>611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611</v>
      </c>
      <c r="B9" s="19" t="s">
        <v>688</v>
      </c>
      <c r="C9" s="19" t="s">
        <v>689</v>
      </c>
      <c r="D9" s="20">
        <v>45719</v>
      </c>
      <c r="E9" s="21">
        <v>138000</v>
      </c>
      <c r="F9" s="19" t="s">
        <v>32</v>
      </c>
      <c r="G9" s="19" t="s">
        <v>33</v>
      </c>
      <c r="H9" s="21">
        <v>138000</v>
      </c>
      <c r="I9" s="21">
        <v>75000</v>
      </c>
      <c r="J9" s="22">
        <f t="shared" si="0"/>
        <v>54.347826086956516</v>
      </c>
      <c r="K9" s="21">
        <v>160820</v>
      </c>
      <c r="L9" s="21">
        <f>H9-149723</f>
        <v>-11723</v>
      </c>
      <c r="M9" s="21">
        <v>11097</v>
      </c>
      <c r="N9" s="67">
        <f t="shared" si="1"/>
        <v>8.0413043478260865E-2</v>
      </c>
      <c r="O9" s="23">
        <v>52.09</v>
      </c>
      <c r="P9" s="24">
        <v>120</v>
      </c>
      <c r="Q9" s="25">
        <v>0.14000000000000001</v>
      </c>
      <c r="R9" s="25">
        <v>0.14000000000000001</v>
      </c>
      <c r="S9" s="21">
        <f t="shared" si="2"/>
        <v>-225.05279324246496</v>
      </c>
      <c r="T9" s="21">
        <f t="shared" si="3"/>
        <v>-83735.714285714275</v>
      </c>
      <c r="U9" s="26">
        <f t="shared" si="4"/>
        <v>-1.9223074904893085</v>
      </c>
      <c r="V9" s="25">
        <v>51</v>
      </c>
      <c r="W9" s="25">
        <f t="shared" si="5"/>
        <v>27600</v>
      </c>
      <c r="X9" s="25">
        <f t="shared" si="6"/>
        <v>541.17647058823525</v>
      </c>
      <c r="Y9" s="27" t="s">
        <v>610</v>
      </c>
      <c r="Z9" s="19" t="s">
        <v>35</v>
      </c>
      <c r="AA9" s="19" t="s">
        <v>35</v>
      </c>
      <c r="AB9" s="19" t="s">
        <v>611</v>
      </c>
      <c r="AC9" s="19">
        <v>0</v>
      </c>
      <c r="AD9" s="19">
        <v>1</v>
      </c>
      <c r="AE9" s="19" t="s">
        <v>412</v>
      </c>
      <c r="AF9" s="19" t="s">
        <v>35</v>
      </c>
      <c r="AG9" s="19" t="s">
        <v>38</v>
      </c>
      <c r="AH9" s="19" t="s">
        <v>92</v>
      </c>
    </row>
    <row r="10" spans="1:34" x14ac:dyDescent="0.3">
      <c r="A10" s="75" t="s">
        <v>611</v>
      </c>
      <c r="B10" s="19" t="s">
        <v>647</v>
      </c>
      <c r="C10" s="19" t="s">
        <v>648</v>
      </c>
      <c r="D10" s="20">
        <v>45297</v>
      </c>
      <c r="E10" s="21">
        <v>169900</v>
      </c>
      <c r="F10" s="19" t="s">
        <v>32</v>
      </c>
      <c r="G10" s="19" t="s">
        <v>33</v>
      </c>
      <c r="H10" s="21">
        <v>169900</v>
      </c>
      <c r="I10" s="21">
        <v>75200</v>
      </c>
      <c r="J10" s="22">
        <f t="shared" si="0"/>
        <v>44.261330194231903</v>
      </c>
      <c r="K10" s="21">
        <v>190979</v>
      </c>
      <c r="L10" s="21">
        <f>H10-180563</f>
        <v>-10663</v>
      </c>
      <c r="M10" s="21">
        <v>10416</v>
      </c>
      <c r="N10" s="67">
        <f t="shared" si="1"/>
        <v>6.1306650971159504E-2</v>
      </c>
      <c r="O10" s="23">
        <v>48.9</v>
      </c>
      <c r="P10" s="24">
        <v>110</v>
      </c>
      <c r="Q10" s="25">
        <v>0.126</v>
      </c>
      <c r="R10" s="25">
        <v>0.126</v>
      </c>
      <c r="S10" s="21">
        <f t="shared" si="2"/>
        <v>-218.05725971370143</v>
      </c>
      <c r="T10" s="21">
        <f t="shared" si="3"/>
        <v>-84626.984126984127</v>
      </c>
      <c r="U10" s="26">
        <f t="shared" si="4"/>
        <v>-1.9427682306470184</v>
      </c>
      <c r="V10" s="25">
        <v>50</v>
      </c>
      <c r="W10" s="25">
        <f t="shared" si="5"/>
        <v>33980</v>
      </c>
      <c r="X10" s="25">
        <f t="shared" si="6"/>
        <v>679.6</v>
      </c>
      <c r="Y10" s="27" t="s">
        <v>610</v>
      </c>
      <c r="Z10" s="19" t="s">
        <v>35</v>
      </c>
      <c r="AA10" s="19" t="s">
        <v>35</v>
      </c>
      <c r="AB10" s="19" t="s">
        <v>611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611</v>
      </c>
      <c r="B11" s="10" t="s">
        <v>633</v>
      </c>
      <c r="C11" s="10" t="s">
        <v>634</v>
      </c>
      <c r="D11" s="11">
        <v>45244</v>
      </c>
      <c r="E11" s="12">
        <v>180000</v>
      </c>
      <c r="F11" s="10" t="s">
        <v>32</v>
      </c>
      <c r="G11" s="10" t="s">
        <v>33</v>
      </c>
      <c r="H11" s="12">
        <v>180000</v>
      </c>
      <c r="I11" s="12">
        <v>77200</v>
      </c>
      <c r="J11" s="13">
        <f t="shared" si="0"/>
        <v>42.888888888888886</v>
      </c>
      <c r="K11" s="12">
        <v>196515</v>
      </c>
      <c r="L11" s="12">
        <f>H11-185981</f>
        <v>-5981</v>
      </c>
      <c r="M11" s="12">
        <v>10534</v>
      </c>
      <c r="N11" s="66">
        <f t="shared" si="1"/>
        <v>5.8522222222222225E-2</v>
      </c>
      <c r="O11" s="14">
        <v>49.45</v>
      </c>
      <c r="P11" s="15">
        <v>112.5</v>
      </c>
      <c r="Q11" s="16">
        <v>0.129</v>
      </c>
      <c r="R11" s="16">
        <v>0.129</v>
      </c>
      <c r="S11" s="12">
        <f t="shared" si="2"/>
        <v>-120.9504550050556</v>
      </c>
      <c r="T11" s="12">
        <f t="shared" si="3"/>
        <v>-46364.341085271313</v>
      </c>
      <c r="U11" s="17">
        <f t="shared" si="4"/>
        <v>-1.064378812793189</v>
      </c>
      <c r="V11" s="16">
        <v>50</v>
      </c>
      <c r="W11" s="16">
        <f t="shared" si="5"/>
        <v>36000</v>
      </c>
      <c r="X11" s="16">
        <f t="shared" si="6"/>
        <v>720</v>
      </c>
      <c r="Y11" s="18" t="s">
        <v>610</v>
      </c>
      <c r="Z11" s="10" t="s">
        <v>35</v>
      </c>
      <c r="AA11" s="10" t="s">
        <v>35</v>
      </c>
      <c r="AB11" s="10" t="s">
        <v>611</v>
      </c>
      <c r="AC11" s="10">
        <v>0</v>
      </c>
      <c r="AD11" s="10">
        <v>1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611</v>
      </c>
      <c r="B12" s="10" t="s">
        <v>667</v>
      </c>
      <c r="C12" s="10" t="s">
        <v>668</v>
      </c>
      <c r="D12" s="11">
        <v>45054</v>
      </c>
      <c r="E12" s="12">
        <v>180000</v>
      </c>
      <c r="F12" s="10" t="s">
        <v>32</v>
      </c>
      <c r="G12" s="10" t="s">
        <v>33</v>
      </c>
      <c r="H12" s="12">
        <v>180000</v>
      </c>
      <c r="I12" s="12">
        <v>77100</v>
      </c>
      <c r="J12" s="13">
        <f t="shared" si="0"/>
        <v>42.833333333333336</v>
      </c>
      <c r="K12" s="12">
        <v>195647</v>
      </c>
      <c r="L12" s="12">
        <f>H12-185231</f>
        <v>-5231</v>
      </c>
      <c r="M12" s="12">
        <v>10416</v>
      </c>
      <c r="N12" s="66">
        <f t="shared" si="1"/>
        <v>5.7866666666666663E-2</v>
      </c>
      <c r="O12" s="14">
        <v>48.9</v>
      </c>
      <c r="P12" s="15">
        <v>110</v>
      </c>
      <c r="Q12" s="16">
        <v>0.126</v>
      </c>
      <c r="R12" s="16">
        <v>0.126</v>
      </c>
      <c r="S12" s="12">
        <f t="shared" si="2"/>
        <v>-106.97341513292434</v>
      </c>
      <c r="T12" s="12">
        <f t="shared" si="3"/>
        <v>-41515.873015873018</v>
      </c>
      <c r="U12" s="17">
        <f t="shared" si="4"/>
        <v>-0.95307330155815007</v>
      </c>
      <c r="V12" s="16">
        <v>50</v>
      </c>
      <c r="W12" s="16">
        <f t="shared" si="5"/>
        <v>36000</v>
      </c>
      <c r="X12" s="16">
        <f t="shared" si="6"/>
        <v>720</v>
      </c>
      <c r="Y12" s="18" t="s">
        <v>610</v>
      </c>
      <c r="Z12" s="10" t="s">
        <v>35</v>
      </c>
      <c r="AA12" s="10" t="s">
        <v>35</v>
      </c>
      <c r="AB12" s="10" t="s">
        <v>611</v>
      </c>
      <c r="AC12" s="10">
        <v>0</v>
      </c>
      <c r="AD12" s="10">
        <v>1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4" t="s">
        <v>611</v>
      </c>
      <c r="B13" s="10" t="s">
        <v>624</v>
      </c>
      <c r="C13" s="10" t="s">
        <v>625</v>
      </c>
      <c r="D13" s="11">
        <v>45041</v>
      </c>
      <c r="E13" s="12">
        <v>170000</v>
      </c>
      <c r="F13" s="10" t="s">
        <v>32</v>
      </c>
      <c r="G13" s="10" t="s">
        <v>33</v>
      </c>
      <c r="H13" s="12">
        <v>170000</v>
      </c>
      <c r="I13" s="12">
        <v>73100</v>
      </c>
      <c r="J13" s="13">
        <f t="shared" si="0"/>
        <v>43</v>
      </c>
      <c r="K13" s="12">
        <v>185557</v>
      </c>
      <c r="L13" s="12">
        <f>H13-175023</f>
        <v>-5023</v>
      </c>
      <c r="M13" s="12">
        <v>10534</v>
      </c>
      <c r="N13" s="66">
        <f t="shared" si="1"/>
        <v>6.1964705882352943E-2</v>
      </c>
      <c r="O13" s="14">
        <v>49.45</v>
      </c>
      <c r="P13" s="15">
        <v>112.5</v>
      </c>
      <c r="Q13" s="16">
        <v>0.129</v>
      </c>
      <c r="R13" s="16">
        <v>0.129</v>
      </c>
      <c r="S13" s="12">
        <f t="shared" si="2"/>
        <v>-101.57735085945399</v>
      </c>
      <c r="T13" s="12">
        <f t="shared" si="3"/>
        <v>-38937.984496124031</v>
      </c>
      <c r="U13" s="17">
        <f t="shared" si="4"/>
        <v>-0.893893124337099</v>
      </c>
      <c r="V13" s="16">
        <v>50</v>
      </c>
      <c r="W13" s="16">
        <f t="shared" si="5"/>
        <v>34000</v>
      </c>
      <c r="X13" s="16">
        <f t="shared" si="6"/>
        <v>680</v>
      </c>
      <c r="Y13" s="18" t="s">
        <v>610</v>
      </c>
      <c r="Z13" s="10" t="s">
        <v>35</v>
      </c>
      <c r="AA13" s="10" t="s">
        <v>35</v>
      </c>
      <c r="AB13" s="10" t="s">
        <v>611</v>
      </c>
      <c r="AC13" s="10">
        <v>0</v>
      </c>
      <c r="AD13" s="10">
        <v>1</v>
      </c>
      <c r="AE13" s="10" t="s">
        <v>37</v>
      </c>
      <c r="AF13" s="10" t="s">
        <v>43</v>
      </c>
      <c r="AG13" s="10" t="s">
        <v>38</v>
      </c>
      <c r="AH13" s="10" t="s">
        <v>92</v>
      </c>
    </row>
    <row r="14" spans="1:34" x14ac:dyDescent="0.3">
      <c r="A14" s="74" t="s">
        <v>611</v>
      </c>
      <c r="B14" s="10" t="s">
        <v>641</v>
      </c>
      <c r="C14" s="10" t="s">
        <v>642</v>
      </c>
      <c r="D14" s="11">
        <v>45446</v>
      </c>
      <c r="E14" s="12">
        <v>211200</v>
      </c>
      <c r="F14" s="10" t="s">
        <v>32</v>
      </c>
      <c r="G14" s="10" t="s">
        <v>33</v>
      </c>
      <c r="H14" s="12">
        <v>211200</v>
      </c>
      <c r="I14" s="12">
        <v>103500</v>
      </c>
      <c r="J14" s="13">
        <f t="shared" si="0"/>
        <v>49.00568181818182</v>
      </c>
      <c r="K14" s="12">
        <v>226608</v>
      </c>
      <c r="L14" s="12">
        <f>H14-215931</f>
        <v>-4731</v>
      </c>
      <c r="M14" s="12">
        <v>10677</v>
      </c>
      <c r="N14" s="66">
        <f t="shared" si="1"/>
        <v>5.0553977272727271E-2</v>
      </c>
      <c r="O14" s="14">
        <v>50.12</v>
      </c>
      <c r="P14" s="15">
        <v>111.09</v>
      </c>
      <c r="Q14" s="16">
        <v>0.13300000000000001</v>
      </c>
      <c r="R14" s="16">
        <v>0.13300000000000001</v>
      </c>
      <c r="S14" s="12">
        <f t="shared" si="2"/>
        <v>-94.393455706304877</v>
      </c>
      <c r="T14" s="12">
        <f t="shared" si="3"/>
        <v>-35571.428571428572</v>
      </c>
      <c r="U14" s="17">
        <f t="shared" si="4"/>
        <v>-0.81660763478945297</v>
      </c>
      <c r="V14" s="16">
        <v>49</v>
      </c>
      <c r="W14" s="16">
        <f t="shared" si="5"/>
        <v>42240</v>
      </c>
      <c r="X14" s="16">
        <f t="shared" si="6"/>
        <v>862.0408163265306</v>
      </c>
      <c r="Y14" s="18" t="s">
        <v>610</v>
      </c>
      <c r="Z14" s="10" t="s">
        <v>35</v>
      </c>
      <c r="AA14" s="10" t="s">
        <v>35</v>
      </c>
      <c r="AB14" s="10" t="s">
        <v>611</v>
      </c>
      <c r="AC14" s="10">
        <v>0</v>
      </c>
      <c r="AD14" s="10">
        <v>1</v>
      </c>
      <c r="AE14" s="10" t="s">
        <v>42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4" t="s">
        <v>611</v>
      </c>
      <c r="B15" s="10" t="s">
        <v>726</v>
      </c>
      <c r="C15" s="10" t="s">
        <v>727</v>
      </c>
      <c r="D15" s="11">
        <v>45327</v>
      </c>
      <c r="E15" s="12">
        <v>163300</v>
      </c>
      <c r="F15" s="10" t="s">
        <v>32</v>
      </c>
      <c r="G15" s="10" t="s">
        <v>33</v>
      </c>
      <c r="H15" s="12">
        <v>163300</v>
      </c>
      <c r="I15" s="12">
        <v>68000</v>
      </c>
      <c r="J15" s="13">
        <f t="shared" si="0"/>
        <v>41.641151255358238</v>
      </c>
      <c r="K15" s="12">
        <v>177846</v>
      </c>
      <c r="L15" s="12">
        <f>H15-166770</f>
        <v>-3470</v>
      </c>
      <c r="M15" s="12">
        <v>11076</v>
      </c>
      <c r="N15" s="66">
        <f t="shared" si="1"/>
        <v>6.7826086956521744E-2</v>
      </c>
      <c r="O15" s="14">
        <v>52</v>
      </c>
      <c r="P15" s="15">
        <v>115</v>
      </c>
      <c r="Q15" s="16">
        <v>0.13700000000000001</v>
      </c>
      <c r="R15" s="16">
        <v>0.13700000000000001</v>
      </c>
      <c r="S15" s="12">
        <f t="shared" si="2"/>
        <v>-66.730769230769226</v>
      </c>
      <c r="T15" s="12">
        <f t="shared" si="3"/>
        <v>-25328.46715328467</v>
      </c>
      <c r="U15" s="17">
        <f t="shared" si="4"/>
        <v>-0.58146159672370679</v>
      </c>
      <c r="V15" s="16">
        <v>52</v>
      </c>
      <c r="W15" s="16">
        <f t="shared" si="5"/>
        <v>32660</v>
      </c>
      <c r="X15" s="16">
        <f t="shared" si="6"/>
        <v>628.07692307692309</v>
      </c>
      <c r="Y15" s="18" t="s">
        <v>610</v>
      </c>
      <c r="Z15" s="10" t="s">
        <v>35</v>
      </c>
      <c r="AA15" s="10" t="s">
        <v>35</v>
      </c>
      <c r="AB15" s="10" t="s">
        <v>611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4" t="s">
        <v>611</v>
      </c>
      <c r="B16" s="10" t="s">
        <v>738</v>
      </c>
      <c r="C16" s="10" t="s">
        <v>739</v>
      </c>
      <c r="D16" s="11">
        <v>45030</v>
      </c>
      <c r="E16" s="12">
        <v>152500</v>
      </c>
      <c r="F16" s="10" t="s">
        <v>32</v>
      </c>
      <c r="G16" s="10" t="s">
        <v>33</v>
      </c>
      <c r="H16" s="12">
        <v>152500</v>
      </c>
      <c r="I16" s="12">
        <v>64200</v>
      </c>
      <c r="J16" s="13">
        <f t="shared" si="0"/>
        <v>42.098360655737707</v>
      </c>
      <c r="K16" s="12">
        <v>166679</v>
      </c>
      <c r="L16" s="12">
        <f>H16-155603</f>
        <v>-3103</v>
      </c>
      <c r="M16" s="12">
        <v>11076</v>
      </c>
      <c r="N16" s="66">
        <f t="shared" si="1"/>
        <v>7.2629508196721315E-2</v>
      </c>
      <c r="O16" s="14">
        <v>52</v>
      </c>
      <c r="P16" s="15">
        <v>115</v>
      </c>
      <c r="Q16" s="16">
        <v>0.13700000000000001</v>
      </c>
      <c r="R16" s="16">
        <v>0.13700000000000001</v>
      </c>
      <c r="S16" s="12">
        <f t="shared" si="2"/>
        <v>-59.67307692307692</v>
      </c>
      <c r="T16" s="12">
        <f t="shared" si="3"/>
        <v>-22649.635036496347</v>
      </c>
      <c r="U16" s="17">
        <f t="shared" si="4"/>
        <v>-0.51996407338145889</v>
      </c>
      <c r="V16" s="16">
        <v>52</v>
      </c>
      <c r="W16" s="16">
        <f t="shared" si="5"/>
        <v>30500</v>
      </c>
      <c r="X16" s="16">
        <f t="shared" si="6"/>
        <v>586.53846153846155</v>
      </c>
      <c r="Y16" s="18" t="s">
        <v>610</v>
      </c>
      <c r="Z16" s="10" t="s">
        <v>35</v>
      </c>
      <c r="AA16" s="10" t="s">
        <v>35</v>
      </c>
      <c r="AB16" s="10" t="s">
        <v>611</v>
      </c>
      <c r="AC16" s="10">
        <v>0</v>
      </c>
      <c r="AD16" s="10">
        <v>1</v>
      </c>
      <c r="AE16" s="10" t="s">
        <v>37</v>
      </c>
      <c r="AF16" s="10" t="s">
        <v>43</v>
      </c>
      <c r="AG16" s="10" t="s">
        <v>38</v>
      </c>
      <c r="AH16" s="10" t="s">
        <v>92</v>
      </c>
    </row>
    <row r="17" spans="1:34" x14ac:dyDescent="0.3">
      <c r="A17" s="75" t="s">
        <v>611</v>
      </c>
      <c r="B17" s="19" t="s">
        <v>630</v>
      </c>
      <c r="C17" s="19" t="s">
        <v>631</v>
      </c>
      <c r="D17" s="20">
        <v>45301</v>
      </c>
      <c r="E17" s="21">
        <v>193500</v>
      </c>
      <c r="F17" s="19" t="s">
        <v>32</v>
      </c>
      <c r="G17" s="19" t="s">
        <v>33</v>
      </c>
      <c r="H17" s="21">
        <v>193500</v>
      </c>
      <c r="I17" s="21">
        <v>80800</v>
      </c>
      <c r="J17" s="22">
        <f t="shared" si="0"/>
        <v>41.757105943152453</v>
      </c>
      <c r="K17" s="21">
        <v>205313</v>
      </c>
      <c r="L17" s="21">
        <f>H17-194042</f>
        <v>-542</v>
      </c>
      <c r="M17" s="21">
        <v>11271</v>
      </c>
      <c r="N17" s="67">
        <f t="shared" si="1"/>
        <v>5.8248062015503879E-2</v>
      </c>
      <c r="O17" s="23">
        <v>52.91</v>
      </c>
      <c r="P17" s="24">
        <v>106.64</v>
      </c>
      <c r="Q17" s="25">
        <v>0.124</v>
      </c>
      <c r="R17" s="25">
        <v>0.124</v>
      </c>
      <c r="S17" s="21">
        <f t="shared" si="2"/>
        <v>-10.243810243810245</v>
      </c>
      <c r="T17" s="21">
        <f t="shared" si="3"/>
        <v>-4370.9677419354839</v>
      </c>
      <c r="U17" s="26">
        <f t="shared" si="4"/>
        <v>-0.10034361207381735</v>
      </c>
      <c r="V17" s="25">
        <v>63.72</v>
      </c>
      <c r="W17" s="25">
        <f t="shared" si="5"/>
        <v>38700</v>
      </c>
      <c r="X17" s="25">
        <f t="shared" si="6"/>
        <v>607.34463276836163</v>
      </c>
      <c r="Y17" s="27" t="s">
        <v>610</v>
      </c>
      <c r="Z17" s="19" t="s">
        <v>35</v>
      </c>
      <c r="AA17" s="19" t="s">
        <v>35</v>
      </c>
      <c r="AB17" s="19" t="s">
        <v>611</v>
      </c>
      <c r="AC17" s="19">
        <v>0</v>
      </c>
      <c r="AD17" s="19">
        <v>1</v>
      </c>
      <c r="AE17" s="19" t="s">
        <v>632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5" t="s">
        <v>611</v>
      </c>
      <c r="B18" s="19" t="s">
        <v>671</v>
      </c>
      <c r="C18" s="19" t="s">
        <v>672</v>
      </c>
      <c r="D18" s="20">
        <v>45597</v>
      </c>
      <c r="E18" s="21">
        <v>189900</v>
      </c>
      <c r="F18" s="19" t="s">
        <v>32</v>
      </c>
      <c r="G18" s="19" t="s">
        <v>33</v>
      </c>
      <c r="H18" s="21">
        <v>189900</v>
      </c>
      <c r="I18" s="21">
        <v>92100</v>
      </c>
      <c r="J18" s="22">
        <f t="shared" si="0"/>
        <v>48.499210110584521</v>
      </c>
      <c r="K18" s="21">
        <v>200449</v>
      </c>
      <c r="L18" s="21">
        <f>H18-189444</f>
        <v>456</v>
      </c>
      <c r="M18" s="21">
        <v>11005</v>
      </c>
      <c r="N18" s="67">
        <f t="shared" si="1"/>
        <v>5.7951553449183783E-2</v>
      </c>
      <c r="O18" s="23">
        <v>51.66</v>
      </c>
      <c r="P18" s="24">
        <v>110</v>
      </c>
      <c r="Q18" s="25">
        <v>0.13300000000000001</v>
      </c>
      <c r="R18" s="25">
        <v>0.13300000000000001</v>
      </c>
      <c r="S18" s="21">
        <f t="shared" si="2"/>
        <v>8.8269454123112663</v>
      </c>
      <c r="T18" s="21">
        <f t="shared" si="3"/>
        <v>3428.5714285714284</v>
      </c>
      <c r="U18" s="26">
        <f t="shared" si="4"/>
        <v>7.8709169618260522E-2</v>
      </c>
      <c r="V18" s="25">
        <v>52.83</v>
      </c>
      <c r="W18" s="25">
        <f t="shared" si="5"/>
        <v>37980</v>
      </c>
      <c r="X18" s="25">
        <f t="shared" si="6"/>
        <v>718.90971039182284</v>
      </c>
      <c r="Y18" s="27" t="s">
        <v>610</v>
      </c>
      <c r="Z18" s="19" t="s">
        <v>35</v>
      </c>
      <c r="AA18" s="19" t="s">
        <v>35</v>
      </c>
      <c r="AB18" s="19" t="s">
        <v>611</v>
      </c>
      <c r="AC18" s="19">
        <v>0</v>
      </c>
      <c r="AD18" s="19">
        <v>1</v>
      </c>
      <c r="AE18" s="19" t="s">
        <v>673</v>
      </c>
      <c r="AF18" s="19" t="s">
        <v>35</v>
      </c>
      <c r="AG18" s="19" t="s">
        <v>38</v>
      </c>
      <c r="AH18" s="19" t="s">
        <v>92</v>
      </c>
    </row>
    <row r="19" spans="1:34" x14ac:dyDescent="0.3">
      <c r="A19" s="75" t="s">
        <v>611</v>
      </c>
      <c r="B19" s="19" t="s">
        <v>726</v>
      </c>
      <c r="C19" s="19" t="s">
        <v>727</v>
      </c>
      <c r="D19" s="20">
        <v>45741</v>
      </c>
      <c r="E19" s="21">
        <v>170000</v>
      </c>
      <c r="F19" s="19" t="s">
        <v>32</v>
      </c>
      <c r="G19" s="19" t="s">
        <v>33</v>
      </c>
      <c r="H19" s="21">
        <v>170000</v>
      </c>
      <c r="I19" s="21">
        <v>79400</v>
      </c>
      <c r="J19" s="22">
        <f t="shared" si="0"/>
        <v>46.705882352941174</v>
      </c>
      <c r="K19" s="21">
        <v>177846</v>
      </c>
      <c r="L19" s="21">
        <f>H19-166770</f>
        <v>3230</v>
      </c>
      <c r="M19" s="21">
        <v>11076</v>
      </c>
      <c r="N19" s="67">
        <f t="shared" si="1"/>
        <v>6.5152941176470594E-2</v>
      </c>
      <c r="O19" s="23">
        <v>52</v>
      </c>
      <c r="P19" s="24">
        <v>115</v>
      </c>
      <c r="Q19" s="25">
        <v>0.13700000000000001</v>
      </c>
      <c r="R19" s="25">
        <v>0.13700000000000001</v>
      </c>
      <c r="S19" s="21">
        <f t="shared" si="2"/>
        <v>62.115384615384613</v>
      </c>
      <c r="T19" s="21">
        <f t="shared" si="3"/>
        <v>23576.642335766421</v>
      </c>
      <c r="U19" s="26">
        <f t="shared" si="4"/>
        <v>0.54124523268517954</v>
      </c>
      <c r="V19" s="25">
        <v>52</v>
      </c>
      <c r="W19" s="25">
        <f t="shared" si="5"/>
        <v>34000</v>
      </c>
      <c r="X19" s="25">
        <f t="shared" si="6"/>
        <v>653.84615384615381</v>
      </c>
      <c r="Y19" s="27" t="s">
        <v>610</v>
      </c>
      <c r="Z19" s="19" t="s">
        <v>35</v>
      </c>
      <c r="AA19" s="19" t="s">
        <v>35</v>
      </c>
      <c r="AB19" s="19" t="s">
        <v>611</v>
      </c>
      <c r="AC19" s="19">
        <v>0</v>
      </c>
      <c r="AD19" s="19">
        <v>1</v>
      </c>
      <c r="AE19" s="19" t="s">
        <v>42</v>
      </c>
      <c r="AF19" s="19" t="s">
        <v>35</v>
      </c>
      <c r="AG19" s="19" t="s">
        <v>38</v>
      </c>
      <c r="AH19" s="19" t="s">
        <v>92</v>
      </c>
    </row>
    <row r="20" spans="1:34" x14ac:dyDescent="0.3">
      <c r="A20" s="74" t="s">
        <v>611</v>
      </c>
      <c r="B20" s="10" t="s">
        <v>643</v>
      </c>
      <c r="C20" s="10" t="s">
        <v>644</v>
      </c>
      <c r="D20" s="11">
        <v>45569</v>
      </c>
      <c r="E20" s="12">
        <v>187000</v>
      </c>
      <c r="F20" s="10" t="s">
        <v>32</v>
      </c>
      <c r="G20" s="10" t="s">
        <v>33</v>
      </c>
      <c r="H20" s="12">
        <v>187000</v>
      </c>
      <c r="I20" s="12">
        <v>89000</v>
      </c>
      <c r="J20" s="13">
        <f t="shared" si="0"/>
        <v>47.593582887700535</v>
      </c>
      <c r="K20" s="12">
        <v>193358</v>
      </c>
      <c r="L20" s="12">
        <f>H20-182942</f>
        <v>4058</v>
      </c>
      <c r="M20" s="12">
        <v>10416</v>
      </c>
      <c r="N20" s="66">
        <f t="shared" si="1"/>
        <v>5.5700534759358288E-2</v>
      </c>
      <c r="O20" s="14">
        <v>48.9</v>
      </c>
      <c r="P20" s="15">
        <v>110</v>
      </c>
      <c r="Q20" s="16">
        <v>0.126</v>
      </c>
      <c r="R20" s="16">
        <v>0.126</v>
      </c>
      <c r="S20" s="12">
        <f t="shared" si="2"/>
        <v>82.98568507157465</v>
      </c>
      <c r="T20" s="12">
        <f t="shared" si="3"/>
        <v>32206.349206349205</v>
      </c>
      <c r="U20" s="17">
        <f t="shared" si="4"/>
        <v>0.73935604238634534</v>
      </c>
      <c r="V20" s="16">
        <v>50</v>
      </c>
      <c r="W20" s="16">
        <f t="shared" si="5"/>
        <v>37400</v>
      </c>
      <c r="X20" s="16">
        <f t="shared" si="6"/>
        <v>748</v>
      </c>
      <c r="Y20" s="18" t="s">
        <v>610</v>
      </c>
      <c r="Z20" s="10" t="s">
        <v>35</v>
      </c>
      <c r="AA20" s="10" t="s">
        <v>35</v>
      </c>
      <c r="AB20" s="10" t="s">
        <v>611</v>
      </c>
      <c r="AC20" s="10">
        <v>0</v>
      </c>
      <c r="AD20" s="10">
        <v>1</v>
      </c>
      <c r="AE20" s="10" t="s">
        <v>37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611</v>
      </c>
      <c r="B21" s="19" t="s">
        <v>722</v>
      </c>
      <c r="C21" s="19" t="s">
        <v>723</v>
      </c>
      <c r="D21" s="20">
        <v>45476</v>
      </c>
      <c r="E21" s="21">
        <v>210000</v>
      </c>
      <c r="F21" s="19" t="s">
        <v>32</v>
      </c>
      <c r="G21" s="19" t="s">
        <v>33</v>
      </c>
      <c r="H21" s="21">
        <v>210000</v>
      </c>
      <c r="I21" s="21">
        <v>99000</v>
      </c>
      <c r="J21" s="22">
        <f t="shared" si="0"/>
        <v>47.142857142857139</v>
      </c>
      <c r="K21" s="21">
        <v>216095</v>
      </c>
      <c r="L21" s="21">
        <f>H21-205019</f>
        <v>4981</v>
      </c>
      <c r="M21" s="21">
        <v>11076</v>
      </c>
      <c r="N21" s="67">
        <f t="shared" si="1"/>
        <v>5.274285714285714E-2</v>
      </c>
      <c r="O21" s="23">
        <v>52</v>
      </c>
      <c r="P21" s="24">
        <v>115</v>
      </c>
      <c r="Q21" s="25">
        <v>0.13700000000000001</v>
      </c>
      <c r="R21" s="25">
        <v>0.13700000000000001</v>
      </c>
      <c r="S21" s="21">
        <f t="shared" si="2"/>
        <v>95.788461538461533</v>
      </c>
      <c r="T21" s="21">
        <f t="shared" si="3"/>
        <v>36357.664233576637</v>
      </c>
      <c r="U21" s="26">
        <f t="shared" si="4"/>
        <v>0.83465712198293474</v>
      </c>
      <c r="V21" s="25">
        <v>52</v>
      </c>
      <c r="W21" s="25">
        <f t="shared" si="5"/>
        <v>42000</v>
      </c>
      <c r="X21" s="25">
        <f t="shared" si="6"/>
        <v>807.69230769230774</v>
      </c>
      <c r="Y21" s="27" t="s">
        <v>610</v>
      </c>
      <c r="Z21" s="19" t="s">
        <v>35</v>
      </c>
      <c r="AA21" s="19" t="s">
        <v>35</v>
      </c>
      <c r="AB21" s="19" t="s">
        <v>611</v>
      </c>
      <c r="AC21" s="19">
        <v>0</v>
      </c>
      <c r="AD21" s="19">
        <v>1</v>
      </c>
      <c r="AE21" s="19" t="s">
        <v>42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5" t="s">
        <v>611</v>
      </c>
      <c r="B22" s="19" t="s">
        <v>674</v>
      </c>
      <c r="C22" s="19" t="s">
        <v>675</v>
      </c>
      <c r="D22" s="20">
        <v>45554</v>
      </c>
      <c r="E22" s="21">
        <v>190000</v>
      </c>
      <c r="F22" s="19" t="s">
        <v>32</v>
      </c>
      <c r="G22" s="19" t="s">
        <v>33</v>
      </c>
      <c r="H22" s="21">
        <v>190000</v>
      </c>
      <c r="I22" s="21">
        <v>89900</v>
      </c>
      <c r="J22" s="22">
        <f t="shared" si="0"/>
        <v>47.315789473684212</v>
      </c>
      <c r="K22" s="21">
        <v>195221</v>
      </c>
      <c r="L22" s="21">
        <f>H22-184805</f>
        <v>5195</v>
      </c>
      <c r="M22" s="21">
        <v>10416</v>
      </c>
      <c r="N22" s="67">
        <f t="shared" si="1"/>
        <v>5.4821052631578944E-2</v>
      </c>
      <c r="O22" s="23">
        <v>48.9</v>
      </c>
      <c r="P22" s="24">
        <v>110</v>
      </c>
      <c r="Q22" s="25">
        <v>0.126</v>
      </c>
      <c r="R22" s="25">
        <v>0.126</v>
      </c>
      <c r="S22" s="21">
        <f t="shared" si="2"/>
        <v>106.23721881390594</v>
      </c>
      <c r="T22" s="21">
        <f t="shared" si="3"/>
        <v>41230.158730158728</v>
      </c>
      <c r="U22" s="26">
        <f t="shared" si="4"/>
        <v>0.94651420408996156</v>
      </c>
      <c r="V22" s="25">
        <v>50</v>
      </c>
      <c r="W22" s="25">
        <f t="shared" si="5"/>
        <v>38000</v>
      </c>
      <c r="X22" s="25">
        <f t="shared" si="6"/>
        <v>760</v>
      </c>
      <c r="Y22" s="27" t="s">
        <v>610</v>
      </c>
      <c r="Z22" s="19" t="s">
        <v>35</v>
      </c>
      <c r="AA22" s="19" t="s">
        <v>35</v>
      </c>
      <c r="AB22" s="19" t="s">
        <v>611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5" t="s">
        <v>611</v>
      </c>
      <c r="B23" s="19" t="s">
        <v>637</v>
      </c>
      <c r="C23" s="19" t="s">
        <v>638</v>
      </c>
      <c r="D23" s="20">
        <v>45251</v>
      </c>
      <c r="E23" s="21">
        <v>186000</v>
      </c>
      <c r="F23" s="19" t="s">
        <v>32</v>
      </c>
      <c r="G23" s="19" t="s">
        <v>33</v>
      </c>
      <c r="H23" s="21">
        <v>186000</v>
      </c>
      <c r="I23" s="21">
        <v>75100</v>
      </c>
      <c r="J23" s="22">
        <f t="shared" si="0"/>
        <v>40.376344086021504</v>
      </c>
      <c r="K23" s="21">
        <v>190511</v>
      </c>
      <c r="L23" s="21">
        <f>H23-179565</f>
        <v>6435</v>
      </c>
      <c r="M23" s="21">
        <v>10946</v>
      </c>
      <c r="N23" s="67">
        <f t="shared" si="1"/>
        <v>5.8849462365591396E-2</v>
      </c>
      <c r="O23" s="23">
        <v>51.38</v>
      </c>
      <c r="P23" s="24">
        <v>109.76</v>
      </c>
      <c r="Q23" s="25">
        <v>0.25800000000000001</v>
      </c>
      <c r="R23" s="25">
        <v>0.129</v>
      </c>
      <c r="S23" s="21">
        <f t="shared" si="2"/>
        <v>125.24328532502919</v>
      </c>
      <c r="T23" s="21">
        <f t="shared" si="3"/>
        <v>24941.860465116279</v>
      </c>
      <c r="U23" s="26">
        <f t="shared" si="4"/>
        <v>0.5725863284002819</v>
      </c>
      <c r="V23" s="25">
        <v>55.4</v>
      </c>
      <c r="W23" s="25">
        <f t="shared" si="5"/>
        <v>37200</v>
      </c>
      <c r="X23" s="25">
        <f t="shared" si="6"/>
        <v>671.48014440433212</v>
      </c>
      <c r="Y23" s="27" t="s">
        <v>610</v>
      </c>
      <c r="Z23" s="19" t="s">
        <v>35</v>
      </c>
      <c r="AA23" s="19" t="s">
        <v>35</v>
      </c>
      <c r="AB23" s="19" t="s">
        <v>611</v>
      </c>
      <c r="AC23" s="19">
        <v>0</v>
      </c>
      <c r="AD23" s="19">
        <v>1</v>
      </c>
      <c r="AE23" s="19" t="s">
        <v>37</v>
      </c>
      <c r="AF23" s="19" t="s">
        <v>43</v>
      </c>
      <c r="AG23" s="19" t="s">
        <v>38</v>
      </c>
      <c r="AH23" s="19" t="s">
        <v>92</v>
      </c>
    </row>
    <row r="24" spans="1:34" x14ac:dyDescent="0.3">
      <c r="A24" s="74" t="s">
        <v>611</v>
      </c>
      <c r="B24" s="10" t="s">
        <v>678</v>
      </c>
      <c r="C24" s="10" t="s">
        <v>679</v>
      </c>
      <c r="D24" s="11">
        <v>45246</v>
      </c>
      <c r="E24" s="12">
        <v>200000</v>
      </c>
      <c r="F24" s="10" t="s">
        <v>32</v>
      </c>
      <c r="G24" s="10" t="s">
        <v>33</v>
      </c>
      <c r="H24" s="12">
        <v>200000</v>
      </c>
      <c r="I24" s="12">
        <v>79000</v>
      </c>
      <c r="J24" s="13">
        <f t="shared" si="0"/>
        <v>39.5</v>
      </c>
      <c r="K24" s="12">
        <v>200796</v>
      </c>
      <c r="L24" s="12">
        <f>H24-187967</f>
        <v>12033</v>
      </c>
      <c r="M24" s="12">
        <v>12829</v>
      </c>
      <c r="N24" s="66">
        <f t="shared" si="1"/>
        <v>6.4144999999999994E-2</v>
      </c>
      <c r="O24" s="14">
        <v>60.22</v>
      </c>
      <c r="P24" s="15">
        <v>166.86</v>
      </c>
      <c r="Q24" s="16">
        <v>0.192</v>
      </c>
      <c r="R24" s="16">
        <v>0.192</v>
      </c>
      <c r="S24" s="12">
        <f t="shared" si="2"/>
        <v>199.81733643307871</v>
      </c>
      <c r="T24" s="12">
        <f t="shared" si="3"/>
        <v>62671.875</v>
      </c>
      <c r="U24" s="17">
        <f t="shared" si="4"/>
        <v>1.4387482782369145</v>
      </c>
      <c r="V24" s="16">
        <v>50</v>
      </c>
      <c r="W24" s="16">
        <f t="shared" si="5"/>
        <v>40000</v>
      </c>
      <c r="X24" s="16">
        <f t="shared" si="6"/>
        <v>800</v>
      </c>
      <c r="Y24" s="18" t="s">
        <v>610</v>
      </c>
      <c r="Z24" s="10" t="s">
        <v>35</v>
      </c>
      <c r="AA24" s="10" t="s">
        <v>35</v>
      </c>
      <c r="AB24" s="10" t="s">
        <v>611</v>
      </c>
      <c r="AC24" s="10">
        <v>0</v>
      </c>
      <c r="AD24" s="10">
        <v>1</v>
      </c>
      <c r="AE24" s="10" t="s">
        <v>37</v>
      </c>
      <c r="AF24" s="10" t="s">
        <v>43</v>
      </c>
      <c r="AG24" s="10" t="s">
        <v>38</v>
      </c>
      <c r="AH24" s="10" t="s">
        <v>92</v>
      </c>
    </row>
    <row r="25" spans="1:34" x14ac:dyDescent="0.3">
      <c r="A25" s="75" t="s">
        <v>611</v>
      </c>
      <c r="B25" s="19" t="s">
        <v>680</v>
      </c>
      <c r="C25" s="19" t="s">
        <v>681</v>
      </c>
      <c r="D25" s="20">
        <v>45138</v>
      </c>
      <c r="E25" s="21">
        <v>185000</v>
      </c>
      <c r="F25" s="19" t="s">
        <v>32</v>
      </c>
      <c r="G25" s="19" t="s">
        <v>33</v>
      </c>
      <c r="H25" s="21">
        <v>185000</v>
      </c>
      <c r="I25" s="21">
        <v>72800</v>
      </c>
      <c r="J25" s="22">
        <f t="shared" si="0"/>
        <v>39.351351351351347</v>
      </c>
      <c r="K25" s="21">
        <v>184813</v>
      </c>
      <c r="L25" s="21">
        <f>H25-173226</f>
        <v>11774</v>
      </c>
      <c r="M25" s="21">
        <v>11587</v>
      </c>
      <c r="N25" s="67">
        <f t="shared" si="1"/>
        <v>6.2632432432432439E-2</v>
      </c>
      <c r="O25" s="23">
        <v>54.39</v>
      </c>
      <c r="P25" s="24">
        <v>112.5</v>
      </c>
      <c r="Q25" s="25">
        <v>0.14199999999999999</v>
      </c>
      <c r="R25" s="25">
        <v>0.14199999999999999</v>
      </c>
      <c r="S25" s="21">
        <f t="shared" si="2"/>
        <v>216.47361647361646</v>
      </c>
      <c r="T25" s="21">
        <f t="shared" si="3"/>
        <v>82915.492957746479</v>
      </c>
      <c r="U25" s="26">
        <f t="shared" si="4"/>
        <v>1.9034777997646115</v>
      </c>
      <c r="V25" s="25">
        <v>55</v>
      </c>
      <c r="W25" s="25">
        <f t="shared" si="5"/>
        <v>37000</v>
      </c>
      <c r="X25" s="25">
        <f t="shared" si="6"/>
        <v>672.72727272727275</v>
      </c>
      <c r="Y25" s="27" t="s">
        <v>610</v>
      </c>
      <c r="Z25" s="19" t="s">
        <v>35</v>
      </c>
      <c r="AA25" s="19" t="s">
        <v>35</v>
      </c>
      <c r="AB25" s="19" t="s">
        <v>611</v>
      </c>
      <c r="AC25" s="19">
        <v>0</v>
      </c>
      <c r="AD25" s="19">
        <v>1</v>
      </c>
      <c r="AE25" s="19" t="s">
        <v>42</v>
      </c>
      <c r="AF25" s="19" t="s">
        <v>43</v>
      </c>
      <c r="AG25" s="19" t="s">
        <v>38</v>
      </c>
      <c r="AH25" s="19" t="s">
        <v>92</v>
      </c>
    </row>
    <row r="26" spans="1:34" x14ac:dyDescent="0.3">
      <c r="A26" s="75" t="s">
        <v>611</v>
      </c>
      <c r="B26" s="19" t="s">
        <v>736</v>
      </c>
      <c r="C26" s="19" t="s">
        <v>737</v>
      </c>
      <c r="D26" s="20">
        <v>45618</v>
      </c>
      <c r="E26" s="21">
        <v>169000</v>
      </c>
      <c r="F26" s="19" t="s">
        <v>32</v>
      </c>
      <c r="G26" s="19" t="s">
        <v>33</v>
      </c>
      <c r="H26" s="21">
        <v>169000</v>
      </c>
      <c r="I26" s="21">
        <v>77600</v>
      </c>
      <c r="J26" s="22">
        <f t="shared" si="0"/>
        <v>45.917159763313606</v>
      </c>
      <c r="K26" s="21">
        <v>168812</v>
      </c>
      <c r="L26" s="21">
        <f>H26-157736</f>
        <v>11264</v>
      </c>
      <c r="M26" s="21">
        <v>11076</v>
      </c>
      <c r="N26" s="67">
        <f t="shared" si="1"/>
        <v>6.5538461538461532E-2</v>
      </c>
      <c r="O26" s="23">
        <v>52</v>
      </c>
      <c r="P26" s="24">
        <v>115</v>
      </c>
      <c r="Q26" s="25">
        <v>0.13700000000000001</v>
      </c>
      <c r="R26" s="25">
        <v>0.13700000000000001</v>
      </c>
      <c r="S26" s="21">
        <f t="shared" si="2"/>
        <v>216.61538461538461</v>
      </c>
      <c r="T26" s="21">
        <f t="shared" si="3"/>
        <v>82218.97810218978</v>
      </c>
      <c r="U26" s="26">
        <f t="shared" si="4"/>
        <v>1.8874880188748802</v>
      </c>
      <c r="V26" s="25">
        <v>52</v>
      </c>
      <c r="W26" s="25">
        <f t="shared" si="5"/>
        <v>33800</v>
      </c>
      <c r="X26" s="25">
        <f t="shared" si="6"/>
        <v>650</v>
      </c>
      <c r="Y26" s="27" t="s">
        <v>610</v>
      </c>
      <c r="Z26" s="19" t="s">
        <v>35</v>
      </c>
      <c r="AA26" s="19" t="s">
        <v>35</v>
      </c>
      <c r="AB26" s="19" t="s">
        <v>611</v>
      </c>
      <c r="AC26" s="19">
        <v>0</v>
      </c>
      <c r="AD26" s="19">
        <v>1</v>
      </c>
      <c r="AE26" s="19" t="s">
        <v>37</v>
      </c>
      <c r="AF26" s="19" t="s">
        <v>35</v>
      </c>
      <c r="AG26" s="19" t="s">
        <v>38</v>
      </c>
      <c r="AH26" s="19" t="s">
        <v>92</v>
      </c>
    </row>
    <row r="27" spans="1:34" x14ac:dyDescent="0.3">
      <c r="A27" s="74" t="s">
        <v>611</v>
      </c>
      <c r="B27" s="10" t="s">
        <v>724</v>
      </c>
      <c r="C27" s="10" t="s">
        <v>725</v>
      </c>
      <c r="D27" s="11">
        <v>45681</v>
      </c>
      <c r="E27" s="12">
        <v>171000</v>
      </c>
      <c r="F27" s="10" t="s">
        <v>32</v>
      </c>
      <c r="G27" s="10" t="s">
        <v>33</v>
      </c>
      <c r="H27" s="12">
        <v>171000</v>
      </c>
      <c r="I27" s="12">
        <v>77800</v>
      </c>
      <c r="J27" s="13">
        <f t="shared" si="0"/>
        <v>45.497076023391813</v>
      </c>
      <c r="K27" s="12">
        <v>170795</v>
      </c>
      <c r="L27" s="12">
        <f>H27-159719</f>
        <v>11281</v>
      </c>
      <c r="M27" s="12">
        <v>11076</v>
      </c>
      <c r="N27" s="66">
        <f t="shared" si="1"/>
        <v>6.4771929824561397E-2</v>
      </c>
      <c r="O27" s="14">
        <v>52</v>
      </c>
      <c r="P27" s="15">
        <v>115</v>
      </c>
      <c r="Q27" s="16">
        <v>0.13700000000000001</v>
      </c>
      <c r="R27" s="16">
        <v>0.13700000000000001</v>
      </c>
      <c r="S27" s="12">
        <f t="shared" si="2"/>
        <v>216.94230769230768</v>
      </c>
      <c r="T27" s="12">
        <f t="shared" si="3"/>
        <v>82343.065693430646</v>
      </c>
      <c r="U27" s="17">
        <f t="shared" si="4"/>
        <v>1.8903366779942756</v>
      </c>
      <c r="V27" s="16">
        <v>52</v>
      </c>
      <c r="W27" s="16">
        <f t="shared" si="5"/>
        <v>34200</v>
      </c>
      <c r="X27" s="16">
        <f t="shared" si="6"/>
        <v>657.69230769230774</v>
      </c>
      <c r="Y27" s="18" t="s">
        <v>610</v>
      </c>
      <c r="Z27" s="10" t="s">
        <v>35</v>
      </c>
      <c r="AA27" s="10" t="s">
        <v>35</v>
      </c>
      <c r="AB27" s="10" t="s">
        <v>611</v>
      </c>
      <c r="AC27" s="10">
        <v>0</v>
      </c>
      <c r="AD27" s="10">
        <v>1</v>
      </c>
      <c r="AE27" s="10" t="s">
        <v>42</v>
      </c>
      <c r="AF27" s="10" t="s">
        <v>35</v>
      </c>
      <c r="AG27" s="10" t="s">
        <v>38</v>
      </c>
      <c r="AH27" s="10" t="s">
        <v>92</v>
      </c>
    </row>
    <row r="28" spans="1:34" x14ac:dyDescent="0.3">
      <c r="A28" s="75" t="s">
        <v>611</v>
      </c>
      <c r="B28" s="19" t="s">
        <v>720</v>
      </c>
      <c r="C28" s="19" t="s">
        <v>721</v>
      </c>
      <c r="D28" s="20">
        <v>45727</v>
      </c>
      <c r="E28" s="21">
        <v>185000</v>
      </c>
      <c r="F28" s="19" t="s">
        <v>32</v>
      </c>
      <c r="G28" s="19" t="s">
        <v>33</v>
      </c>
      <c r="H28" s="21">
        <v>185000</v>
      </c>
      <c r="I28" s="21">
        <v>83500</v>
      </c>
      <c r="J28" s="22">
        <f t="shared" si="0"/>
        <v>45.135135135135137</v>
      </c>
      <c r="K28" s="21">
        <v>183589</v>
      </c>
      <c r="L28" s="21">
        <f>H28-172513</f>
        <v>12487</v>
      </c>
      <c r="M28" s="21">
        <v>11076</v>
      </c>
      <c r="N28" s="67">
        <f t="shared" si="1"/>
        <v>5.9870270270270268E-2</v>
      </c>
      <c r="O28" s="23">
        <v>52</v>
      </c>
      <c r="P28" s="24">
        <v>115</v>
      </c>
      <c r="Q28" s="25">
        <v>0.13700000000000001</v>
      </c>
      <c r="R28" s="25">
        <v>0.13700000000000001</v>
      </c>
      <c r="S28" s="21">
        <f t="shared" si="2"/>
        <v>240.13461538461539</v>
      </c>
      <c r="T28" s="21">
        <f t="shared" si="3"/>
        <v>91145.985401459853</v>
      </c>
      <c r="U28" s="26">
        <f t="shared" si="4"/>
        <v>2.0924239072878752</v>
      </c>
      <c r="V28" s="25">
        <v>52</v>
      </c>
      <c r="W28" s="25">
        <f t="shared" si="5"/>
        <v>37000</v>
      </c>
      <c r="X28" s="25">
        <f t="shared" si="6"/>
        <v>711.53846153846155</v>
      </c>
      <c r="Y28" s="27" t="s">
        <v>610</v>
      </c>
      <c r="Z28" s="19" t="s">
        <v>35</v>
      </c>
      <c r="AA28" s="19" t="s">
        <v>35</v>
      </c>
      <c r="AB28" s="19" t="s">
        <v>611</v>
      </c>
      <c r="AC28" s="19">
        <v>0</v>
      </c>
      <c r="AD28" s="19">
        <v>1</v>
      </c>
      <c r="AE28" s="19" t="s">
        <v>42</v>
      </c>
      <c r="AF28" s="19" t="s">
        <v>35</v>
      </c>
      <c r="AG28" s="19" t="s">
        <v>38</v>
      </c>
      <c r="AH28" s="19" t="s">
        <v>92</v>
      </c>
    </row>
    <row r="29" spans="1:34" x14ac:dyDescent="0.3">
      <c r="A29" s="74" t="s">
        <v>611</v>
      </c>
      <c r="B29" s="10" t="s">
        <v>704</v>
      </c>
      <c r="C29" s="10" t="s">
        <v>705</v>
      </c>
      <c r="D29" s="11">
        <v>45065</v>
      </c>
      <c r="E29" s="12">
        <v>174250</v>
      </c>
      <c r="F29" s="10" t="s">
        <v>32</v>
      </c>
      <c r="G29" s="10" t="s">
        <v>33</v>
      </c>
      <c r="H29" s="12">
        <v>174250</v>
      </c>
      <c r="I29" s="12">
        <v>68100</v>
      </c>
      <c r="J29" s="13">
        <f t="shared" si="0"/>
        <v>39.081779053084645</v>
      </c>
      <c r="K29" s="12">
        <v>172562</v>
      </c>
      <c r="L29" s="12">
        <f>H29-160399</f>
        <v>13851</v>
      </c>
      <c r="M29" s="12">
        <v>12163</v>
      </c>
      <c r="N29" s="66">
        <f t="shared" si="1"/>
        <v>6.9802008608321378E-2</v>
      </c>
      <c r="O29" s="14">
        <v>57.1</v>
      </c>
      <c r="P29" s="15">
        <v>150</v>
      </c>
      <c r="Q29" s="16">
        <v>0.17199999999999999</v>
      </c>
      <c r="R29" s="16">
        <v>0.17199999999999999</v>
      </c>
      <c r="S29" s="12">
        <f t="shared" si="2"/>
        <v>242.57443082311732</v>
      </c>
      <c r="T29" s="12">
        <f t="shared" si="3"/>
        <v>80529.069767441862</v>
      </c>
      <c r="U29" s="17">
        <f t="shared" si="4"/>
        <v>1.848693061695176</v>
      </c>
      <c r="V29" s="16">
        <v>50</v>
      </c>
      <c r="W29" s="16">
        <f t="shared" si="5"/>
        <v>34850</v>
      </c>
      <c r="X29" s="16">
        <f t="shared" si="6"/>
        <v>697</v>
      </c>
      <c r="Y29" s="18" t="s">
        <v>610</v>
      </c>
      <c r="Z29" s="10" t="s">
        <v>35</v>
      </c>
      <c r="AA29" s="10" t="s">
        <v>35</v>
      </c>
      <c r="AB29" s="10" t="s">
        <v>611</v>
      </c>
      <c r="AC29" s="10">
        <v>0</v>
      </c>
      <c r="AD29" s="10">
        <v>1</v>
      </c>
      <c r="AE29" s="10" t="s">
        <v>37</v>
      </c>
      <c r="AF29" s="10" t="s">
        <v>43</v>
      </c>
      <c r="AG29" s="10" t="s">
        <v>38</v>
      </c>
      <c r="AH29" s="10" t="s">
        <v>92</v>
      </c>
    </row>
    <row r="30" spans="1:34" x14ac:dyDescent="0.3">
      <c r="A30" s="74" t="s">
        <v>611</v>
      </c>
      <c r="B30" s="10" t="s">
        <v>686</v>
      </c>
      <c r="C30" s="10" t="s">
        <v>687</v>
      </c>
      <c r="D30" s="11">
        <v>45051</v>
      </c>
      <c r="E30" s="12">
        <v>170000</v>
      </c>
      <c r="F30" s="10" t="s">
        <v>32</v>
      </c>
      <c r="G30" s="10" t="s">
        <v>33</v>
      </c>
      <c r="H30" s="12">
        <v>170000</v>
      </c>
      <c r="I30" s="12">
        <v>66800</v>
      </c>
      <c r="J30" s="13">
        <f t="shared" si="0"/>
        <v>39.294117647058826</v>
      </c>
      <c r="K30" s="12">
        <v>167295</v>
      </c>
      <c r="L30" s="12">
        <f>H30-156416</f>
        <v>13584</v>
      </c>
      <c r="M30" s="12">
        <v>10879</v>
      </c>
      <c r="N30" s="66">
        <f t="shared" si="1"/>
        <v>6.3994117647058826E-2</v>
      </c>
      <c r="O30" s="14">
        <v>51.07</v>
      </c>
      <c r="P30" s="15">
        <v>120</v>
      </c>
      <c r="Q30" s="16">
        <v>0.13800000000000001</v>
      </c>
      <c r="R30" s="16">
        <v>0.13800000000000001</v>
      </c>
      <c r="S30" s="12">
        <f t="shared" si="2"/>
        <v>265.98785980027412</v>
      </c>
      <c r="T30" s="12">
        <f t="shared" si="3"/>
        <v>98434.782608695648</v>
      </c>
      <c r="U30" s="17">
        <f t="shared" si="4"/>
        <v>2.2597516668662911</v>
      </c>
      <c r="V30" s="16">
        <v>50</v>
      </c>
      <c r="W30" s="16">
        <f t="shared" si="5"/>
        <v>34000</v>
      </c>
      <c r="X30" s="16">
        <f t="shared" si="6"/>
        <v>680</v>
      </c>
      <c r="Y30" s="18" t="s">
        <v>610</v>
      </c>
      <c r="Z30" s="10" t="s">
        <v>35</v>
      </c>
      <c r="AA30" s="10" t="s">
        <v>35</v>
      </c>
      <c r="AB30" s="10" t="s">
        <v>611</v>
      </c>
      <c r="AC30" s="10">
        <v>0</v>
      </c>
      <c r="AD30" s="10">
        <v>1</v>
      </c>
      <c r="AE30" s="10" t="s">
        <v>37</v>
      </c>
      <c r="AF30" s="10" t="s">
        <v>43</v>
      </c>
      <c r="AG30" s="10" t="s">
        <v>38</v>
      </c>
      <c r="AH30" s="10" t="s">
        <v>92</v>
      </c>
    </row>
    <row r="31" spans="1:34" x14ac:dyDescent="0.3">
      <c r="A31" s="75" t="s">
        <v>611</v>
      </c>
      <c r="B31" s="19" t="s">
        <v>700</v>
      </c>
      <c r="C31" s="19" t="s">
        <v>701</v>
      </c>
      <c r="D31" s="20">
        <v>45589</v>
      </c>
      <c r="E31" s="21">
        <v>193500</v>
      </c>
      <c r="F31" s="19" t="s">
        <v>32</v>
      </c>
      <c r="G31" s="19" t="s">
        <v>33</v>
      </c>
      <c r="H31" s="21">
        <v>193500</v>
      </c>
      <c r="I31" s="21">
        <v>87200</v>
      </c>
      <c r="J31" s="22">
        <f t="shared" si="0"/>
        <v>45.064599483204134</v>
      </c>
      <c r="K31" s="21">
        <v>189417</v>
      </c>
      <c r="L31" s="21">
        <f>H31-173480</f>
        <v>20020</v>
      </c>
      <c r="M31" s="21">
        <v>15937</v>
      </c>
      <c r="N31" s="67">
        <f t="shared" si="1"/>
        <v>8.2361757105943151E-2</v>
      </c>
      <c r="O31" s="23">
        <v>74.819999999999993</v>
      </c>
      <c r="P31" s="24">
        <v>150.01</v>
      </c>
      <c r="Q31" s="25">
        <v>0.22700000000000001</v>
      </c>
      <c r="R31" s="25">
        <v>0.22700000000000001</v>
      </c>
      <c r="S31" s="21">
        <f t="shared" si="2"/>
        <v>267.57551456829725</v>
      </c>
      <c r="T31" s="21">
        <f t="shared" si="3"/>
        <v>88193.832599118934</v>
      </c>
      <c r="U31" s="26">
        <f t="shared" si="4"/>
        <v>2.0246518043874868</v>
      </c>
      <c r="V31" s="25">
        <v>64.5</v>
      </c>
      <c r="W31" s="25">
        <f t="shared" si="5"/>
        <v>38700</v>
      </c>
      <c r="X31" s="25">
        <f t="shared" si="6"/>
        <v>600</v>
      </c>
      <c r="Y31" s="27" t="s">
        <v>610</v>
      </c>
      <c r="Z31" s="19" t="s">
        <v>35</v>
      </c>
      <c r="AA31" s="19" t="s">
        <v>35</v>
      </c>
      <c r="AB31" s="19" t="s">
        <v>611</v>
      </c>
      <c r="AC31" s="19">
        <v>0</v>
      </c>
      <c r="AD31" s="19">
        <v>1</v>
      </c>
      <c r="AE31" s="19" t="s">
        <v>42</v>
      </c>
      <c r="AF31" s="19" t="s">
        <v>35</v>
      </c>
      <c r="AG31" s="19" t="s">
        <v>38</v>
      </c>
      <c r="AH31" s="19" t="s">
        <v>92</v>
      </c>
    </row>
    <row r="32" spans="1:34" x14ac:dyDescent="0.3">
      <c r="A32" s="75" t="s">
        <v>611</v>
      </c>
      <c r="B32" s="19" t="s">
        <v>708</v>
      </c>
      <c r="C32" s="19" t="s">
        <v>709</v>
      </c>
      <c r="D32" s="20">
        <v>45532</v>
      </c>
      <c r="E32" s="21">
        <v>182900</v>
      </c>
      <c r="F32" s="19" t="s">
        <v>32</v>
      </c>
      <c r="G32" s="19" t="s">
        <v>33</v>
      </c>
      <c r="H32" s="21">
        <v>182900</v>
      </c>
      <c r="I32" s="21">
        <v>82000</v>
      </c>
      <c r="J32" s="22">
        <f t="shared" ref="J32:J54" si="7">I32/H32*100</f>
        <v>44.8332422088573</v>
      </c>
      <c r="K32" s="21">
        <v>178494</v>
      </c>
      <c r="L32" s="21">
        <f>H32-166280</f>
        <v>16620</v>
      </c>
      <c r="M32" s="21">
        <v>12214</v>
      </c>
      <c r="N32" s="67">
        <f t="shared" ref="N32:N54" si="8">M32/E32</f>
        <v>6.6779661016949154E-2</v>
      </c>
      <c r="O32" s="23">
        <v>57.34</v>
      </c>
      <c r="P32" s="24">
        <v>125</v>
      </c>
      <c r="Q32" s="25">
        <v>0.158</v>
      </c>
      <c r="R32" s="25">
        <v>0.158</v>
      </c>
      <c r="S32" s="21">
        <f t="shared" ref="S32:S54" si="9">L32/O32</f>
        <v>289.85001743983258</v>
      </c>
      <c r="T32" s="21">
        <f t="shared" ref="T32:T54" si="10">L32/Q32</f>
        <v>105189.87341772152</v>
      </c>
      <c r="U32" s="26">
        <f t="shared" ref="U32:U54" si="11">L32/Q32/43560</f>
        <v>2.414827213446316</v>
      </c>
      <c r="V32" s="25">
        <v>55</v>
      </c>
      <c r="W32" s="25">
        <f t="shared" ref="W32:W54" si="12">0.2*E32</f>
        <v>36580</v>
      </c>
      <c r="X32" s="25">
        <f t="shared" ref="X32:X54" si="13">W32/V32</f>
        <v>665.09090909090912</v>
      </c>
      <c r="Y32" s="27" t="s">
        <v>610</v>
      </c>
      <c r="Z32" s="19" t="s">
        <v>35</v>
      </c>
      <c r="AA32" s="19" t="s">
        <v>35</v>
      </c>
      <c r="AB32" s="19" t="s">
        <v>611</v>
      </c>
      <c r="AC32" s="19">
        <v>0</v>
      </c>
      <c r="AD32" s="19">
        <v>1</v>
      </c>
      <c r="AE32" s="19" t="s">
        <v>42</v>
      </c>
      <c r="AF32" s="19" t="s">
        <v>43</v>
      </c>
      <c r="AG32" s="19" t="s">
        <v>38</v>
      </c>
      <c r="AH32" s="19" t="s">
        <v>92</v>
      </c>
    </row>
    <row r="33" spans="1:34" x14ac:dyDescent="0.3">
      <c r="A33" s="74" t="s">
        <v>611</v>
      </c>
      <c r="B33" s="10" t="s">
        <v>616</v>
      </c>
      <c r="C33" s="10" t="s">
        <v>617</v>
      </c>
      <c r="D33" s="11">
        <v>45287</v>
      </c>
      <c r="E33" s="12">
        <v>200000</v>
      </c>
      <c r="F33" s="10" t="s">
        <v>32</v>
      </c>
      <c r="G33" s="10" t="s">
        <v>33</v>
      </c>
      <c r="H33" s="12">
        <v>200000</v>
      </c>
      <c r="I33" s="12">
        <v>76600</v>
      </c>
      <c r="J33" s="13">
        <f t="shared" si="7"/>
        <v>38.299999999999997</v>
      </c>
      <c r="K33" s="12">
        <v>194766</v>
      </c>
      <c r="L33" s="12">
        <f>H33-183051</f>
        <v>16949</v>
      </c>
      <c r="M33" s="12">
        <v>11715</v>
      </c>
      <c r="N33" s="66">
        <f t="shared" si="8"/>
        <v>5.8575000000000002E-2</v>
      </c>
      <c r="O33" s="14">
        <v>54.99</v>
      </c>
      <c r="P33" s="15">
        <v>118.91</v>
      </c>
      <c r="Q33" s="16">
        <v>0.14499999999999999</v>
      </c>
      <c r="R33" s="16">
        <v>0.14499999999999999</v>
      </c>
      <c r="S33" s="12">
        <f t="shared" si="9"/>
        <v>308.21967630478269</v>
      </c>
      <c r="T33" s="12">
        <f t="shared" si="10"/>
        <v>116889.6551724138</v>
      </c>
      <c r="U33" s="17">
        <f t="shared" si="11"/>
        <v>2.6834172445457711</v>
      </c>
      <c r="V33" s="16">
        <v>56.38</v>
      </c>
      <c r="W33" s="16">
        <f t="shared" si="12"/>
        <v>40000</v>
      </c>
      <c r="X33" s="16">
        <f t="shared" si="13"/>
        <v>709.47144377438804</v>
      </c>
      <c r="Y33" s="18" t="s">
        <v>610</v>
      </c>
      <c r="Z33" s="10" t="s">
        <v>35</v>
      </c>
      <c r="AA33" s="10" t="s">
        <v>35</v>
      </c>
      <c r="AB33" s="10" t="s">
        <v>611</v>
      </c>
      <c r="AC33" s="10">
        <v>0</v>
      </c>
      <c r="AD33" s="10">
        <v>1</v>
      </c>
      <c r="AE33" s="10" t="s">
        <v>37</v>
      </c>
      <c r="AF33" s="10" t="s">
        <v>43</v>
      </c>
      <c r="AG33" s="10" t="s">
        <v>38</v>
      </c>
      <c r="AH33" s="10" t="s">
        <v>92</v>
      </c>
    </row>
    <row r="34" spans="1:34" x14ac:dyDescent="0.3">
      <c r="A34" s="74" t="s">
        <v>611</v>
      </c>
      <c r="B34" s="10" t="s">
        <v>702</v>
      </c>
      <c r="C34" s="10" t="s">
        <v>703</v>
      </c>
      <c r="D34" s="11">
        <v>45023</v>
      </c>
      <c r="E34" s="12">
        <v>185000</v>
      </c>
      <c r="F34" s="10" t="s">
        <v>32</v>
      </c>
      <c r="G34" s="10" t="s">
        <v>33</v>
      </c>
      <c r="H34" s="12">
        <v>185000</v>
      </c>
      <c r="I34" s="12">
        <v>68000</v>
      </c>
      <c r="J34" s="13">
        <f t="shared" si="7"/>
        <v>36.756756756756758</v>
      </c>
      <c r="K34" s="12">
        <v>175601</v>
      </c>
      <c r="L34" s="12">
        <f>H34-163438</f>
        <v>21562</v>
      </c>
      <c r="M34" s="12">
        <v>12163</v>
      </c>
      <c r="N34" s="66">
        <f t="shared" si="8"/>
        <v>6.5745945945945947E-2</v>
      </c>
      <c r="O34" s="14">
        <v>57.1</v>
      </c>
      <c r="P34" s="15">
        <v>150</v>
      </c>
      <c r="Q34" s="16">
        <v>0.17199999999999999</v>
      </c>
      <c r="R34" s="16">
        <v>0.17199999999999999</v>
      </c>
      <c r="S34" s="12">
        <f t="shared" si="9"/>
        <v>377.61821366024515</v>
      </c>
      <c r="T34" s="12">
        <f t="shared" si="10"/>
        <v>125360.46511627908</v>
      </c>
      <c r="U34" s="17">
        <f t="shared" si="11"/>
        <v>2.8778802827428622</v>
      </c>
      <c r="V34" s="16">
        <v>50</v>
      </c>
      <c r="W34" s="16">
        <f t="shared" si="12"/>
        <v>37000</v>
      </c>
      <c r="X34" s="16">
        <f t="shared" si="13"/>
        <v>740</v>
      </c>
      <c r="Y34" s="18" t="s">
        <v>610</v>
      </c>
      <c r="Z34" s="10" t="s">
        <v>35</v>
      </c>
      <c r="AA34" s="10" t="s">
        <v>35</v>
      </c>
      <c r="AB34" s="10" t="s">
        <v>611</v>
      </c>
      <c r="AC34" s="10">
        <v>0</v>
      </c>
      <c r="AD34" s="10">
        <v>1</v>
      </c>
      <c r="AE34" s="10" t="s">
        <v>42</v>
      </c>
      <c r="AF34" s="10" t="s">
        <v>43</v>
      </c>
      <c r="AG34" s="10" t="s">
        <v>38</v>
      </c>
      <c r="AH34" s="10" t="s">
        <v>92</v>
      </c>
    </row>
    <row r="35" spans="1:34" x14ac:dyDescent="0.3">
      <c r="A35" s="74" t="s">
        <v>611</v>
      </c>
      <c r="B35" s="10" t="s">
        <v>710</v>
      </c>
      <c r="C35" s="10" t="s">
        <v>711</v>
      </c>
      <c r="D35" s="11">
        <v>45352</v>
      </c>
      <c r="E35" s="12">
        <v>190000</v>
      </c>
      <c r="F35" s="10" t="s">
        <v>32</v>
      </c>
      <c r="G35" s="10" t="s">
        <v>33</v>
      </c>
      <c r="H35" s="12">
        <v>190000</v>
      </c>
      <c r="I35" s="12">
        <v>68800</v>
      </c>
      <c r="J35" s="13">
        <f t="shared" si="7"/>
        <v>36.21052631578948</v>
      </c>
      <c r="K35" s="12">
        <v>177524</v>
      </c>
      <c r="L35" s="12">
        <f>H35-166421</f>
        <v>23579</v>
      </c>
      <c r="M35" s="12">
        <v>11103</v>
      </c>
      <c r="N35" s="66">
        <f t="shared" si="8"/>
        <v>5.8436842105263155E-2</v>
      </c>
      <c r="O35" s="14">
        <v>52.12</v>
      </c>
      <c r="P35" s="15">
        <v>125</v>
      </c>
      <c r="Q35" s="16">
        <v>0.14299999999999999</v>
      </c>
      <c r="R35" s="16">
        <v>0.14299999999999999</v>
      </c>
      <c r="S35" s="12">
        <f t="shared" si="9"/>
        <v>452.3983115886416</v>
      </c>
      <c r="T35" s="12">
        <f t="shared" si="10"/>
        <v>164888.11188811189</v>
      </c>
      <c r="U35" s="17">
        <f t="shared" si="11"/>
        <v>3.7853101902688682</v>
      </c>
      <c r="V35" s="16">
        <v>50</v>
      </c>
      <c r="W35" s="16">
        <f t="shared" si="12"/>
        <v>38000</v>
      </c>
      <c r="X35" s="16">
        <f t="shared" si="13"/>
        <v>760</v>
      </c>
      <c r="Y35" s="18" t="s">
        <v>610</v>
      </c>
      <c r="Z35" s="10" t="s">
        <v>35</v>
      </c>
      <c r="AA35" s="10" t="s">
        <v>35</v>
      </c>
      <c r="AB35" s="10" t="s">
        <v>611</v>
      </c>
      <c r="AC35" s="10">
        <v>0</v>
      </c>
      <c r="AD35" s="10">
        <v>1</v>
      </c>
      <c r="AE35" s="10" t="s">
        <v>42</v>
      </c>
      <c r="AF35" s="10" t="s">
        <v>43</v>
      </c>
      <c r="AG35" s="10" t="s">
        <v>38</v>
      </c>
      <c r="AH35" s="10" t="s">
        <v>92</v>
      </c>
    </row>
    <row r="36" spans="1:34" x14ac:dyDescent="0.3">
      <c r="A36" s="74" t="s">
        <v>611</v>
      </c>
      <c r="B36" s="10" t="s">
        <v>635</v>
      </c>
      <c r="C36" s="10" t="s">
        <v>636</v>
      </c>
      <c r="D36" s="11">
        <v>45639</v>
      </c>
      <c r="E36" s="12">
        <v>210000</v>
      </c>
      <c r="F36" s="10" t="s">
        <v>32</v>
      </c>
      <c r="G36" s="10" t="s">
        <v>33</v>
      </c>
      <c r="H36" s="12">
        <v>210000</v>
      </c>
      <c r="I36" s="12">
        <v>88500</v>
      </c>
      <c r="J36" s="13">
        <f t="shared" si="7"/>
        <v>42.142857142857146</v>
      </c>
      <c r="K36" s="12">
        <v>192921</v>
      </c>
      <c r="L36" s="12">
        <f>H36-182387</f>
        <v>27613</v>
      </c>
      <c r="M36" s="12">
        <v>10534</v>
      </c>
      <c r="N36" s="66">
        <f t="shared" si="8"/>
        <v>5.0161904761904762E-2</v>
      </c>
      <c r="O36" s="14">
        <v>49.45</v>
      </c>
      <c r="P36" s="15">
        <v>112.5</v>
      </c>
      <c r="Q36" s="16">
        <v>0.129</v>
      </c>
      <c r="R36" s="16">
        <v>0.129</v>
      </c>
      <c r="S36" s="12">
        <f t="shared" si="9"/>
        <v>558.40242669362988</v>
      </c>
      <c r="T36" s="12">
        <f t="shared" si="10"/>
        <v>214054.26356589148</v>
      </c>
      <c r="U36" s="17">
        <f t="shared" si="11"/>
        <v>4.9140097237348828</v>
      </c>
      <c r="V36" s="16">
        <v>50</v>
      </c>
      <c r="W36" s="16">
        <f t="shared" si="12"/>
        <v>42000</v>
      </c>
      <c r="X36" s="16">
        <f t="shared" si="13"/>
        <v>840</v>
      </c>
      <c r="Y36" s="18" t="s">
        <v>610</v>
      </c>
      <c r="Z36" s="10" t="s">
        <v>35</v>
      </c>
      <c r="AA36" s="10" t="s">
        <v>35</v>
      </c>
      <c r="AB36" s="10" t="s">
        <v>611</v>
      </c>
      <c r="AC36" s="10">
        <v>0</v>
      </c>
      <c r="AD36" s="10">
        <v>1</v>
      </c>
      <c r="AE36" s="10" t="s">
        <v>37</v>
      </c>
      <c r="AF36" s="10" t="s">
        <v>35</v>
      </c>
      <c r="AG36" s="10" t="s">
        <v>38</v>
      </c>
      <c r="AH36" s="10" t="s">
        <v>92</v>
      </c>
    </row>
    <row r="37" spans="1:34" x14ac:dyDescent="0.3">
      <c r="A37" s="74" t="s">
        <v>611</v>
      </c>
      <c r="B37" s="10" t="s">
        <v>676</v>
      </c>
      <c r="C37" s="10" t="s">
        <v>677</v>
      </c>
      <c r="D37" s="11">
        <v>45519</v>
      </c>
      <c r="E37" s="12">
        <v>219900</v>
      </c>
      <c r="F37" s="10" t="s">
        <v>32</v>
      </c>
      <c r="G37" s="10" t="s">
        <v>33</v>
      </c>
      <c r="H37" s="12">
        <v>219900</v>
      </c>
      <c r="I37" s="12">
        <v>90200</v>
      </c>
      <c r="J37" s="13">
        <f t="shared" si="7"/>
        <v>41.018644838562984</v>
      </c>
      <c r="K37" s="12">
        <v>196096</v>
      </c>
      <c r="L37" s="12">
        <f>H37-183281</f>
        <v>36619</v>
      </c>
      <c r="M37" s="12">
        <v>12815</v>
      </c>
      <c r="N37" s="66">
        <f t="shared" si="8"/>
        <v>5.8276489313324235E-2</v>
      </c>
      <c r="O37" s="14">
        <v>60.16</v>
      </c>
      <c r="P37" s="15">
        <v>166.5</v>
      </c>
      <c r="Q37" s="16">
        <v>0.191</v>
      </c>
      <c r="R37" s="16">
        <v>0.191</v>
      </c>
      <c r="S37" s="12">
        <f t="shared" si="9"/>
        <v>608.69348404255322</v>
      </c>
      <c r="T37" s="12">
        <f t="shared" si="10"/>
        <v>191722.51308900522</v>
      </c>
      <c r="U37" s="17">
        <f t="shared" si="11"/>
        <v>4.4013432756888253</v>
      </c>
      <c r="V37" s="16">
        <v>50</v>
      </c>
      <c r="W37" s="16">
        <f t="shared" si="12"/>
        <v>43980</v>
      </c>
      <c r="X37" s="16">
        <f t="shared" si="13"/>
        <v>879.6</v>
      </c>
      <c r="Y37" s="18" t="s">
        <v>610</v>
      </c>
      <c r="Z37" s="10" t="s">
        <v>35</v>
      </c>
      <c r="AA37" s="10" t="s">
        <v>35</v>
      </c>
      <c r="AB37" s="10" t="s">
        <v>611</v>
      </c>
      <c r="AC37" s="10">
        <v>0</v>
      </c>
      <c r="AD37" s="10">
        <v>1</v>
      </c>
      <c r="AE37" s="10" t="s">
        <v>37</v>
      </c>
      <c r="AF37" s="10" t="s">
        <v>43</v>
      </c>
      <c r="AG37" s="10" t="s">
        <v>38</v>
      </c>
      <c r="AH37" s="10" t="s">
        <v>92</v>
      </c>
    </row>
    <row r="38" spans="1:34" x14ac:dyDescent="0.3">
      <c r="A38" s="74" t="s">
        <v>611</v>
      </c>
      <c r="B38" s="10" t="s">
        <v>626</v>
      </c>
      <c r="C38" s="10" t="s">
        <v>627</v>
      </c>
      <c r="D38" s="11">
        <v>45516</v>
      </c>
      <c r="E38" s="12">
        <v>220000</v>
      </c>
      <c r="F38" s="10" t="s">
        <v>32</v>
      </c>
      <c r="G38" s="10" t="s">
        <v>33</v>
      </c>
      <c r="H38" s="12">
        <v>220000</v>
      </c>
      <c r="I38" s="12">
        <v>90100</v>
      </c>
      <c r="J38" s="13">
        <f t="shared" si="7"/>
        <v>40.954545454545453</v>
      </c>
      <c r="K38" s="12">
        <v>196083</v>
      </c>
      <c r="L38" s="12">
        <f>H38-185549</f>
        <v>34451</v>
      </c>
      <c r="M38" s="12">
        <v>10534</v>
      </c>
      <c r="N38" s="66">
        <f t="shared" si="8"/>
        <v>4.7881818181818185E-2</v>
      </c>
      <c r="O38" s="14">
        <v>49.45</v>
      </c>
      <c r="P38" s="15">
        <v>112.5</v>
      </c>
      <c r="Q38" s="16">
        <v>0.129</v>
      </c>
      <c r="R38" s="16">
        <v>0.129</v>
      </c>
      <c r="S38" s="12">
        <f t="shared" si="9"/>
        <v>696.68351870576339</v>
      </c>
      <c r="T38" s="12">
        <f t="shared" si="10"/>
        <v>267062.01550387597</v>
      </c>
      <c r="U38" s="17">
        <f t="shared" si="11"/>
        <v>6.1309002640926531</v>
      </c>
      <c r="V38" s="16">
        <v>50</v>
      </c>
      <c r="W38" s="16">
        <f t="shared" si="12"/>
        <v>44000</v>
      </c>
      <c r="X38" s="16">
        <f t="shared" si="13"/>
        <v>880</v>
      </c>
      <c r="Y38" s="18" t="s">
        <v>610</v>
      </c>
      <c r="Z38" s="10" t="s">
        <v>35</v>
      </c>
      <c r="AA38" s="10" t="s">
        <v>35</v>
      </c>
      <c r="AB38" s="10" t="s">
        <v>611</v>
      </c>
      <c r="AC38" s="10">
        <v>0</v>
      </c>
      <c r="AD38" s="10">
        <v>1</v>
      </c>
      <c r="AE38" s="10" t="s">
        <v>37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4" t="s">
        <v>611</v>
      </c>
      <c r="B39" s="10" t="s">
        <v>608</v>
      </c>
      <c r="C39" s="10" t="s">
        <v>609</v>
      </c>
      <c r="D39" s="11">
        <v>45736</v>
      </c>
      <c r="E39" s="12">
        <v>199000</v>
      </c>
      <c r="F39" s="10" t="s">
        <v>32</v>
      </c>
      <c r="G39" s="10" t="s">
        <v>33</v>
      </c>
      <c r="H39" s="12">
        <v>199000</v>
      </c>
      <c r="I39" s="12">
        <v>78500</v>
      </c>
      <c r="J39" s="13">
        <f t="shared" si="7"/>
        <v>39.447236180904518</v>
      </c>
      <c r="K39" s="12">
        <v>171192</v>
      </c>
      <c r="L39" s="12">
        <f>H39-159758</f>
        <v>39242</v>
      </c>
      <c r="M39" s="12">
        <v>11434</v>
      </c>
      <c r="N39" s="66">
        <f t="shared" si="8"/>
        <v>5.7457286432160803E-2</v>
      </c>
      <c r="O39" s="14">
        <v>53.67</v>
      </c>
      <c r="P39" s="15">
        <v>132.38999999999999</v>
      </c>
      <c r="Q39" s="16">
        <v>0.152</v>
      </c>
      <c r="R39" s="16">
        <v>0.152</v>
      </c>
      <c r="S39" s="12">
        <f t="shared" si="9"/>
        <v>731.17197689584498</v>
      </c>
      <c r="T39" s="12">
        <f t="shared" si="10"/>
        <v>258171.05263157896</v>
      </c>
      <c r="U39" s="17">
        <f t="shared" si="11"/>
        <v>5.9267918418636123</v>
      </c>
      <c r="V39" s="16">
        <v>50</v>
      </c>
      <c r="W39" s="16">
        <f t="shared" si="12"/>
        <v>39800</v>
      </c>
      <c r="X39" s="16">
        <f t="shared" si="13"/>
        <v>796</v>
      </c>
      <c r="Y39" s="18" t="s">
        <v>610</v>
      </c>
      <c r="Z39" s="10" t="s">
        <v>35</v>
      </c>
      <c r="AA39" s="10" t="s">
        <v>35</v>
      </c>
      <c r="AB39" s="10" t="s">
        <v>611</v>
      </c>
      <c r="AC39" s="10">
        <v>0</v>
      </c>
      <c r="AD39" s="10">
        <v>1</v>
      </c>
      <c r="AE39" s="10" t="s">
        <v>37</v>
      </c>
      <c r="AF39" s="10" t="s">
        <v>35</v>
      </c>
      <c r="AG39" s="10" t="s">
        <v>38</v>
      </c>
      <c r="AH39" s="10" t="s">
        <v>92</v>
      </c>
    </row>
    <row r="40" spans="1:34" x14ac:dyDescent="0.3">
      <c r="A40" s="75" t="s">
        <v>611</v>
      </c>
      <c r="B40" s="19" t="s">
        <v>742</v>
      </c>
      <c r="C40" s="19" t="s">
        <v>743</v>
      </c>
      <c r="D40" s="20">
        <v>45219</v>
      </c>
      <c r="E40" s="21">
        <v>190000</v>
      </c>
      <c r="F40" s="19" t="s">
        <v>32</v>
      </c>
      <c r="G40" s="19" t="s">
        <v>33</v>
      </c>
      <c r="H40" s="21">
        <v>190000</v>
      </c>
      <c r="I40" s="21">
        <v>63800</v>
      </c>
      <c r="J40" s="22">
        <f t="shared" si="7"/>
        <v>33.578947368421055</v>
      </c>
      <c r="K40" s="21">
        <v>161858</v>
      </c>
      <c r="L40" s="21">
        <f>H40-150782</f>
        <v>39218</v>
      </c>
      <c r="M40" s="21">
        <v>11076</v>
      </c>
      <c r="N40" s="67">
        <f t="shared" si="8"/>
        <v>5.829473684210526E-2</v>
      </c>
      <c r="O40" s="23">
        <v>52</v>
      </c>
      <c r="P40" s="24">
        <v>115</v>
      </c>
      <c r="Q40" s="25">
        <v>0.13700000000000001</v>
      </c>
      <c r="R40" s="25">
        <v>0.13700000000000001</v>
      </c>
      <c r="S40" s="21">
        <f t="shared" si="9"/>
        <v>754.19230769230774</v>
      </c>
      <c r="T40" s="21">
        <f t="shared" si="10"/>
        <v>286262.77372262772</v>
      </c>
      <c r="U40" s="26">
        <f t="shared" si="11"/>
        <v>6.5716890202623448</v>
      </c>
      <c r="V40" s="25">
        <v>52</v>
      </c>
      <c r="W40" s="25">
        <f t="shared" si="12"/>
        <v>38000</v>
      </c>
      <c r="X40" s="25">
        <f t="shared" si="13"/>
        <v>730.76923076923072</v>
      </c>
      <c r="Y40" s="27" t="s">
        <v>610</v>
      </c>
      <c r="Z40" s="19" t="s">
        <v>35</v>
      </c>
      <c r="AA40" s="19" t="s">
        <v>35</v>
      </c>
      <c r="AB40" s="19" t="s">
        <v>611</v>
      </c>
      <c r="AC40" s="19">
        <v>0</v>
      </c>
      <c r="AD40" s="19">
        <v>1</v>
      </c>
      <c r="AE40" s="19" t="s">
        <v>37</v>
      </c>
      <c r="AF40" s="19" t="s">
        <v>43</v>
      </c>
      <c r="AG40" s="19" t="s">
        <v>38</v>
      </c>
      <c r="AH40" s="19" t="s">
        <v>92</v>
      </c>
    </row>
    <row r="41" spans="1:34" x14ac:dyDescent="0.3">
      <c r="A41" s="75" t="s">
        <v>611</v>
      </c>
      <c r="B41" s="19" t="s">
        <v>706</v>
      </c>
      <c r="C41" s="19" t="s">
        <v>707</v>
      </c>
      <c r="D41" s="20">
        <v>45558</v>
      </c>
      <c r="E41" s="21">
        <v>215000</v>
      </c>
      <c r="F41" s="19" t="s">
        <v>32</v>
      </c>
      <c r="G41" s="19" t="s">
        <v>33</v>
      </c>
      <c r="H41" s="21">
        <v>215000</v>
      </c>
      <c r="I41" s="21">
        <v>83900</v>
      </c>
      <c r="J41" s="22">
        <f t="shared" si="7"/>
        <v>39.02325581395349</v>
      </c>
      <c r="K41" s="21">
        <v>182400</v>
      </c>
      <c r="L41" s="21">
        <f>H41-170237</f>
        <v>44763</v>
      </c>
      <c r="M41" s="21">
        <v>12163</v>
      </c>
      <c r="N41" s="67">
        <f t="shared" si="8"/>
        <v>5.6572093023255811E-2</v>
      </c>
      <c r="O41" s="23">
        <v>57.1</v>
      </c>
      <c r="P41" s="24">
        <v>150</v>
      </c>
      <c r="Q41" s="25">
        <v>0.17199999999999999</v>
      </c>
      <c r="R41" s="25">
        <v>0.17199999999999999</v>
      </c>
      <c r="S41" s="21">
        <f t="shared" si="9"/>
        <v>783.94045534150609</v>
      </c>
      <c r="T41" s="21">
        <f t="shared" si="10"/>
        <v>260250.00000000003</v>
      </c>
      <c r="U41" s="26">
        <f t="shared" si="11"/>
        <v>5.9745179063360885</v>
      </c>
      <c r="V41" s="25">
        <v>50</v>
      </c>
      <c r="W41" s="25">
        <f t="shared" si="12"/>
        <v>43000</v>
      </c>
      <c r="X41" s="25">
        <f t="shared" si="13"/>
        <v>860</v>
      </c>
      <c r="Y41" s="27" t="s">
        <v>610</v>
      </c>
      <c r="Z41" s="19" t="s">
        <v>35</v>
      </c>
      <c r="AA41" s="19" t="s">
        <v>35</v>
      </c>
      <c r="AB41" s="19" t="s">
        <v>611</v>
      </c>
      <c r="AC41" s="19">
        <v>0</v>
      </c>
      <c r="AD41" s="19">
        <v>1</v>
      </c>
      <c r="AE41" s="19" t="s">
        <v>37</v>
      </c>
      <c r="AF41" s="19" t="s">
        <v>43</v>
      </c>
      <c r="AG41" s="19" t="s">
        <v>38</v>
      </c>
      <c r="AH41" s="19" t="s">
        <v>92</v>
      </c>
    </row>
    <row r="42" spans="1:34" x14ac:dyDescent="0.3">
      <c r="A42" s="75" t="s">
        <v>611</v>
      </c>
      <c r="B42" s="19" t="s">
        <v>620</v>
      </c>
      <c r="C42" s="19" t="s">
        <v>621</v>
      </c>
      <c r="D42" s="20">
        <v>45716</v>
      </c>
      <c r="E42" s="21">
        <v>222500</v>
      </c>
      <c r="F42" s="19" t="s">
        <v>32</v>
      </c>
      <c r="G42" s="19" t="s">
        <v>33</v>
      </c>
      <c r="H42" s="21">
        <v>222500</v>
      </c>
      <c r="I42" s="21">
        <v>86500</v>
      </c>
      <c r="J42" s="22">
        <f t="shared" si="7"/>
        <v>38.876404494382022</v>
      </c>
      <c r="K42" s="21">
        <v>187912</v>
      </c>
      <c r="L42" s="21">
        <f>H42-175451</f>
        <v>47049</v>
      </c>
      <c r="M42" s="21">
        <v>12461</v>
      </c>
      <c r="N42" s="67">
        <f t="shared" si="8"/>
        <v>5.6004494382022471E-2</v>
      </c>
      <c r="O42" s="23">
        <v>58.5</v>
      </c>
      <c r="P42" s="24">
        <v>112.21</v>
      </c>
      <c r="Q42" s="25">
        <v>0.13900000000000001</v>
      </c>
      <c r="R42" s="25">
        <v>0.13900000000000001</v>
      </c>
      <c r="S42" s="21">
        <f t="shared" si="9"/>
        <v>804.25641025641028</v>
      </c>
      <c r="T42" s="21">
        <f t="shared" si="10"/>
        <v>338482.01438848919</v>
      </c>
      <c r="U42" s="26">
        <f t="shared" si="11"/>
        <v>7.7704778326099442</v>
      </c>
      <c r="V42" s="25">
        <v>69.72</v>
      </c>
      <c r="W42" s="25">
        <f t="shared" si="12"/>
        <v>44500</v>
      </c>
      <c r="X42" s="25">
        <f t="shared" si="13"/>
        <v>638.26735513482504</v>
      </c>
      <c r="Y42" s="27" t="s">
        <v>610</v>
      </c>
      <c r="Z42" s="19" t="s">
        <v>35</v>
      </c>
      <c r="AA42" s="19" t="s">
        <v>35</v>
      </c>
      <c r="AB42" s="19" t="s">
        <v>611</v>
      </c>
      <c r="AC42" s="19">
        <v>0</v>
      </c>
      <c r="AD42" s="19">
        <v>1</v>
      </c>
      <c r="AE42" s="19" t="s">
        <v>37</v>
      </c>
      <c r="AF42" s="19" t="s">
        <v>35</v>
      </c>
      <c r="AG42" s="19" t="s">
        <v>38</v>
      </c>
      <c r="AH42" s="19" t="s">
        <v>92</v>
      </c>
    </row>
    <row r="43" spans="1:34" x14ac:dyDescent="0.3">
      <c r="A43" s="75" t="s">
        <v>611</v>
      </c>
      <c r="B43" s="19" t="s">
        <v>734</v>
      </c>
      <c r="C43" s="19" t="s">
        <v>735</v>
      </c>
      <c r="D43" s="20">
        <v>45520</v>
      </c>
      <c r="E43" s="21">
        <v>195000</v>
      </c>
      <c r="F43" s="19" t="s">
        <v>32</v>
      </c>
      <c r="G43" s="19" t="s">
        <v>33</v>
      </c>
      <c r="H43" s="21">
        <v>195000</v>
      </c>
      <c r="I43" s="21">
        <v>75200</v>
      </c>
      <c r="J43" s="22">
        <f t="shared" si="7"/>
        <v>38.564102564102562</v>
      </c>
      <c r="K43" s="21">
        <v>163578</v>
      </c>
      <c r="L43" s="21">
        <f>H43-152502</f>
        <v>42498</v>
      </c>
      <c r="M43" s="21">
        <v>11076</v>
      </c>
      <c r="N43" s="67">
        <f t="shared" si="8"/>
        <v>5.6800000000000003E-2</v>
      </c>
      <c r="O43" s="23">
        <v>52</v>
      </c>
      <c r="P43" s="24">
        <v>115</v>
      </c>
      <c r="Q43" s="25">
        <v>0.13700000000000001</v>
      </c>
      <c r="R43" s="25">
        <v>0.13700000000000001</v>
      </c>
      <c r="S43" s="21">
        <f t="shared" si="9"/>
        <v>817.26923076923072</v>
      </c>
      <c r="T43" s="21">
        <f t="shared" si="10"/>
        <v>310204.37956204376</v>
      </c>
      <c r="U43" s="26">
        <f t="shared" si="11"/>
        <v>7.1213126621222171</v>
      </c>
      <c r="V43" s="25">
        <v>52</v>
      </c>
      <c r="W43" s="25">
        <f t="shared" si="12"/>
        <v>39000</v>
      </c>
      <c r="X43" s="25">
        <f t="shared" si="13"/>
        <v>750</v>
      </c>
      <c r="Y43" s="27" t="s">
        <v>610</v>
      </c>
      <c r="Z43" s="19" t="s">
        <v>35</v>
      </c>
      <c r="AA43" s="19" t="s">
        <v>35</v>
      </c>
      <c r="AB43" s="19" t="s">
        <v>611</v>
      </c>
      <c r="AC43" s="19">
        <v>0</v>
      </c>
      <c r="AD43" s="19">
        <v>1</v>
      </c>
      <c r="AE43" s="19" t="s">
        <v>37</v>
      </c>
      <c r="AF43" s="19" t="s">
        <v>43</v>
      </c>
      <c r="AG43" s="19" t="s">
        <v>38</v>
      </c>
      <c r="AH43" s="19" t="s">
        <v>92</v>
      </c>
    </row>
    <row r="44" spans="1:34" x14ac:dyDescent="0.3">
      <c r="A44" s="75" t="s">
        <v>611</v>
      </c>
      <c r="B44" s="19" t="s">
        <v>612</v>
      </c>
      <c r="C44" s="19" t="s">
        <v>613</v>
      </c>
      <c r="D44" s="20">
        <v>45107</v>
      </c>
      <c r="E44" s="21">
        <v>221000</v>
      </c>
      <c r="F44" s="19" t="s">
        <v>32</v>
      </c>
      <c r="G44" s="19" t="s">
        <v>33</v>
      </c>
      <c r="H44" s="21">
        <v>221000</v>
      </c>
      <c r="I44" s="21">
        <v>73800</v>
      </c>
      <c r="J44" s="22">
        <f t="shared" si="7"/>
        <v>33.393665158371036</v>
      </c>
      <c r="K44" s="21">
        <v>187231</v>
      </c>
      <c r="L44" s="21">
        <f>H44-176064</f>
        <v>44936</v>
      </c>
      <c r="M44" s="21">
        <v>11167</v>
      </c>
      <c r="N44" s="67">
        <f t="shared" si="8"/>
        <v>5.0529411764705885E-2</v>
      </c>
      <c r="O44" s="23">
        <v>52.42</v>
      </c>
      <c r="P44" s="24">
        <v>126.27</v>
      </c>
      <c r="Q44" s="25">
        <v>0.14499999999999999</v>
      </c>
      <c r="R44" s="25">
        <v>0.14499999999999999</v>
      </c>
      <c r="S44" s="21">
        <f t="shared" si="9"/>
        <v>857.23006486074019</v>
      </c>
      <c r="T44" s="21">
        <f t="shared" si="10"/>
        <v>309903.44827586209</v>
      </c>
      <c r="U44" s="26">
        <f t="shared" si="11"/>
        <v>7.1144042303916919</v>
      </c>
      <c r="V44" s="25">
        <v>50</v>
      </c>
      <c r="W44" s="25">
        <f t="shared" si="12"/>
        <v>44200</v>
      </c>
      <c r="X44" s="25">
        <f t="shared" si="13"/>
        <v>884</v>
      </c>
      <c r="Y44" s="27" t="s">
        <v>610</v>
      </c>
      <c r="Z44" s="19" t="s">
        <v>35</v>
      </c>
      <c r="AA44" s="19" t="s">
        <v>35</v>
      </c>
      <c r="AB44" s="19" t="s">
        <v>611</v>
      </c>
      <c r="AC44" s="19">
        <v>0</v>
      </c>
      <c r="AD44" s="19">
        <v>1</v>
      </c>
      <c r="AE44" s="19" t="s">
        <v>37</v>
      </c>
      <c r="AF44" s="19" t="s">
        <v>43</v>
      </c>
      <c r="AG44" s="19" t="s">
        <v>38</v>
      </c>
      <c r="AH44" s="19" t="s">
        <v>92</v>
      </c>
    </row>
    <row r="45" spans="1:34" x14ac:dyDescent="0.3">
      <c r="A45" s="75" t="s">
        <v>611</v>
      </c>
      <c r="B45" s="19" t="s">
        <v>639</v>
      </c>
      <c r="C45" s="19" t="s">
        <v>640</v>
      </c>
      <c r="D45" s="20">
        <v>45485</v>
      </c>
      <c r="E45" s="21">
        <v>222000</v>
      </c>
      <c r="F45" s="19" t="s">
        <v>32</v>
      </c>
      <c r="G45" s="19" t="s">
        <v>33</v>
      </c>
      <c r="H45" s="21">
        <v>222000</v>
      </c>
      <c r="I45" s="21">
        <v>87400</v>
      </c>
      <c r="J45" s="22">
        <f t="shared" si="7"/>
        <v>39.369369369369366</v>
      </c>
      <c r="K45" s="21">
        <v>189981</v>
      </c>
      <c r="L45" s="21">
        <f>H45-179565</f>
        <v>42435</v>
      </c>
      <c r="M45" s="21">
        <v>10416</v>
      </c>
      <c r="N45" s="67">
        <f t="shared" si="8"/>
        <v>4.6918918918918917E-2</v>
      </c>
      <c r="O45" s="23">
        <v>48.9</v>
      </c>
      <c r="P45" s="24">
        <v>110</v>
      </c>
      <c r="Q45" s="25">
        <v>0.126</v>
      </c>
      <c r="R45" s="25">
        <v>0.126</v>
      </c>
      <c r="S45" s="21">
        <f t="shared" si="9"/>
        <v>867.79141104294479</v>
      </c>
      <c r="T45" s="21">
        <f t="shared" si="10"/>
        <v>336785.71428571426</v>
      </c>
      <c r="U45" s="26">
        <f t="shared" si="11"/>
        <v>7.7315361406270489</v>
      </c>
      <c r="V45" s="25">
        <v>50</v>
      </c>
      <c r="W45" s="25">
        <f t="shared" si="12"/>
        <v>44400</v>
      </c>
      <c r="X45" s="25">
        <f t="shared" si="13"/>
        <v>888</v>
      </c>
      <c r="Y45" s="27" t="s">
        <v>610</v>
      </c>
      <c r="Z45" s="19" t="s">
        <v>35</v>
      </c>
      <c r="AA45" s="19" t="s">
        <v>35</v>
      </c>
      <c r="AB45" s="19" t="s">
        <v>611</v>
      </c>
      <c r="AC45" s="19">
        <v>0</v>
      </c>
      <c r="AD45" s="19">
        <v>1</v>
      </c>
      <c r="AE45" s="19" t="s">
        <v>37</v>
      </c>
      <c r="AF45" s="19" t="s">
        <v>43</v>
      </c>
      <c r="AG45" s="19" t="s">
        <v>38</v>
      </c>
      <c r="AH45" s="19" t="s">
        <v>92</v>
      </c>
    </row>
    <row r="46" spans="1:34" x14ac:dyDescent="0.3">
      <c r="A46" s="75" t="s">
        <v>611</v>
      </c>
      <c r="B46" s="19" t="s">
        <v>614</v>
      </c>
      <c r="C46" s="19" t="s">
        <v>615</v>
      </c>
      <c r="D46" s="20">
        <v>45370</v>
      </c>
      <c r="E46" s="21">
        <v>225000</v>
      </c>
      <c r="F46" s="19" t="s">
        <v>32</v>
      </c>
      <c r="G46" s="19" t="s">
        <v>33</v>
      </c>
      <c r="H46" s="21">
        <v>225000</v>
      </c>
      <c r="I46" s="21">
        <v>71400</v>
      </c>
      <c r="J46" s="22">
        <f t="shared" si="7"/>
        <v>31.733333333333334</v>
      </c>
      <c r="K46" s="21">
        <v>180367</v>
      </c>
      <c r="L46" s="21">
        <f>H46-169373</f>
        <v>55627</v>
      </c>
      <c r="M46" s="21">
        <v>10994</v>
      </c>
      <c r="N46" s="67">
        <f t="shared" si="8"/>
        <v>4.8862222222222224E-2</v>
      </c>
      <c r="O46" s="23">
        <v>51.61</v>
      </c>
      <c r="P46" s="24">
        <v>114.46</v>
      </c>
      <c r="Q46" s="25">
        <v>0.13800000000000001</v>
      </c>
      <c r="R46" s="25">
        <v>0.13800000000000001</v>
      </c>
      <c r="S46" s="21">
        <f t="shared" si="9"/>
        <v>1077.8337531486147</v>
      </c>
      <c r="T46" s="21">
        <f t="shared" si="10"/>
        <v>403094.20289855066</v>
      </c>
      <c r="U46" s="26">
        <f t="shared" si="11"/>
        <v>9.2537695798565345</v>
      </c>
      <c r="V46" s="25">
        <v>50</v>
      </c>
      <c r="W46" s="25">
        <f t="shared" si="12"/>
        <v>45000</v>
      </c>
      <c r="X46" s="25">
        <f t="shared" si="13"/>
        <v>900</v>
      </c>
      <c r="Y46" s="27" t="s">
        <v>610</v>
      </c>
      <c r="Z46" s="19" t="s">
        <v>35</v>
      </c>
      <c r="AA46" s="19" t="s">
        <v>35</v>
      </c>
      <c r="AB46" s="19" t="s">
        <v>611</v>
      </c>
      <c r="AC46" s="19">
        <v>0</v>
      </c>
      <c r="AD46" s="19">
        <v>1</v>
      </c>
      <c r="AE46" s="19" t="s">
        <v>42</v>
      </c>
      <c r="AF46" s="19" t="s">
        <v>43</v>
      </c>
      <c r="AG46" s="19" t="s">
        <v>38</v>
      </c>
      <c r="AH46" s="19" t="s">
        <v>92</v>
      </c>
    </row>
    <row r="47" spans="1:34" x14ac:dyDescent="0.3">
      <c r="A47" s="75" t="s">
        <v>611</v>
      </c>
      <c r="B47" s="19" t="s">
        <v>645</v>
      </c>
      <c r="C47" s="19" t="s">
        <v>646</v>
      </c>
      <c r="D47" s="20">
        <v>45569</v>
      </c>
      <c r="E47" s="21">
        <v>232000</v>
      </c>
      <c r="F47" s="19" t="s">
        <v>32</v>
      </c>
      <c r="G47" s="19" t="s">
        <v>33</v>
      </c>
      <c r="H47" s="21">
        <v>232000</v>
      </c>
      <c r="I47" s="21">
        <v>86900</v>
      </c>
      <c r="J47" s="22">
        <f t="shared" si="7"/>
        <v>37.456896551724142</v>
      </c>
      <c r="K47" s="21">
        <v>188939</v>
      </c>
      <c r="L47" s="21">
        <f>H47-178523</f>
        <v>53477</v>
      </c>
      <c r="M47" s="21">
        <v>10416</v>
      </c>
      <c r="N47" s="67">
        <f t="shared" si="8"/>
        <v>4.489655172413793E-2</v>
      </c>
      <c r="O47" s="23">
        <v>48.9</v>
      </c>
      <c r="P47" s="24">
        <v>110</v>
      </c>
      <c r="Q47" s="25">
        <v>0.126</v>
      </c>
      <c r="R47" s="25">
        <v>0.126</v>
      </c>
      <c r="S47" s="21">
        <f t="shared" si="9"/>
        <v>1093.5991820040899</v>
      </c>
      <c r="T47" s="21">
        <f t="shared" si="10"/>
        <v>424420.63492063491</v>
      </c>
      <c r="U47" s="26">
        <f t="shared" si="11"/>
        <v>9.7433570918419399</v>
      </c>
      <c r="V47" s="25">
        <v>50</v>
      </c>
      <c r="W47" s="25">
        <f t="shared" si="12"/>
        <v>46400</v>
      </c>
      <c r="X47" s="25">
        <f t="shared" si="13"/>
        <v>928</v>
      </c>
      <c r="Y47" s="27" t="s">
        <v>610</v>
      </c>
      <c r="Z47" s="19" t="s">
        <v>35</v>
      </c>
      <c r="AA47" s="19" t="s">
        <v>35</v>
      </c>
      <c r="AB47" s="19" t="s">
        <v>611</v>
      </c>
      <c r="AC47" s="19">
        <v>0</v>
      </c>
      <c r="AD47" s="19">
        <v>1</v>
      </c>
      <c r="AE47" s="19" t="s">
        <v>37</v>
      </c>
      <c r="AF47" s="19" t="s">
        <v>43</v>
      </c>
      <c r="AG47" s="19" t="s">
        <v>38</v>
      </c>
      <c r="AH47" s="19" t="s">
        <v>92</v>
      </c>
    </row>
    <row r="48" spans="1:34" x14ac:dyDescent="0.3">
      <c r="A48" s="74" t="s">
        <v>611</v>
      </c>
      <c r="B48" s="10" t="s">
        <v>716</v>
      </c>
      <c r="C48" s="10" t="s">
        <v>717</v>
      </c>
      <c r="D48" s="11">
        <v>45593</v>
      </c>
      <c r="E48" s="12">
        <v>209900</v>
      </c>
      <c r="F48" s="10" t="s">
        <v>32</v>
      </c>
      <c r="G48" s="10" t="s">
        <v>33</v>
      </c>
      <c r="H48" s="12">
        <v>209900</v>
      </c>
      <c r="I48" s="12">
        <v>75100</v>
      </c>
      <c r="J48" s="13">
        <f t="shared" si="7"/>
        <v>35.77894235350167</v>
      </c>
      <c r="K48" s="12">
        <v>163087</v>
      </c>
      <c r="L48" s="12">
        <f>H48-151984</f>
        <v>57916</v>
      </c>
      <c r="M48" s="12">
        <v>11103</v>
      </c>
      <c r="N48" s="66">
        <f t="shared" si="8"/>
        <v>5.2896617436874703E-2</v>
      </c>
      <c r="O48" s="14">
        <v>52.12</v>
      </c>
      <c r="P48" s="15">
        <v>125</v>
      </c>
      <c r="Q48" s="16">
        <v>0.14299999999999999</v>
      </c>
      <c r="R48" s="16">
        <v>0.14299999999999999</v>
      </c>
      <c r="S48" s="12">
        <f t="shared" si="9"/>
        <v>1111.2049117421336</v>
      </c>
      <c r="T48" s="12">
        <f t="shared" si="10"/>
        <v>405006.99300699303</v>
      </c>
      <c r="U48" s="17">
        <f t="shared" si="11"/>
        <v>9.2976811985076449</v>
      </c>
      <c r="V48" s="16">
        <v>50</v>
      </c>
      <c r="W48" s="16">
        <f t="shared" si="12"/>
        <v>41980</v>
      </c>
      <c r="X48" s="16">
        <f t="shared" si="13"/>
        <v>839.6</v>
      </c>
      <c r="Y48" s="18" t="s">
        <v>610</v>
      </c>
      <c r="Z48" s="10" t="s">
        <v>35</v>
      </c>
      <c r="AA48" s="10" t="s">
        <v>35</v>
      </c>
      <c r="AB48" s="10" t="s">
        <v>611</v>
      </c>
      <c r="AC48" s="10">
        <v>0</v>
      </c>
      <c r="AD48" s="10">
        <v>1</v>
      </c>
      <c r="AE48" s="10" t="s">
        <v>42</v>
      </c>
      <c r="AF48" s="10" t="s">
        <v>35</v>
      </c>
      <c r="AG48" s="10" t="s">
        <v>38</v>
      </c>
      <c r="AH48" s="10" t="s">
        <v>92</v>
      </c>
    </row>
    <row r="49" spans="1:34" x14ac:dyDescent="0.3">
      <c r="A49" s="74" t="s">
        <v>611</v>
      </c>
      <c r="B49" s="10" t="s">
        <v>618</v>
      </c>
      <c r="C49" s="10" t="s">
        <v>619</v>
      </c>
      <c r="D49" s="11">
        <v>45499</v>
      </c>
      <c r="E49" s="12">
        <v>250000</v>
      </c>
      <c r="F49" s="10" t="s">
        <v>32</v>
      </c>
      <c r="G49" s="10" t="s">
        <v>33</v>
      </c>
      <c r="H49" s="12">
        <v>250000</v>
      </c>
      <c r="I49" s="12">
        <v>93000</v>
      </c>
      <c r="J49" s="13">
        <f t="shared" si="7"/>
        <v>37.200000000000003</v>
      </c>
      <c r="K49" s="12">
        <v>202840</v>
      </c>
      <c r="L49" s="12">
        <f>H49-191961</f>
        <v>58039</v>
      </c>
      <c r="M49" s="12">
        <v>10879</v>
      </c>
      <c r="N49" s="66">
        <f t="shared" si="8"/>
        <v>4.3515999999999999E-2</v>
      </c>
      <c r="O49" s="14">
        <v>51.07</v>
      </c>
      <c r="P49" s="15">
        <v>120</v>
      </c>
      <c r="Q49" s="16">
        <v>0.13800000000000001</v>
      </c>
      <c r="R49" s="16">
        <v>0.13800000000000001</v>
      </c>
      <c r="S49" s="12">
        <f t="shared" si="9"/>
        <v>1136.459761112199</v>
      </c>
      <c r="T49" s="12">
        <f t="shared" si="10"/>
        <v>420572.46376811591</v>
      </c>
      <c r="U49" s="17">
        <f t="shared" si="11"/>
        <v>9.6550152380191889</v>
      </c>
      <c r="V49" s="16">
        <v>50</v>
      </c>
      <c r="W49" s="16">
        <f t="shared" si="12"/>
        <v>50000</v>
      </c>
      <c r="X49" s="16">
        <f t="shared" si="13"/>
        <v>1000</v>
      </c>
      <c r="Y49" s="18" t="s">
        <v>610</v>
      </c>
      <c r="Z49" s="10" t="s">
        <v>35</v>
      </c>
      <c r="AA49" s="10" t="s">
        <v>35</v>
      </c>
      <c r="AB49" s="10" t="s">
        <v>611</v>
      </c>
      <c r="AC49" s="10">
        <v>0</v>
      </c>
      <c r="AD49" s="10">
        <v>1</v>
      </c>
      <c r="AE49" s="10" t="s">
        <v>42</v>
      </c>
      <c r="AF49" s="10" t="s">
        <v>43</v>
      </c>
      <c r="AG49" s="10" t="s">
        <v>38</v>
      </c>
      <c r="AH49" s="10" t="s">
        <v>92</v>
      </c>
    </row>
    <row r="50" spans="1:34" x14ac:dyDescent="0.3">
      <c r="A50" s="74" t="s">
        <v>611</v>
      </c>
      <c r="B50" s="10" t="s">
        <v>732</v>
      </c>
      <c r="C50" s="10" t="s">
        <v>733</v>
      </c>
      <c r="D50" s="11">
        <v>45436</v>
      </c>
      <c r="E50" s="12">
        <v>220000</v>
      </c>
      <c r="F50" s="10" t="s">
        <v>32</v>
      </c>
      <c r="G50" s="10" t="s">
        <v>33</v>
      </c>
      <c r="H50" s="12">
        <v>220000</v>
      </c>
      <c r="I50" s="12">
        <v>77700</v>
      </c>
      <c r="J50" s="13">
        <f t="shared" si="7"/>
        <v>35.31818181818182</v>
      </c>
      <c r="K50" s="12">
        <v>168883</v>
      </c>
      <c r="L50" s="12">
        <f>H50-157807</f>
        <v>62193</v>
      </c>
      <c r="M50" s="12">
        <v>11076</v>
      </c>
      <c r="N50" s="66">
        <f t="shared" si="8"/>
        <v>5.0345454545454547E-2</v>
      </c>
      <c r="O50" s="14">
        <v>52</v>
      </c>
      <c r="P50" s="15">
        <v>115</v>
      </c>
      <c r="Q50" s="16">
        <v>0.13700000000000001</v>
      </c>
      <c r="R50" s="16">
        <v>0.13700000000000001</v>
      </c>
      <c r="S50" s="12">
        <f t="shared" si="9"/>
        <v>1196.0192307692307</v>
      </c>
      <c r="T50" s="12">
        <f t="shared" si="10"/>
        <v>453963.50364963501</v>
      </c>
      <c r="U50" s="17">
        <f t="shared" si="11"/>
        <v>10.421568036033861</v>
      </c>
      <c r="V50" s="16">
        <v>52</v>
      </c>
      <c r="W50" s="16">
        <f t="shared" si="12"/>
        <v>44000</v>
      </c>
      <c r="X50" s="16">
        <f t="shared" si="13"/>
        <v>846.15384615384619</v>
      </c>
      <c r="Y50" s="18" t="s">
        <v>610</v>
      </c>
      <c r="Z50" s="10" t="s">
        <v>35</v>
      </c>
      <c r="AA50" s="10" t="s">
        <v>35</v>
      </c>
      <c r="AB50" s="10" t="s">
        <v>611</v>
      </c>
      <c r="AC50" s="10">
        <v>0</v>
      </c>
      <c r="AD50" s="10">
        <v>1</v>
      </c>
      <c r="AE50" s="10" t="s">
        <v>37</v>
      </c>
      <c r="AF50" s="10" t="s">
        <v>43</v>
      </c>
      <c r="AG50" s="10" t="s">
        <v>38</v>
      </c>
      <c r="AH50" s="10" t="s">
        <v>92</v>
      </c>
    </row>
    <row r="51" spans="1:34" x14ac:dyDescent="0.3">
      <c r="A51" s="75" t="s">
        <v>611</v>
      </c>
      <c r="B51" s="19" t="s">
        <v>665</v>
      </c>
      <c r="C51" s="19" t="s">
        <v>666</v>
      </c>
      <c r="D51" s="20">
        <v>45065</v>
      </c>
      <c r="E51" s="21">
        <v>235000</v>
      </c>
      <c r="F51" s="19" t="s">
        <v>32</v>
      </c>
      <c r="G51" s="19" t="s">
        <v>33</v>
      </c>
      <c r="H51" s="21">
        <v>235000</v>
      </c>
      <c r="I51" s="21">
        <v>73000</v>
      </c>
      <c r="J51" s="22">
        <f t="shared" si="7"/>
        <v>31.063829787234042</v>
      </c>
      <c r="K51" s="21">
        <v>185321</v>
      </c>
      <c r="L51" s="21">
        <f>H51-174905</f>
        <v>60095</v>
      </c>
      <c r="M51" s="21">
        <v>10416</v>
      </c>
      <c r="N51" s="67">
        <f t="shared" si="8"/>
        <v>4.4323404255319152E-2</v>
      </c>
      <c r="O51" s="23">
        <v>48.9</v>
      </c>
      <c r="P51" s="24">
        <v>110</v>
      </c>
      <c r="Q51" s="25">
        <v>0.126</v>
      </c>
      <c r="R51" s="25">
        <v>0.126</v>
      </c>
      <c r="S51" s="21">
        <f t="shared" si="9"/>
        <v>1228.9366053169736</v>
      </c>
      <c r="T51" s="21">
        <f t="shared" si="10"/>
        <v>476944.44444444444</v>
      </c>
      <c r="U51" s="26">
        <f t="shared" si="11"/>
        <v>10.949137843077237</v>
      </c>
      <c r="V51" s="25">
        <v>50</v>
      </c>
      <c r="W51" s="25">
        <f t="shared" si="12"/>
        <v>47000</v>
      </c>
      <c r="X51" s="25">
        <f t="shared" si="13"/>
        <v>940</v>
      </c>
      <c r="Y51" s="27" t="s">
        <v>610</v>
      </c>
      <c r="Z51" s="19" t="s">
        <v>35</v>
      </c>
      <c r="AA51" s="19" t="s">
        <v>35</v>
      </c>
      <c r="AB51" s="19" t="s">
        <v>611</v>
      </c>
      <c r="AC51" s="19">
        <v>0</v>
      </c>
      <c r="AD51" s="19">
        <v>1</v>
      </c>
      <c r="AE51" s="19" t="s">
        <v>37</v>
      </c>
      <c r="AF51" s="19" t="s">
        <v>43</v>
      </c>
      <c r="AG51" s="19" t="s">
        <v>38</v>
      </c>
      <c r="AH51" s="19" t="s">
        <v>92</v>
      </c>
    </row>
    <row r="52" spans="1:34" x14ac:dyDescent="0.3">
      <c r="A52" s="74" t="s">
        <v>611</v>
      </c>
      <c r="B52" s="10" t="s">
        <v>730</v>
      </c>
      <c r="C52" s="10" t="s">
        <v>731</v>
      </c>
      <c r="D52" s="11">
        <v>45495</v>
      </c>
      <c r="E52" s="12">
        <v>200000</v>
      </c>
      <c r="F52" s="10" t="s">
        <v>32</v>
      </c>
      <c r="G52" s="10" t="s">
        <v>33</v>
      </c>
      <c r="H52" s="12">
        <v>200000</v>
      </c>
      <c r="I52" s="12">
        <v>67200</v>
      </c>
      <c r="J52" s="13">
        <f t="shared" si="7"/>
        <v>33.6</v>
      </c>
      <c r="K52" s="12">
        <v>146769</v>
      </c>
      <c r="L52" s="12">
        <f>H52-135693</f>
        <v>64307</v>
      </c>
      <c r="M52" s="12">
        <v>11076</v>
      </c>
      <c r="N52" s="66">
        <f t="shared" si="8"/>
        <v>5.5379999999999999E-2</v>
      </c>
      <c r="O52" s="14">
        <v>52</v>
      </c>
      <c r="P52" s="15">
        <v>115</v>
      </c>
      <c r="Q52" s="16">
        <v>0.13700000000000001</v>
      </c>
      <c r="R52" s="16">
        <v>0.13700000000000001</v>
      </c>
      <c r="S52" s="12">
        <f t="shared" si="9"/>
        <v>1236.6730769230769</v>
      </c>
      <c r="T52" s="12">
        <f t="shared" si="10"/>
        <v>469394.16058394156</v>
      </c>
      <c r="U52" s="17">
        <f t="shared" si="11"/>
        <v>10.775807175939889</v>
      </c>
      <c r="V52" s="16">
        <v>52</v>
      </c>
      <c r="W52" s="16">
        <f t="shared" si="12"/>
        <v>40000</v>
      </c>
      <c r="X52" s="16">
        <f t="shared" si="13"/>
        <v>769.23076923076928</v>
      </c>
      <c r="Y52" s="18" t="s">
        <v>610</v>
      </c>
      <c r="Z52" s="10" t="s">
        <v>35</v>
      </c>
      <c r="AA52" s="10" t="s">
        <v>35</v>
      </c>
      <c r="AB52" s="10" t="s">
        <v>611</v>
      </c>
      <c r="AC52" s="10">
        <v>0</v>
      </c>
      <c r="AD52" s="10">
        <v>1</v>
      </c>
      <c r="AE52" s="10" t="s">
        <v>42</v>
      </c>
      <c r="AF52" s="10" t="s">
        <v>43</v>
      </c>
      <c r="AG52" s="10" t="s">
        <v>38</v>
      </c>
      <c r="AH52" s="10" t="s">
        <v>92</v>
      </c>
    </row>
    <row r="53" spans="1:34" x14ac:dyDescent="0.3">
      <c r="A53" s="75" t="s">
        <v>611</v>
      </c>
      <c r="B53" s="19" t="s">
        <v>682</v>
      </c>
      <c r="C53" s="19" t="s">
        <v>683</v>
      </c>
      <c r="D53" s="20">
        <v>45485</v>
      </c>
      <c r="E53" s="21">
        <v>250000</v>
      </c>
      <c r="F53" s="19" t="s">
        <v>32</v>
      </c>
      <c r="G53" s="19" t="s">
        <v>33</v>
      </c>
      <c r="H53" s="21">
        <v>250000</v>
      </c>
      <c r="I53" s="21">
        <v>90100</v>
      </c>
      <c r="J53" s="22">
        <f t="shared" si="7"/>
        <v>36.04</v>
      </c>
      <c r="K53" s="21">
        <v>195682</v>
      </c>
      <c r="L53" s="21">
        <f>H53-185077</f>
        <v>64923</v>
      </c>
      <c r="M53" s="21">
        <v>10605</v>
      </c>
      <c r="N53" s="67">
        <f t="shared" si="8"/>
        <v>4.2419999999999999E-2</v>
      </c>
      <c r="O53" s="23">
        <v>49.79</v>
      </c>
      <c r="P53" s="24">
        <v>114.04</v>
      </c>
      <c r="Q53" s="25">
        <v>0.13100000000000001</v>
      </c>
      <c r="R53" s="25">
        <v>0.13100000000000001</v>
      </c>
      <c r="S53" s="21">
        <f t="shared" si="9"/>
        <v>1303.9365334404499</v>
      </c>
      <c r="T53" s="21">
        <f t="shared" si="10"/>
        <v>495595.41984732822</v>
      </c>
      <c r="U53" s="26">
        <f t="shared" si="11"/>
        <v>11.377305322482282</v>
      </c>
      <c r="V53" s="25">
        <v>50</v>
      </c>
      <c r="W53" s="25">
        <f t="shared" si="12"/>
        <v>50000</v>
      </c>
      <c r="X53" s="25">
        <f t="shared" si="13"/>
        <v>1000</v>
      </c>
      <c r="Y53" s="27" t="s">
        <v>610</v>
      </c>
      <c r="Z53" s="19" t="s">
        <v>35</v>
      </c>
      <c r="AA53" s="19" t="s">
        <v>35</v>
      </c>
      <c r="AB53" s="19" t="s">
        <v>611</v>
      </c>
      <c r="AC53" s="19">
        <v>0</v>
      </c>
      <c r="AD53" s="19">
        <v>1</v>
      </c>
      <c r="AE53" s="19" t="s">
        <v>37</v>
      </c>
      <c r="AF53" s="19" t="s">
        <v>43</v>
      </c>
      <c r="AG53" s="19" t="s">
        <v>38</v>
      </c>
      <c r="AH53" s="19" t="s">
        <v>92</v>
      </c>
    </row>
    <row r="54" spans="1:34" ht="15" thickBot="1" x14ac:dyDescent="0.35">
      <c r="A54" s="74" t="s">
        <v>611</v>
      </c>
      <c r="B54" s="10" t="s">
        <v>740</v>
      </c>
      <c r="C54" s="10" t="s">
        <v>741</v>
      </c>
      <c r="D54" s="11">
        <v>45223</v>
      </c>
      <c r="E54" s="12">
        <v>222500</v>
      </c>
      <c r="F54" s="10" t="s">
        <v>32</v>
      </c>
      <c r="G54" s="10" t="s">
        <v>33</v>
      </c>
      <c r="H54" s="12">
        <v>222500</v>
      </c>
      <c r="I54" s="12">
        <v>63800</v>
      </c>
      <c r="J54" s="13">
        <f t="shared" si="7"/>
        <v>28.674157303370784</v>
      </c>
      <c r="K54" s="12">
        <v>161858</v>
      </c>
      <c r="L54" s="12">
        <f>H54-150782</f>
        <v>71718</v>
      </c>
      <c r="M54" s="12">
        <v>11076</v>
      </c>
      <c r="N54" s="66">
        <f t="shared" si="8"/>
        <v>4.9779775280898879E-2</v>
      </c>
      <c r="O54" s="14">
        <v>52</v>
      </c>
      <c r="P54" s="15">
        <v>115</v>
      </c>
      <c r="Q54" s="16">
        <v>0.13700000000000001</v>
      </c>
      <c r="R54" s="16">
        <v>0.13700000000000001</v>
      </c>
      <c r="S54" s="12">
        <f t="shared" si="9"/>
        <v>1379.1923076923076</v>
      </c>
      <c r="T54" s="12">
        <f t="shared" si="10"/>
        <v>523489.05109489046</v>
      </c>
      <c r="U54" s="17">
        <f t="shared" si="11"/>
        <v>12.017654983812912</v>
      </c>
      <c r="V54" s="16">
        <v>52</v>
      </c>
      <c r="W54" s="16">
        <f t="shared" si="12"/>
        <v>44500</v>
      </c>
      <c r="X54" s="16">
        <f t="shared" si="13"/>
        <v>855.76923076923072</v>
      </c>
      <c r="Y54" s="18" t="s">
        <v>610</v>
      </c>
      <c r="Z54" s="10" t="s">
        <v>35</v>
      </c>
      <c r="AA54" s="10" t="s">
        <v>35</v>
      </c>
      <c r="AB54" s="10" t="s">
        <v>611</v>
      </c>
      <c r="AC54" s="10">
        <v>0</v>
      </c>
      <c r="AD54" s="10">
        <v>1</v>
      </c>
      <c r="AE54" s="10" t="s">
        <v>37</v>
      </c>
      <c r="AF54" s="10" t="s">
        <v>43</v>
      </c>
      <c r="AG54" s="10" t="s">
        <v>38</v>
      </c>
      <c r="AH54" s="10" t="s">
        <v>92</v>
      </c>
    </row>
    <row r="55" spans="1:34" ht="15" thickTop="1" x14ac:dyDescent="0.3">
      <c r="A55" s="76"/>
      <c r="B55" s="37"/>
      <c r="C55" s="37"/>
      <c r="D55" s="38" t="s">
        <v>2876</v>
      </c>
      <c r="E55" s="39">
        <f>+SUM(E2:E54)</f>
        <v>10160250</v>
      </c>
      <c r="F55" s="37"/>
      <c r="G55" s="37"/>
      <c r="H55" s="39">
        <f>+SUM(H2:H54)</f>
        <v>10160250</v>
      </c>
      <c r="I55" s="39">
        <f>+SUM(I2:I54)</f>
        <v>4205900</v>
      </c>
      <c r="J55" s="40"/>
      <c r="K55" s="39">
        <f>+SUM(K2:K54)</f>
        <v>9833413</v>
      </c>
      <c r="L55" s="39">
        <f>+SUM(L2:L54)</f>
        <v>926291</v>
      </c>
      <c r="M55" s="39">
        <f>+SUM(M2:M54)</f>
        <v>599454</v>
      </c>
      <c r="N55" s="81">
        <f>AVERAGE(N2:N54)</f>
        <v>6.0313995102691233E-2</v>
      </c>
      <c r="O55" s="41">
        <f>+SUM(O2:O54)</f>
        <v>2814.1400000000003</v>
      </c>
      <c r="P55" s="42"/>
      <c r="Q55" s="43">
        <f>+SUM(Q2:Q54)</f>
        <v>7.7050000000000001</v>
      </c>
      <c r="R55" s="43">
        <f>+SUM(R2:R54)</f>
        <v>7.5760000000000005</v>
      </c>
      <c r="S55" s="39"/>
      <c r="T55" s="39"/>
      <c r="U55" s="44"/>
      <c r="V55" s="43"/>
      <c r="W55" s="82">
        <f>AVERAGE(W2:W54)</f>
        <v>38340.566037735851</v>
      </c>
      <c r="X55" s="83">
        <f>AVERAGE(X2:X54)</f>
        <v>736.24940572148944</v>
      </c>
      <c r="Y55" s="45"/>
      <c r="Z55" s="37"/>
      <c r="AA55" s="37"/>
      <c r="AB55" s="37"/>
      <c r="AC55" s="37"/>
      <c r="AD55" s="37"/>
      <c r="AE55" s="37"/>
      <c r="AF55" s="37"/>
      <c r="AG55" s="37"/>
      <c r="AH55" s="37"/>
    </row>
    <row r="56" spans="1:34" x14ac:dyDescent="0.3">
      <c r="A56" s="77"/>
      <c r="B56" s="28"/>
      <c r="C56" s="28"/>
      <c r="D56" s="29"/>
      <c r="E56" s="30"/>
      <c r="F56" s="28"/>
      <c r="G56" s="28"/>
      <c r="H56" s="30"/>
      <c r="I56" s="30" t="s">
        <v>2877</v>
      </c>
      <c r="J56" s="31">
        <f>I55/H55*100</f>
        <v>41.395634949927413</v>
      </c>
      <c r="K56" s="30"/>
      <c r="L56" s="30"/>
      <c r="M56" s="30" t="s">
        <v>2879</v>
      </c>
      <c r="N56" s="79"/>
      <c r="O56" s="32"/>
      <c r="P56" s="33"/>
      <c r="Q56" s="34" t="s">
        <v>2879</v>
      </c>
      <c r="R56" s="34"/>
      <c r="S56" s="30"/>
      <c r="T56" s="30" t="s">
        <v>2879</v>
      </c>
      <c r="U56" s="35"/>
      <c r="V56" s="34"/>
      <c r="W56" s="63"/>
      <c r="X56" s="68"/>
      <c r="Y56" s="36"/>
      <c r="Z56" s="28"/>
      <c r="AA56" s="28"/>
      <c r="AB56" s="28"/>
      <c r="AC56" s="28"/>
      <c r="AD56" s="28"/>
      <c r="AE56" s="28"/>
      <c r="AF56" s="28"/>
      <c r="AG56" s="28"/>
      <c r="AH56" s="28"/>
    </row>
    <row r="57" spans="1:34" x14ac:dyDescent="0.3">
      <c r="A57" s="78"/>
      <c r="B57" s="46"/>
      <c r="C57" s="46"/>
      <c r="D57" s="47"/>
      <c r="E57" s="48"/>
      <c r="F57" s="46"/>
      <c r="G57" s="46"/>
      <c r="H57" s="48"/>
      <c r="I57" s="48" t="s">
        <v>2878</v>
      </c>
      <c r="J57" s="49">
        <f>STDEV(J2:J54)</f>
        <v>6.4691875078265033</v>
      </c>
      <c r="K57" s="48"/>
      <c r="L57" s="48"/>
      <c r="M57" s="48" t="s">
        <v>2880</v>
      </c>
      <c r="N57" s="80"/>
      <c r="O57" s="54">
        <f>L55/O55</f>
        <v>329.15597660386476</v>
      </c>
      <c r="P57" s="50"/>
      <c r="Q57" s="51" t="s">
        <v>2881</v>
      </c>
      <c r="R57" s="51">
        <f>L55/Q55</f>
        <v>120219.46787800129</v>
      </c>
      <c r="S57" s="48"/>
      <c r="T57" s="48" t="s">
        <v>2882</v>
      </c>
      <c r="U57" s="52">
        <f>L55/Q55/43560</f>
        <v>2.7598592258494326</v>
      </c>
      <c r="V57" s="51"/>
      <c r="W57" s="64"/>
      <c r="X57" s="69"/>
      <c r="Y57" s="53"/>
      <c r="Z57" s="46"/>
      <c r="AA57" s="46"/>
      <c r="AB57" s="46"/>
      <c r="AC57" s="46"/>
      <c r="AD57" s="46"/>
      <c r="AE57" s="46"/>
      <c r="AF57" s="46"/>
      <c r="AG57" s="46"/>
      <c r="AH57" s="46"/>
    </row>
    <row r="58" spans="1:34" x14ac:dyDescent="0.3">
      <c r="E58" s="94" t="s">
        <v>3099</v>
      </c>
      <c r="L58" s="95"/>
    </row>
    <row r="59" spans="1:34" x14ac:dyDescent="0.3">
      <c r="E59" s="383" t="s">
        <v>3163</v>
      </c>
      <c r="F59" s="383"/>
      <c r="G59" s="383"/>
      <c r="H59" s="383"/>
      <c r="I59" s="383"/>
      <c r="J59" s="383"/>
      <c r="K59" s="383"/>
      <c r="L59" s="383"/>
    </row>
    <row r="60" spans="1:34" x14ac:dyDescent="0.3">
      <c r="E60" s="383" t="s">
        <v>3164</v>
      </c>
      <c r="F60" s="383"/>
      <c r="G60" s="383"/>
      <c r="H60" s="383"/>
      <c r="I60" s="383"/>
      <c r="J60" s="383"/>
      <c r="K60" s="383"/>
      <c r="L60" s="383"/>
    </row>
    <row r="61" spans="1:34" x14ac:dyDescent="0.3">
      <c r="E61" s="383" t="s">
        <v>3165</v>
      </c>
      <c r="F61" s="383"/>
      <c r="G61" s="383"/>
      <c r="H61" s="383"/>
      <c r="I61" s="383"/>
      <c r="J61" s="383"/>
      <c r="K61" s="383"/>
      <c r="L61" s="383"/>
    </row>
    <row r="62" spans="1:34" x14ac:dyDescent="0.3">
      <c r="E62" s="383" t="s">
        <v>3166</v>
      </c>
      <c r="F62" s="383"/>
      <c r="G62" s="383"/>
      <c r="H62" s="383"/>
      <c r="I62" s="383"/>
      <c r="J62" s="96"/>
      <c r="K62" s="96"/>
      <c r="L62" s="96"/>
    </row>
    <row r="63" spans="1:34" x14ac:dyDescent="0.3">
      <c r="E63" s="383" t="s">
        <v>3167</v>
      </c>
      <c r="F63" s="383"/>
      <c r="G63" s="383"/>
      <c r="H63" s="383"/>
      <c r="I63" s="383"/>
      <c r="L63" s="95"/>
    </row>
    <row r="64" spans="1:34" x14ac:dyDescent="0.3">
      <c r="E64" s="383" t="s">
        <v>3100</v>
      </c>
      <c r="F64" s="383"/>
      <c r="G64" s="383"/>
      <c r="H64" s="383"/>
      <c r="I64" s="383"/>
      <c r="L64" s="95"/>
    </row>
    <row r="65" spans="1:34" x14ac:dyDescent="0.3">
      <c r="E65" s="96"/>
      <c r="F65" s="96"/>
      <c r="G65" s="96"/>
      <c r="H65" s="96"/>
      <c r="I65" s="96"/>
      <c r="L65" s="95"/>
    </row>
    <row r="66" spans="1:34" x14ac:dyDescent="0.3">
      <c r="A66" s="55" t="s">
        <v>3092</v>
      </c>
      <c r="E66" s="96"/>
      <c r="F66" s="96"/>
      <c r="G66" s="96"/>
      <c r="H66" s="96"/>
      <c r="I66" s="96"/>
      <c r="L66" s="95"/>
    </row>
    <row r="67" spans="1:34" x14ac:dyDescent="0.3">
      <c r="A67" s="75" t="s">
        <v>611</v>
      </c>
      <c r="B67" s="19" t="s">
        <v>716</v>
      </c>
      <c r="C67" s="19" t="s">
        <v>717</v>
      </c>
      <c r="D67" s="20">
        <v>45470</v>
      </c>
      <c r="E67" s="21">
        <v>95000</v>
      </c>
      <c r="F67" s="19" t="s">
        <v>81</v>
      </c>
      <c r="G67" s="19" t="s">
        <v>33</v>
      </c>
      <c r="H67" s="21">
        <v>95000</v>
      </c>
      <c r="I67" s="21">
        <v>75100</v>
      </c>
      <c r="J67" s="22">
        <f t="shared" ref="J67:J68" si="14">I67/H67*100</f>
        <v>79.05263157894737</v>
      </c>
      <c r="K67" s="21">
        <v>163087</v>
      </c>
      <c r="L67" s="21">
        <f>H67-151984</f>
        <v>-56984</v>
      </c>
      <c r="M67" s="21">
        <v>11103</v>
      </c>
      <c r="N67" s="67">
        <f t="shared" ref="N67:N68" si="15">M67/E67</f>
        <v>0.11687368421052631</v>
      </c>
      <c r="O67" s="23">
        <v>52.12</v>
      </c>
      <c r="P67" s="24">
        <v>125</v>
      </c>
      <c r="Q67" s="25">
        <v>0.14299999999999999</v>
      </c>
      <c r="R67" s="25">
        <v>0.14299999999999999</v>
      </c>
      <c r="S67" s="21">
        <f t="shared" ref="S67:S68" si="16">L67/O67</f>
        <v>-1093.3231005372218</v>
      </c>
      <c r="T67" s="21">
        <f t="shared" ref="T67:T68" si="17">L67/Q67</f>
        <v>-398489.51048951055</v>
      </c>
      <c r="U67" s="26">
        <f t="shared" ref="U67:U68" si="18">L67/Q67/43560</f>
        <v>-9.1480603877298101</v>
      </c>
      <c r="V67" s="25">
        <v>50</v>
      </c>
      <c r="W67" s="25">
        <f t="shared" ref="W67:W68" si="19">0.2*E67</f>
        <v>19000</v>
      </c>
      <c r="X67" s="25">
        <f t="shared" ref="X67:X68" si="20">W67/V67</f>
        <v>380</v>
      </c>
      <c r="Y67" s="27" t="s">
        <v>610</v>
      </c>
      <c r="Z67" s="19" t="s">
        <v>35</v>
      </c>
      <c r="AA67" s="19" t="s">
        <v>35</v>
      </c>
      <c r="AB67" s="19" t="s">
        <v>611</v>
      </c>
      <c r="AC67" s="19">
        <v>0</v>
      </c>
      <c r="AD67" s="19">
        <v>1</v>
      </c>
      <c r="AE67" s="19" t="s">
        <v>42</v>
      </c>
      <c r="AF67" s="19" t="s">
        <v>43</v>
      </c>
      <c r="AG67" s="19" t="s">
        <v>38</v>
      </c>
      <c r="AH67" s="19" t="s">
        <v>92</v>
      </c>
    </row>
    <row r="68" spans="1:34" x14ac:dyDescent="0.3">
      <c r="A68" s="74" t="s">
        <v>611</v>
      </c>
      <c r="B68" s="10" t="s">
        <v>718</v>
      </c>
      <c r="C68" s="10" t="s">
        <v>719</v>
      </c>
      <c r="D68" s="11">
        <v>45033</v>
      </c>
      <c r="E68" s="12">
        <v>162500</v>
      </c>
      <c r="F68" s="10" t="s">
        <v>32</v>
      </c>
      <c r="G68" s="10" t="s">
        <v>33</v>
      </c>
      <c r="H68" s="12">
        <v>162500</v>
      </c>
      <c r="I68" s="12">
        <v>83700</v>
      </c>
      <c r="J68" s="13">
        <f t="shared" si="14"/>
        <v>51.507692307692309</v>
      </c>
      <c r="K68" s="12">
        <v>220497</v>
      </c>
      <c r="L68" s="12">
        <f>H68-209264</f>
        <v>-46764</v>
      </c>
      <c r="M68" s="12">
        <v>11233</v>
      </c>
      <c r="N68" s="66">
        <f t="shared" si="15"/>
        <v>6.9126153846153851E-2</v>
      </c>
      <c r="O68" s="14">
        <v>52.73</v>
      </c>
      <c r="P68" s="15">
        <v>118.29</v>
      </c>
      <c r="Q68" s="16">
        <v>0.14099999999999999</v>
      </c>
      <c r="R68" s="16">
        <v>0.14099999999999999</v>
      </c>
      <c r="S68" s="12">
        <f t="shared" si="16"/>
        <v>-886.85757633225876</v>
      </c>
      <c r="T68" s="12">
        <f t="shared" si="17"/>
        <v>-331659.57446808513</v>
      </c>
      <c r="U68" s="17">
        <f t="shared" si="18"/>
        <v>-7.6138561631791815</v>
      </c>
      <c r="V68" s="16">
        <v>52</v>
      </c>
      <c r="W68" s="16">
        <f t="shared" si="19"/>
        <v>32500</v>
      </c>
      <c r="X68" s="16">
        <f t="shared" si="20"/>
        <v>625</v>
      </c>
      <c r="Y68" s="18" t="s">
        <v>610</v>
      </c>
      <c r="Z68" s="10" t="s">
        <v>35</v>
      </c>
      <c r="AA68" s="10" t="s">
        <v>35</v>
      </c>
      <c r="AB68" s="10" t="s">
        <v>611</v>
      </c>
      <c r="AC68" s="10">
        <v>0</v>
      </c>
      <c r="AD68" s="10">
        <v>1</v>
      </c>
      <c r="AE68" s="10" t="s">
        <v>42</v>
      </c>
      <c r="AF68" s="10" t="s">
        <v>43</v>
      </c>
      <c r="AG68" s="10" t="s">
        <v>38</v>
      </c>
      <c r="AH68" s="10" t="s">
        <v>92</v>
      </c>
    </row>
  </sheetData>
  <sortState xmlns:xlrd2="http://schemas.microsoft.com/office/spreadsheetml/2017/richdata2" ref="A2:AH56">
    <sortCondition ref="S2:S56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>
    <tabColor rgb="FF00B050"/>
  </sheetPr>
  <dimension ref="A1:AH1331"/>
  <sheetViews>
    <sheetView workbookViewId="0">
      <selection activeCell="B5" sqref="B5:J14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3197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C6" s="94" t="s">
        <v>3099</v>
      </c>
      <c r="J6" s="95"/>
      <c r="N6"/>
      <c r="W6"/>
      <c r="X6"/>
    </row>
    <row r="7" spans="1:24" x14ac:dyDescent="0.3">
      <c r="A7"/>
      <c r="C7" s="383" t="s">
        <v>3163</v>
      </c>
      <c r="D7" s="383"/>
      <c r="E7" s="383"/>
      <c r="F7" s="383"/>
      <c r="G7" s="383"/>
      <c r="H7" s="383"/>
      <c r="I7" s="383"/>
      <c r="J7" s="383"/>
      <c r="N7"/>
      <c r="W7"/>
      <c r="X7"/>
    </row>
    <row r="8" spans="1:24" x14ac:dyDescent="0.3">
      <c r="A8"/>
      <c r="C8" s="383" t="s">
        <v>3164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3165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3166</v>
      </c>
      <c r="D10" s="383"/>
      <c r="E10" s="383"/>
      <c r="F10" s="383"/>
      <c r="G10" s="383"/>
      <c r="H10" s="96"/>
      <c r="I10" s="96"/>
      <c r="J10" s="96"/>
      <c r="N10"/>
      <c r="W10"/>
      <c r="X10"/>
    </row>
    <row r="11" spans="1:24" x14ac:dyDescent="0.3">
      <c r="A11"/>
      <c r="C11" s="383" t="s">
        <v>3167</v>
      </c>
      <c r="D11" s="383"/>
      <c r="E11" s="383"/>
      <c r="F11" s="383"/>
      <c r="G11" s="383"/>
      <c r="J11" s="95"/>
      <c r="N11"/>
      <c r="W11"/>
      <c r="X11"/>
    </row>
    <row r="12" spans="1:24" x14ac:dyDescent="0.3">
      <c r="A12"/>
      <c r="C12" s="383" t="s">
        <v>3100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tabColor rgb="FFFF0000"/>
  </sheetPr>
  <dimension ref="A1:AH18"/>
  <sheetViews>
    <sheetView workbookViewId="0">
      <selection activeCell="C8" sqref="C8:N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1389</v>
      </c>
      <c r="B2" s="10" t="s">
        <v>1390</v>
      </c>
      <c r="C2" s="10" t="s">
        <v>1391</v>
      </c>
      <c r="D2" s="11">
        <v>45282</v>
      </c>
      <c r="E2" s="12">
        <v>130000</v>
      </c>
      <c r="F2" s="10" t="s">
        <v>32</v>
      </c>
      <c r="G2" s="10" t="s">
        <v>33</v>
      </c>
      <c r="H2" s="12">
        <v>130000</v>
      </c>
      <c r="I2" s="12">
        <v>60200</v>
      </c>
      <c r="J2" s="13">
        <f>I2/H2*100</f>
        <v>46.307692307692307</v>
      </c>
      <c r="K2" s="12">
        <v>163777</v>
      </c>
      <c r="L2" s="12">
        <f>H2-154981</f>
        <v>-24981</v>
      </c>
      <c r="M2" s="12">
        <v>8796</v>
      </c>
      <c r="N2" s="66">
        <f>M2/E2</f>
        <v>6.7661538461538467E-2</v>
      </c>
      <c r="O2" s="14">
        <v>50.26</v>
      </c>
      <c r="P2" s="15">
        <v>133.4</v>
      </c>
      <c r="Q2" s="16">
        <v>0.153</v>
      </c>
      <c r="R2" s="16">
        <v>0.153</v>
      </c>
      <c r="S2" s="12">
        <f>L2/O2</f>
        <v>-497.03541583764428</v>
      </c>
      <c r="T2" s="12">
        <f>L2/Q2</f>
        <v>-163274.50980392157</v>
      </c>
      <c r="U2" s="17">
        <f>L2/Q2/43560</f>
        <v>-3.7482669835611011</v>
      </c>
      <c r="V2" s="16">
        <v>50</v>
      </c>
      <c r="W2" s="16">
        <f>0.2*E2</f>
        <v>26000</v>
      </c>
      <c r="X2" s="16">
        <f>W2/V2</f>
        <v>520</v>
      </c>
      <c r="Y2" s="18" t="s">
        <v>1388</v>
      </c>
      <c r="Z2" s="10" t="s">
        <v>35</v>
      </c>
      <c r="AA2" s="10" t="s">
        <v>35</v>
      </c>
      <c r="AB2" s="10" t="s">
        <v>1389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1389</v>
      </c>
      <c r="B3" s="10" t="s">
        <v>1397</v>
      </c>
      <c r="C3" s="10" t="s">
        <v>1398</v>
      </c>
      <c r="D3" s="11">
        <v>45180</v>
      </c>
      <c r="E3" s="12">
        <v>157000</v>
      </c>
      <c r="F3" s="10" t="s">
        <v>32</v>
      </c>
      <c r="G3" s="10" t="s">
        <v>33</v>
      </c>
      <c r="H3" s="12">
        <v>157000</v>
      </c>
      <c r="I3" s="12">
        <v>67200</v>
      </c>
      <c r="J3" s="13">
        <f>I3/H3*100</f>
        <v>42.802547770700642</v>
      </c>
      <c r="K3" s="12">
        <v>183013</v>
      </c>
      <c r="L3" s="12">
        <f>H3-172438</f>
        <v>-15438</v>
      </c>
      <c r="M3" s="12">
        <v>10575</v>
      </c>
      <c r="N3" s="66">
        <f>M3/E3</f>
        <v>6.7356687898089171E-2</v>
      </c>
      <c r="O3" s="14">
        <v>60.43</v>
      </c>
      <c r="P3" s="15">
        <v>133.9</v>
      </c>
      <c r="Q3" s="16">
        <v>0.184</v>
      </c>
      <c r="R3" s="16">
        <v>0.184</v>
      </c>
      <c r="S3" s="12">
        <f>L3/O3</f>
        <v>-255.469137845441</v>
      </c>
      <c r="T3" s="12">
        <f>L3/Q3</f>
        <v>-83902.173913043473</v>
      </c>
      <c r="U3" s="17">
        <f>L3/Q3/43560</f>
        <v>-1.9261288777099053</v>
      </c>
      <c r="V3" s="16">
        <v>60</v>
      </c>
      <c r="W3" s="16">
        <f>0.2*E3</f>
        <v>31400</v>
      </c>
      <c r="X3" s="16">
        <f>W3/V3</f>
        <v>523.33333333333337</v>
      </c>
      <c r="Y3" s="18" t="s">
        <v>1388</v>
      </c>
      <c r="Z3" s="10" t="s">
        <v>35</v>
      </c>
      <c r="AA3" s="10" t="s">
        <v>35</v>
      </c>
      <c r="AB3" s="10" t="s">
        <v>1389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ht="15" thickBot="1" x14ac:dyDescent="0.35">
      <c r="A4" s="74" t="s">
        <v>1389</v>
      </c>
      <c r="B4" s="10" t="s">
        <v>1386</v>
      </c>
      <c r="C4" s="10" t="s">
        <v>1387</v>
      </c>
      <c r="D4" s="11">
        <v>45548</v>
      </c>
      <c r="E4" s="12">
        <v>165000</v>
      </c>
      <c r="F4" s="10" t="s">
        <v>32</v>
      </c>
      <c r="G4" s="10" t="s">
        <v>33</v>
      </c>
      <c r="H4" s="12">
        <v>165000</v>
      </c>
      <c r="I4" s="12">
        <v>70300</v>
      </c>
      <c r="J4" s="13">
        <f>I4/H4*100</f>
        <v>42.606060606060609</v>
      </c>
      <c r="K4" s="12">
        <v>157844</v>
      </c>
      <c r="L4" s="12">
        <f>H4-149048</f>
        <v>15952</v>
      </c>
      <c r="M4" s="12">
        <v>8796</v>
      </c>
      <c r="N4" s="66">
        <f>M4/E4</f>
        <v>5.330909090909091E-2</v>
      </c>
      <c r="O4" s="14">
        <v>50.26</v>
      </c>
      <c r="P4" s="15">
        <v>133.4</v>
      </c>
      <c r="Q4" s="16">
        <v>0.153</v>
      </c>
      <c r="R4" s="16">
        <v>0.153</v>
      </c>
      <c r="S4" s="12">
        <f>L4/O4</f>
        <v>317.38957421408674</v>
      </c>
      <c r="T4" s="12">
        <f>L4/Q4</f>
        <v>104261.43790849674</v>
      </c>
      <c r="U4" s="17">
        <f>L4/Q4/43560</f>
        <v>2.3935132669535522</v>
      </c>
      <c r="V4" s="16">
        <v>50</v>
      </c>
      <c r="W4" s="16">
        <f>0.2*E4</f>
        <v>33000</v>
      </c>
      <c r="X4" s="16">
        <f>W4/V4</f>
        <v>660</v>
      </c>
      <c r="Y4" s="18" t="s">
        <v>1388</v>
      </c>
      <c r="Z4" s="10" t="s">
        <v>35</v>
      </c>
      <c r="AA4" s="10" t="s">
        <v>35</v>
      </c>
      <c r="AB4" s="10" t="s">
        <v>1389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452000</v>
      </c>
      <c r="F5" s="37"/>
      <c r="G5" s="37"/>
      <c r="H5" s="39">
        <f>+SUM(H2:H4)</f>
        <v>452000</v>
      </c>
      <c r="I5" s="39">
        <f>+SUM(I2:I4)</f>
        <v>197700</v>
      </c>
      <c r="J5" s="40"/>
      <c r="K5" s="39">
        <f>+SUM(K2:K4)</f>
        <v>504634</v>
      </c>
      <c r="L5" s="39">
        <f>+SUM(L2:L4)</f>
        <v>-24467</v>
      </c>
      <c r="M5" s="39">
        <f>+SUM(M2:M4)</f>
        <v>28167</v>
      </c>
      <c r="N5" s="81">
        <f>AVERAGE(N2:N4)</f>
        <v>6.2775772422906176E-2</v>
      </c>
      <c r="O5" s="41">
        <f>+SUM(O2:O4)</f>
        <v>160.94999999999999</v>
      </c>
      <c r="P5" s="42"/>
      <c r="Q5" s="43">
        <f>+SUM(Q2:Q4)</f>
        <v>0.49</v>
      </c>
      <c r="R5" s="43">
        <f>+SUM(R2:R4)</f>
        <v>0.49</v>
      </c>
      <c r="S5" s="39"/>
      <c r="T5" s="39"/>
      <c r="U5" s="44"/>
      <c r="V5" s="43"/>
      <c r="W5" s="82">
        <f>AVERAGE(W2:W4)</f>
        <v>30133.333333333332</v>
      </c>
      <c r="X5" s="83">
        <f>AVERAGE(X2:X4)</f>
        <v>567.77777777777783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43.738938053097343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2.0827354883100084</v>
      </c>
      <c r="K7" s="48"/>
      <c r="L7" s="48"/>
      <c r="M7" s="48" t="s">
        <v>2880</v>
      </c>
      <c r="N7" s="80"/>
      <c r="O7" s="54">
        <f>L5/O5</f>
        <v>-152.01615408511961</v>
      </c>
      <c r="P7" s="50"/>
      <c r="Q7" s="51" t="s">
        <v>2881</v>
      </c>
      <c r="R7" s="51">
        <f>L5/Q5</f>
        <v>-49932.65306122449</v>
      </c>
      <c r="S7" s="48"/>
      <c r="T7" s="48" t="s">
        <v>2882</v>
      </c>
      <c r="U7" s="52">
        <f>L5/Q5/43560</f>
        <v>-1.1462959839583216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5" t="s">
        <v>1389</v>
      </c>
      <c r="B17" s="19" t="s">
        <v>1395</v>
      </c>
      <c r="C17" s="19" t="s">
        <v>1396</v>
      </c>
      <c r="D17" s="20">
        <v>45611</v>
      </c>
      <c r="E17" s="21">
        <v>93000</v>
      </c>
      <c r="F17" s="19" t="s">
        <v>32</v>
      </c>
      <c r="G17" s="19" t="s">
        <v>33</v>
      </c>
      <c r="H17" s="21">
        <v>93000</v>
      </c>
      <c r="I17" s="21">
        <v>75900</v>
      </c>
      <c r="J17" s="22">
        <f>I17/H17*100</f>
        <v>81.612903225806448</v>
      </c>
      <c r="K17" s="21">
        <v>171142</v>
      </c>
      <c r="L17" s="21">
        <f>H17-162346</f>
        <v>-69346</v>
      </c>
      <c r="M17" s="21">
        <v>8796</v>
      </c>
      <c r="N17" s="67">
        <f>M17/E17</f>
        <v>9.4580645161290319E-2</v>
      </c>
      <c r="O17" s="23">
        <v>50.26</v>
      </c>
      <c r="P17" s="24">
        <v>133.38999999999999</v>
      </c>
      <c r="Q17" s="25">
        <v>0.153</v>
      </c>
      <c r="R17" s="25">
        <v>0.153</v>
      </c>
      <c r="S17" s="21">
        <f>L17/O17</f>
        <v>-1379.7453243135694</v>
      </c>
      <c r="T17" s="21">
        <f>L17/Q17</f>
        <v>-453241.83006535948</v>
      </c>
      <c r="U17" s="26">
        <f>L17/Q17/43560</f>
        <v>-10.405000690205682</v>
      </c>
      <c r="V17" s="25">
        <v>50</v>
      </c>
      <c r="W17" s="25">
        <f>0.2*E17</f>
        <v>18600</v>
      </c>
      <c r="X17" s="25">
        <f>W17/V17</f>
        <v>372</v>
      </c>
      <c r="Y17" s="27" t="s">
        <v>1388</v>
      </c>
      <c r="Z17" s="19" t="s">
        <v>35</v>
      </c>
      <c r="AA17" s="19" t="s">
        <v>35</v>
      </c>
      <c r="AB17" s="19" t="s">
        <v>1389</v>
      </c>
      <c r="AC17" s="19">
        <v>0</v>
      </c>
      <c r="AD17" s="19">
        <v>1</v>
      </c>
      <c r="AE17" s="19" t="s">
        <v>37</v>
      </c>
      <c r="AF17" s="19" t="s">
        <v>35</v>
      </c>
      <c r="AG17" s="19" t="s">
        <v>38</v>
      </c>
      <c r="AH17" s="19" t="s">
        <v>92</v>
      </c>
    </row>
    <row r="18" spans="1:34" x14ac:dyDescent="0.3">
      <c r="A18" s="75" t="s">
        <v>1389</v>
      </c>
      <c r="B18" s="19" t="s">
        <v>1392</v>
      </c>
      <c r="C18" s="19" t="s">
        <v>1393</v>
      </c>
      <c r="D18" s="20">
        <v>45471</v>
      </c>
      <c r="E18" s="21">
        <v>115000</v>
      </c>
      <c r="F18" s="19" t="s">
        <v>32</v>
      </c>
      <c r="G18" s="19" t="s">
        <v>33</v>
      </c>
      <c r="H18" s="21">
        <v>115000</v>
      </c>
      <c r="I18" s="21">
        <v>75000</v>
      </c>
      <c r="J18" s="22">
        <f>I18/H18*100</f>
        <v>65.217391304347828</v>
      </c>
      <c r="K18" s="21">
        <v>167608</v>
      </c>
      <c r="L18" s="21">
        <f>H18-158812</f>
        <v>-43812</v>
      </c>
      <c r="M18" s="21">
        <v>8796</v>
      </c>
      <c r="N18" s="67">
        <f>M18/E18</f>
        <v>7.6486956521739133E-2</v>
      </c>
      <c r="O18" s="23">
        <v>50.26</v>
      </c>
      <c r="P18" s="24">
        <v>133.38999999999999</v>
      </c>
      <c r="Q18" s="25">
        <v>0.153</v>
      </c>
      <c r="R18" s="25">
        <v>0.153</v>
      </c>
      <c r="S18" s="21">
        <f>L18/O18</f>
        <v>-871.70712296060492</v>
      </c>
      <c r="T18" s="21">
        <f>L18/Q18</f>
        <v>-286352.9411764706</v>
      </c>
      <c r="U18" s="26">
        <f>L18/Q18/43560</f>
        <v>-6.5737589801760929</v>
      </c>
      <c r="V18" s="25">
        <v>50</v>
      </c>
      <c r="W18" s="25">
        <f>0.2*E18</f>
        <v>23000</v>
      </c>
      <c r="X18" s="25">
        <f>W18/V18</f>
        <v>460</v>
      </c>
      <c r="Y18" s="27" t="s">
        <v>1388</v>
      </c>
      <c r="Z18" s="19" t="s">
        <v>35</v>
      </c>
      <c r="AA18" s="19" t="s">
        <v>35</v>
      </c>
      <c r="AB18" s="19" t="s">
        <v>1389</v>
      </c>
      <c r="AC18" s="19">
        <v>0</v>
      </c>
      <c r="AD18" s="19">
        <v>1</v>
      </c>
      <c r="AE18" s="19" t="s">
        <v>1394</v>
      </c>
      <c r="AF18" s="19" t="s">
        <v>43</v>
      </c>
      <c r="AG18" s="19" t="s">
        <v>38</v>
      </c>
      <c r="AH18" s="19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>
    <tabColor rgb="FF00B050"/>
  </sheetPr>
  <dimension ref="A1:AH1331"/>
  <sheetViews>
    <sheetView workbookViewId="0">
      <selection activeCell="A5" sqref="A5:I19"/>
    </sheetView>
  </sheetViews>
  <sheetFormatPr defaultRowHeight="14.4" x14ac:dyDescent="0.3"/>
  <cols>
    <col min="1" max="1" width="26.664062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B6" s="94" t="s">
        <v>3099</v>
      </c>
      <c r="I6" s="95"/>
      <c r="N6"/>
      <c r="W6"/>
      <c r="X6"/>
    </row>
    <row r="7" spans="1:24" x14ac:dyDescent="0.3">
      <c r="A7"/>
      <c r="B7" s="383" t="s">
        <v>3163</v>
      </c>
      <c r="C7" s="383"/>
      <c r="D7" s="383"/>
      <c r="E7" s="383"/>
      <c r="F7" s="383"/>
      <c r="G7" s="383"/>
      <c r="H7" s="383"/>
      <c r="I7" s="383"/>
      <c r="N7"/>
      <c r="W7"/>
      <c r="X7"/>
    </row>
    <row r="8" spans="1:24" x14ac:dyDescent="0.3">
      <c r="A8"/>
      <c r="B8" s="383" t="s">
        <v>3164</v>
      </c>
      <c r="C8" s="383"/>
      <c r="D8" s="383"/>
      <c r="E8" s="383"/>
      <c r="F8" s="383"/>
      <c r="G8" s="383"/>
      <c r="H8" s="383"/>
      <c r="I8" s="383"/>
      <c r="N8"/>
      <c r="W8"/>
      <c r="X8"/>
    </row>
    <row r="9" spans="1:24" x14ac:dyDescent="0.3">
      <c r="A9"/>
      <c r="B9" s="383" t="s">
        <v>3165</v>
      </c>
      <c r="C9" s="383"/>
      <c r="D9" s="383"/>
      <c r="E9" s="383"/>
      <c r="F9" s="383"/>
      <c r="G9" s="383"/>
      <c r="H9" s="383"/>
      <c r="I9" s="383"/>
      <c r="N9"/>
      <c r="W9"/>
      <c r="X9"/>
    </row>
    <row r="10" spans="1:24" x14ac:dyDescent="0.3">
      <c r="A10"/>
      <c r="B10" s="383" t="s">
        <v>3166</v>
      </c>
      <c r="C10" s="383"/>
      <c r="D10" s="383"/>
      <c r="E10" s="383"/>
      <c r="F10" s="383"/>
      <c r="G10" s="96"/>
      <c r="H10" s="96"/>
      <c r="I10" s="96"/>
      <c r="N10"/>
      <c r="W10"/>
      <c r="X10"/>
    </row>
    <row r="11" spans="1:24" x14ac:dyDescent="0.3">
      <c r="A11"/>
      <c r="B11" s="383" t="s">
        <v>3167</v>
      </c>
      <c r="C11" s="383"/>
      <c r="D11" s="383"/>
      <c r="E11" s="383"/>
      <c r="F11" s="383"/>
      <c r="I11" s="95"/>
      <c r="N11"/>
      <c r="W11"/>
      <c r="X11"/>
    </row>
    <row r="12" spans="1:24" x14ac:dyDescent="0.3">
      <c r="A12"/>
      <c r="B12" s="383" t="s">
        <v>3100</v>
      </c>
      <c r="C12" s="383"/>
      <c r="D12" s="383"/>
      <c r="E12" s="383"/>
      <c r="F12" s="383"/>
      <c r="I12" s="95"/>
      <c r="N12"/>
      <c r="W12"/>
      <c r="X12"/>
    </row>
    <row r="13" spans="1:24" x14ac:dyDescent="0.3">
      <c r="A13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6">
    <tabColor rgb="FF00B050"/>
  </sheetPr>
  <dimension ref="A2:AH2"/>
  <sheetViews>
    <sheetView workbookViewId="0">
      <selection activeCell="C12" sqref="C1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9.886718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554687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2" spans="1:1" x14ac:dyDescent="0.3">
      <c r="A2" s="92" t="s">
        <v>3198</v>
      </c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00B050"/>
  </sheetPr>
  <dimension ref="A1:AH69"/>
  <sheetViews>
    <sheetView topLeftCell="A34" workbookViewId="0">
      <selection activeCell="D53" sqref="D53:N60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5546875" bestFit="1" customWidth="1" collapsed="1"/>
    <col min="4" max="4" width="10.88671875" bestFit="1" customWidth="1" collapsed="1"/>
    <col min="5" max="5" width="11.88671875" bestFit="1" customWidth="1" collapsed="1"/>
    <col min="6" max="6" width="5.5546875" bestFit="1" customWidth="1" collapsed="1"/>
    <col min="7" max="7" width="17.33203125" bestFit="1" customWidth="1" collapsed="1"/>
    <col min="8" max="8" width="11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1537</v>
      </c>
      <c r="B2" s="10" t="s">
        <v>1602</v>
      </c>
      <c r="C2" s="10" t="s">
        <v>1603</v>
      </c>
      <c r="D2" s="11">
        <v>45154</v>
      </c>
      <c r="E2" s="12">
        <v>230000</v>
      </c>
      <c r="F2" s="10" t="s">
        <v>32</v>
      </c>
      <c r="G2" s="10" t="s">
        <v>33</v>
      </c>
      <c r="H2" s="12">
        <v>230000</v>
      </c>
      <c r="I2" s="12">
        <v>98800</v>
      </c>
      <c r="J2" s="13">
        <f t="shared" ref="J2:J30" si="0">I2/H2*100</f>
        <v>42.95652173913043</v>
      </c>
      <c r="K2" s="12">
        <v>243567</v>
      </c>
      <c r="L2" s="12">
        <f>H2-232023</f>
        <v>-2023</v>
      </c>
      <c r="M2" s="12">
        <v>11544</v>
      </c>
      <c r="N2" s="66">
        <f t="shared" ref="N2:N30" si="1">M2/E2</f>
        <v>5.0191304347826086E-2</v>
      </c>
      <c r="O2" s="14">
        <v>54.97</v>
      </c>
      <c r="P2" s="15">
        <v>139</v>
      </c>
      <c r="Q2" s="16">
        <v>0.16</v>
      </c>
      <c r="R2" s="16">
        <v>0.16</v>
      </c>
      <c r="S2" s="12">
        <f t="shared" ref="S2:S30" si="2">L2/O2</f>
        <v>-36.801891941058763</v>
      </c>
      <c r="T2" s="12">
        <f t="shared" ref="T2:T30" si="3">L2/Q2</f>
        <v>-12643.75</v>
      </c>
      <c r="U2" s="17">
        <f t="shared" ref="U2:U30" si="4">L2/Q2/43560</f>
        <v>-0.29026056014692381</v>
      </c>
      <c r="V2" s="16">
        <v>50</v>
      </c>
      <c r="W2" s="16">
        <f t="shared" ref="W2:W30" si="5">0.2*E2</f>
        <v>46000</v>
      </c>
      <c r="X2" s="16">
        <f t="shared" ref="X2:X30" si="6">W2/V2</f>
        <v>920</v>
      </c>
      <c r="Y2" s="18" t="s">
        <v>1536</v>
      </c>
      <c r="Z2" s="10" t="s">
        <v>35</v>
      </c>
      <c r="AA2" s="10" t="s">
        <v>35</v>
      </c>
      <c r="AB2" s="10" t="s">
        <v>1537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1537</v>
      </c>
      <c r="B3" s="19" t="s">
        <v>1666</v>
      </c>
      <c r="C3" s="19" t="s">
        <v>1667</v>
      </c>
      <c r="D3" s="20">
        <v>45019</v>
      </c>
      <c r="E3" s="21">
        <v>195000</v>
      </c>
      <c r="F3" s="19" t="s">
        <v>32</v>
      </c>
      <c r="G3" s="19" t="s">
        <v>33</v>
      </c>
      <c r="H3" s="21">
        <v>195000</v>
      </c>
      <c r="I3" s="21">
        <v>84200</v>
      </c>
      <c r="J3" s="22">
        <f t="shared" si="0"/>
        <v>43.179487179487182</v>
      </c>
      <c r="K3" s="21">
        <v>206347</v>
      </c>
      <c r="L3" s="21">
        <f>H3-195847</f>
        <v>-847</v>
      </c>
      <c r="M3" s="21">
        <v>10500</v>
      </c>
      <c r="N3" s="67">
        <f t="shared" si="1"/>
        <v>5.3846153846153849E-2</v>
      </c>
      <c r="O3" s="23">
        <v>50</v>
      </c>
      <c r="P3" s="24">
        <v>115</v>
      </c>
      <c r="Q3" s="25">
        <v>0.13200000000000001</v>
      </c>
      <c r="R3" s="25">
        <v>0.13200000000000001</v>
      </c>
      <c r="S3" s="21">
        <f t="shared" si="2"/>
        <v>-16.940000000000001</v>
      </c>
      <c r="T3" s="21">
        <f t="shared" si="3"/>
        <v>-6416.6666666666661</v>
      </c>
      <c r="U3" s="26">
        <f t="shared" si="4"/>
        <v>-0.1473063973063973</v>
      </c>
      <c r="V3" s="25">
        <v>50</v>
      </c>
      <c r="W3" s="25">
        <f t="shared" si="5"/>
        <v>39000</v>
      </c>
      <c r="X3" s="25">
        <f t="shared" si="6"/>
        <v>780</v>
      </c>
      <c r="Y3" s="27" t="s">
        <v>1536</v>
      </c>
      <c r="Z3" s="19" t="s">
        <v>35</v>
      </c>
      <c r="AA3" s="19" t="s">
        <v>35</v>
      </c>
      <c r="AB3" s="19" t="s">
        <v>1537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1537</v>
      </c>
      <c r="B4" s="19" t="s">
        <v>1580</v>
      </c>
      <c r="C4" s="19" t="s">
        <v>1581</v>
      </c>
      <c r="D4" s="20">
        <v>45695</v>
      </c>
      <c r="E4" s="21">
        <v>180000</v>
      </c>
      <c r="F4" s="19" t="s">
        <v>32</v>
      </c>
      <c r="G4" s="19" t="s">
        <v>33</v>
      </c>
      <c r="H4" s="21">
        <v>180000</v>
      </c>
      <c r="I4" s="21">
        <v>91900</v>
      </c>
      <c r="J4" s="22">
        <f t="shared" si="0"/>
        <v>51.055555555555557</v>
      </c>
      <c r="K4" s="21">
        <v>196814</v>
      </c>
      <c r="L4" s="21">
        <f>H4-181219</f>
        <v>-1219</v>
      </c>
      <c r="M4" s="21">
        <v>15595</v>
      </c>
      <c r="N4" s="67">
        <f t="shared" si="1"/>
        <v>8.663888888888889E-2</v>
      </c>
      <c r="O4" s="23">
        <v>74.260000000000005</v>
      </c>
      <c r="P4" s="24">
        <v>122.81</v>
      </c>
      <c r="Q4" s="25">
        <v>0.219</v>
      </c>
      <c r="R4" s="25">
        <v>0.219</v>
      </c>
      <c r="S4" s="21">
        <f t="shared" si="2"/>
        <v>-16.415297603016427</v>
      </c>
      <c r="T4" s="21">
        <f t="shared" si="3"/>
        <v>-5566.2100456621001</v>
      </c>
      <c r="U4" s="26">
        <f t="shared" si="4"/>
        <v>-0.12778259976267448</v>
      </c>
      <c r="V4" s="25">
        <v>60</v>
      </c>
      <c r="W4" s="25">
        <f t="shared" si="5"/>
        <v>36000</v>
      </c>
      <c r="X4" s="25">
        <f t="shared" si="6"/>
        <v>600</v>
      </c>
      <c r="Y4" s="27" t="s">
        <v>1536</v>
      </c>
      <c r="Z4" s="19" t="s">
        <v>35</v>
      </c>
      <c r="AA4" s="19" t="s">
        <v>35</v>
      </c>
      <c r="AB4" s="19" t="s">
        <v>1537</v>
      </c>
      <c r="AC4" s="19">
        <v>0</v>
      </c>
      <c r="AD4" s="19">
        <v>1</v>
      </c>
      <c r="AE4" s="19" t="s">
        <v>37</v>
      </c>
      <c r="AF4" s="19" t="s">
        <v>35</v>
      </c>
      <c r="AG4" s="19" t="s">
        <v>38</v>
      </c>
      <c r="AH4" s="19" t="s">
        <v>92</v>
      </c>
    </row>
    <row r="5" spans="1:34" x14ac:dyDescent="0.3">
      <c r="A5" s="74" t="s">
        <v>1537</v>
      </c>
      <c r="B5" s="10" t="s">
        <v>1668</v>
      </c>
      <c r="C5" s="10" t="s">
        <v>1669</v>
      </c>
      <c r="D5" s="11">
        <v>45289</v>
      </c>
      <c r="E5" s="12">
        <v>180000</v>
      </c>
      <c r="F5" s="10" t="s">
        <v>32</v>
      </c>
      <c r="G5" s="10" t="s">
        <v>33</v>
      </c>
      <c r="H5" s="12">
        <v>180000</v>
      </c>
      <c r="I5" s="12">
        <v>78700</v>
      </c>
      <c r="J5" s="13">
        <f t="shared" si="0"/>
        <v>43.722222222222221</v>
      </c>
      <c r="K5" s="12">
        <v>191025</v>
      </c>
      <c r="L5" s="12">
        <f>H5-180525</f>
        <v>-525</v>
      </c>
      <c r="M5" s="12">
        <v>10500</v>
      </c>
      <c r="N5" s="66">
        <f t="shared" si="1"/>
        <v>5.8333333333333334E-2</v>
      </c>
      <c r="O5" s="14">
        <v>50</v>
      </c>
      <c r="P5" s="15">
        <v>115</v>
      </c>
      <c r="Q5" s="16">
        <v>0.13200000000000001</v>
      </c>
      <c r="R5" s="16">
        <v>0.13200000000000001</v>
      </c>
      <c r="S5" s="12">
        <f t="shared" si="2"/>
        <v>-10.5</v>
      </c>
      <c r="T5" s="12">
        <f t="shared" si="3"/>
        <v>-3977.272727272727</v>
      </c>
      <c r="U5" s="17">
        <f t="shared" si="4"/>
        <v>-9.1305618165122296E-2</v>
      </c>
      <c r="V5" s="16">
        <v>50</v>
      </c>
      <c r="W5" s="16">
        <f t="shared" si="5"/>
        <v>36000</v>
      </c>
      <c r="X5" s="16">
        <f t="shared" si="6"/>
        <v>720</v>
      </c>
      <c r="Y5" s="18" t="s">
        <v>1536</v>
      </c>
      <c r="Z5" s="10" t="s">
        <v>35</v>
      </c>
      <c r="AA5" s="10" t="s">
        <v>35</v>
      </c>
      <c r="AB5" s="10" t="s">
        <v>1537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1537</v>
      </c>
      <c r="B6" s="10" t="s">
        <v>1584</v>
      </c>
      <c r="C6" s="10" t="s">
        <v>1585</v>
      </c>
      <c r="D6" s="11">
        <v>45243</v>
      </c>
      <c r="E6" s="12">
        <v>174000</v>
      </c>
      <c r="F6" s="10" t="s">
        <v>32</v>
      </c>
      <c r="G6" s="10" t="s">
        <v>33</v>
      </c>
      <c r="H6" s="12">
        <v>174000</v>
      </c>
      <c r="I6" s="12">
        <v>76500</v>
      </c>
      <c r="J6" s="13">
        <f t="shared" si="0"/>
        <v>43.96551724137931</v>
      </c>
      <c r="K6" s="12">
        <v>186090</v>
      </c>
      <c r="L6" s="12">
        <f>H6-174212</f>
        <v>-212</v>
      </c>
      <c r="M6" s="12">
        <v>11878</v>
      </c>
      <c r="N6" s="66">
        <f t="shared" si="1"/>
        <v>6.826436781609195E-2</v>
      </c>
      <c r="O6" s="14">
        <v>56.56</v>
      </c>
      <c r="P6" s="15">
        <v>139.77000000000001</v>
      </c>
      <c r="Q6" s="16">
        <v>0.154</v>
      </c>
      <c r="R6" s="16">
        <v>0.154</v>
      </c>
      <c r="S6" s="12">
        <f t="shared" si="2"/>
        <v>-3.7482319660537482</v>
      </c>
      <c r="T6" s="12">
        <f t="shared" si="3"/>
        <v>-1376.6233766233765</v>
      </c>
      <c r="U6" s="17">
        <f t="shared" si="4"/>
        <v>-3.1602924164907634E-2</v>
      </c>
      <c r="V6" s="16">
        <v>58</v>
      </c>
      <c r="W6" s="16">
        <f t="shared" si="5"/>
        <v>34800</v>
      </c>
      <c r="X6" s="16">
        <f t="shared" si="6"/>
        <v>600</v>
      </c>
      <c r="Y6" s="18" t="s">
        <v>1536</v>
      </c>
      <c r="Z6" s="10" t="s">
        <v>35</v>
      </c>
      <c r="AA6" s="10" t="s">
        <v>35</v>
      </c>
      <c r="AB6" s="10" t="s">
        <v>1537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5" t="s">
        <v>1537</v>
      </c>
      <c r="B7" s="19" t="s">
        <v>1596</v>
      </c>
      <c r="C7" s="19" t="s">
        <v>1597</v>
      </c>
      <c r="D7" s="20">
        <v>45092</v>
      </c>
      <c r="E7" s="21">
        <v>205000</v>
      </c>
      <c r="F7" s="19" t="s">
        <v>32</v>
      </c>
      <c r="G7" s="19" t="s">
        <v>33</v>
      </c>
      <c r="H7" s="21">
        <v>205000</v>
      </c>
      <c r="I7" s="21">
        <v>92400</v>
      </c>
      <c r="J7" s="22">
        <f t="shared" si="0"/>
        <v>45.073170731707322</v>
      </c>
      <c r="K7" s="21">
        <v>223947</v>
      </c>
      <c r="L7" s="21">
        <f>H7-204179</f>
        <v>821</v>
      </c>
      <c r="M7" s="21">
        <v>19768</v>
      </c>
      <c r="N7" s="67">
        <f t="shared" si="1"/>
        <v>9.6429268292682932E-2</v>
      </c>
      <c r="O7" s="23">
        <v>94.13</v>
      </c>
      <c r="P7" s="24">
        <v>241.19</v>
      </c>
      <c r="Q7" s="25">
        <v>0.185</v>
      </c>
      <c r="R7" s="25">
        <v>0.33500000000000002</v>
      </c>
      <c r="S7" s="21">
        <f t="shared" si="2"/>
        <v>8.7219802400934885</v>
      </c>
      <c r="T7" s="21">
        <f t="shared" si="3"/>
        <v>4437.8378378378375</v>
      </c>
      <c r="U7" s="26">
        <f t="shared" si="4"/>
        <v>0.1018787382423746</v>
      </c>
      <c r="V7" s="25">
        <v>74</v>
      </c>
      <c r="W7" s="25">
        <f t="shared" si="5"/>
        <v>41000</v>
      </c>
      <c r="X7" s="25">
        <f t="shared" si="6"/>
        <v>554.05405405405406</v>
      </c>
      <c r="Y7" s="27" t="s">
        <v>1536</v>
      </c>
      <c r="Z7" s="19" t="s">
        <v>35</v>
      </c>
      <c r="AA7" s="19" t="s">
        <v>35</v>
      </c>
      <c r="AB7" s="19" t="s">
        <v>1537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1537</v>
      </c>
      <c r="B8" s="10" t="s">
        <v>1586</v>
      </c>
      <c r="C8" s="10" t="s">
        <v>1587</v>
      </c>
      <c r="D8" s="11">
        <v>45369</v>
      </c>
      <c r="E8" s="12">
        <v>159900</v>
      </c>
      <c r="F8" s="10" t="s">
        <v>32</v>
      </c>
      <c r="G8" s="10" t="s">
        <v>33</v>
      </c>
      <c r="H8" s="12">
        <v>159900</v>
      </c>
      <c r="I8" s="12">
        <v>68100</v>
      </c>
      <c r="J8" s="13">
        <f t="shared" si="0"/>
        <v>42.589118198874296</v>
      </c>
      <c r="K8" s="12">
        <v>166306</v>
      </c>
      <c r="L8" s="12">
        <f>H8-155939</f>
        <v>3961</v>
      </c>
      <c r="M8" s="12">
        <v>10367</v>
      </c>
      <c r="N8" s="66">
        <f t="shared" si="1"/>
        <v>6.4834271419637268E-2</v>
      </c>
      <c r="O8" s="14">
        <v>49.36</v>
      </c>
      <c r="P8" s="15">
        <v>109.87</v>
      </c>
      <c r="Q8" s="16">
        <v>0.127</v>
      </c>
      <c r="R8" s="16">
        <v>0.127</v>
      </c>
      <c r="S8" s="12">
        <f t="shared" si="2"/>
        <v>80.247163695299832</v>
      </c>
      <c r="T8" s="12">
        <f t="shared" si="3"/>
        <v>31188.976377952757</v>
      </c>
      <c r="U8" s="17">
        <f t="shared" si="4"/>
        <v>0.71600037598605959</v>
      </c>
      <c r="V8" s="16">
        <v>51</v>
      </c>
      <c r="W8" s="16">
        <f t="shared" si="5"/>
        <v>31980</v>
      </c>
      <c r="X8" s="16">
        <f t="shared" si="6"/>
        <v>627.05882352941171</v>
      </c>
      <c r="Y8" s="18" t="s">
        <v>1536</v>
      </c>
      <c r="Z8" s="10" t="s">
        <v>35</v>
      </c>
      <c r="AA8" s="10" t="s">
        <v>35</v>
      </c>
      <c r="AB8" s="10" t="s">
        <v>1537</v>
      </c>
      <c r="AC8" s="10">
        <v>0</v>
      </c>
      <c r="AD8" s="10">
        <v>1</v>
      </c>
      <c r="AE8" s="10" t="s">
        <v>37</v>
      </c>
      <c r="AF8" s="10" t="s">
        <v>43</v>
      </c>
      <c r="AG8" s="10" t="s">
        <v>38</v>
      </c>
      <c r="AH8" s="10" t="s">
        <v>92</v>
      </c>
    </row>
    <row r="9" spans="1:34" x14ac:dyDescent="0.3">
      <c r="A9" s="75" t="s">
        <v>1537</v>
      </c>
      <c r="B9" s="19" t="s">
        <v>1590</v>
      </c>
      <c r="C9" s="19" t="s">
        <v>1591</v>
      </c>
      <c r="D9" s="20">
        <v>45450</v>
      </c>
      <c r="E9" s="21">
        <v>173000</v>
      </c>
      <c r="F9" s="19" t="s">
        <v>32</v>
      </c>
      <c r="G9" s="19" t="s">
        <v>33</v>
      </c>
      <c r="H9" s="21">
        <v>173000</v>
      </c>
      <c r="I9" s="21">
        <v>84000</v>
      </c>
      <c r="J9" s="22">
        <f t="shared" si="0"/>
        <v>48.554913294797686</v>
      </c>
      <c r="K9" s="21">
        <v>179840</v>
      </c>
      <c r="L9" s="21">
        <f>H9-168033</f>
        <v>4967</v>
      </c>
      <c r="M9" s="21">
        <v>11807</v>
      </c>
      <c r="N9" s="67">
        <f t="shared" si="1"/>
        <v>6.8248554913294804E-2</v>
      </c>
      <c r="O9" s="23">
        <v>56.22</v>
      </c>
      <c r="P9" s="24">
        <v>144.97999999999999</v>
      </c>
      <c r="Q9" s="25">
        <v>0.16700000000000001</v>
      </c>
      <c r="R9" s="25">
        <v>0.16700000000000001</v>
      </c>
      <c r="S9" s="21">
        <f t="shared" si="2"/>
        <v>88.349341871220204</v>
      </c>
      <c r="T9" s="21">
        <f t="shared" si="3"/>
        <v>29742.514970059878</v>
      </c>
      <c r="U9" s="26">
        <f t="shared" si="4"/>
        <v>0.68279419123186125</v>
      </c>
      <c r="V9" s="25">
        <v>50</v>
      </c>
      <c r="W9" s="25">
        <f t="shared" si="5"/>
        <v>34600</v>
      </c>
      <c r="X9" s="25">
        <f t="shared" si="6"/>
        <v>692</v>
      </c>
      <c r="Y9" s="27" t="s">
        <v>1536</v>
      </c>
      <c r="Z9" s="19" t="s">
        <v>35</v>
      </c>
      <c r="AA9" s="19" t="s">
        <v>35</v>
      </c>
      <c r="AB9" s="19" t="s">
        <v>1537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4" t="s">
        <v>1537</v>
      </c>
      <c r="B10" s="10" t="s">
        <v>1556</v>
      </c>
      <c r="C10" s="10" t="s">
        <v>1557</v>
      </c>
      <c r="D10" s="11">
        <v>45621</v>
      </c>
      <c r="E10" s="12">
        <v>232500</v>
      </c>
      <c r="F10" s="10" t="s">
        <v>32</v>
      </c>
      <c r="G10" s="10" t="s">
        <v>33</v>
      </c>
      <c r="H10" s="12">
        <v>232500</v>
      </c>
      <c r="I10" s="12">
        <v>116400</v>
      </c>
      <c r="J10" s="13">
        <f t="shared" si="0"/>
        <v>50.064516129032256</v>
      </c>
      <c r="K10" s="12">
        <v>239765</v>
      </c>
      <c r="L10" s="12">
        <f>H10-226509</f>
        <v>5991</v>
      </c>
      <c r="M10" s="12">
        <v>13256</v>
      </c>
      <c r="N10" s="66">
        <f t="shared" si="1"/>
        <v>5.7015053763440862E-2</v>
      </c>
      <c r="O10" s="14">
        <v>63.12</v>
      </c>
      <c r="P10" s="15">
        <v>114</v>
      </c>
      <c r="Q10" s="16">
        <v>0.16600000000000001</v>
      </c>
      <c r="R10" s="16">
        <v>0.16600000000000001</v>
      </c>
      <c r="S10" s="12">
        <f t="shared" si="2"/>
        <v>94.914448669201519</v>
      </c>
      <c r="T10" s="12">
        <f t="shared" si="3"/>
        <v>36090.361445783128</v>
      </c>
      <c r="U10" s="17">
        <f t="shared" si="4"/>
        <v>0.82852069434763842</v>
      </c>
      <c r="V10" s="16">
        <v>63.4</v>
      </c>
      <c r="W10" s="16">
        <f t="shared" si="5"/>
        <v>46500</v>
      </c>
      <c r="X10" s="16">
        <f t="shared" si="6"/>
        <v>733.43848580441647</v>
      </c>
      <c r="Y10" s="18" t="s">
        <v>1536</v>
      </c>
      <c r="Z10" s="10" t="s">
        <v>35</v>
      </c>
      <c r="AA10" s="10" t="s">
        <v>35</v>
      </c>
      <c r="AB10" s="10" t="s">
        <v>1537</v>
      </c>
      <c r="AC10" s="10">
        <v>0</v>
      </c>
      <c r="AD10" s="10">
        <v>0</v>
      </c>
      <c r="AE10" s="10" t="s">
        <v>42</v>
      </c>
      <c r="AF10" s="10" t="s">
        <v>35</v>
      </c>
      <c r="AG10" s="10" t="s">
        <v>38</v>
      </c>
      <c r="AH10" s="10" t="s">
        <v>92</v>
      </c>
    </row>
    <row r="11" spans="1:34" x14ac:dyDescent="0.3">
      <c r="A11" s="74" t="s">
        <v>1537</v>
      </c>
      <c r="B11" s="10" t="s">
        <v>1610</v>
      </c>
      <c r="C11" s="10" t="s">
        <v>1611</v>
      </c>
      <c r="D11" s="11">
        <v>45700</v>
      </c>
      <c r="E11" s="12">
        <v>185000</v>
      </c>
      <c r="F11" s="10" t="s">
        <v>81</v>
      </c>
      <c r="G11" s="10" t="s">
        <v>33</v>
      </c>
      <c r="H11" s="12">
        <v>185000</v>
      </c>
      <c r="I11" s="12">
        <v>89000</v>
      </c>
      <c r="J11" s="13">
        <f t="shared" si="0"/>
        <v>48.108108108108112</v>
      </c>
      <c r="K11" s="12">
        <v>190194</v>
      </c>
      <c r="L11" s="12">
        <f>H11-179925</f>
        <v>5075</v>
      </c>
      <c r="M11" s="12">
        <v>10269</v>
      </c>
      <c r="N11" s="66">
        <f t="shared" si="1"/>
        <v>5.5508108108108106E-2</v>
      </c>
      <c r="O11" s="14">
        <v>48.9</v>
      </c>
      <c r="P11" s="15">
        <v>110</v>
      </c>
      <c r="Q11" s="16">
        <v>0.126</v>
      </c>
      <c r="R11" s="16">
        <v>0.126</v>
      </c>
      <c r="S11" s="12">
        <f t="shared" si="2"/>
        <v>103.78323108384458</v>
      </c>
      <c r="T11" s="12">
        <f t="shared" si="3"/>
        <v>40277.777777777781</v>
      </c>
      <c r="U11" s="17">
        <f t="shared" si="4"/>
        <v>0.92465054586266715</v>
      </c>
      <c r="V11" s="16">
        <v>50</v>
      </c>
      <c r="W11" s="16">
        <f t="shared" si="5"/>
        <v>37000</v>
      </c>
      <c r="X11" s="16">
        <f t="shared" si="6"/>
        <v>740</v>
      </c>
      <c r="Y11" s="18" t="s">
        <v>1536</v>
      </c>
      <c r="Z11" s="10" t="s">
        <v>35</v>
      </c>
      <c r="AA11" s="10" t="s">
        <v>35</v>
      </c>
      <c r="AB11" s="10" t="s">
        <v>1537</v>
      </c>
      <c r="AC11" s="10">
        <v>0</v>
      </c>
      <c r="AD11" s="10">
        <v>1</v>
      </c>
      <c r="AE11" s="10" t="s">
        <v>42</v>
      </c>
      <c r="AF11" s="10" t="s">
        <v>35</v>
      </c>
      <c r="AG11" s="10" t="s">
        <v>38</v>
      </c>
      <c r="AH11" s="10" t="s">
        <v>92</v>
      </c>
    </row>
    <row r="12" spans="1:34" x14ac:dyDescent="0.3">
      <c r="A12" s="75" t="s">
        <v>1632</v>
      </c>
      <c r="B12" s="19" t="s">
        <v>1629</v>
      </c>
      <c r="C12" s="19" t="s">
        <v>1630</v>
      </c>
      <c r="D12" s="20">
        <v>45730</v>
      </c>
      <c r="E12" s="21">
        <v>355000</v>
      </c>
      <c r="F12" s="19" t="s">
        <v>32</v>
      </c>
      <c r="G12" s="19" t="s">
        <v>33</v>
      </c>
      <c r="H12" s="21">
        <v>355000</v>
      </c>
      <c r="I12" s="21">
        <v>171100</v>
      </c>
      <c r="J12" s="22">
        <f>I12/H12*100</f>
        <v>48.197183098591552</v>
      </c>
      <c r="K12" s="21">
        <v>348774</v>
      </c>
      <c r="L12" s="21">
        <f>H12-321203</f>
        <v>33797</v>
      </c>
      <c r="M12" s="21">
        <v>27571</v>
      </c>
      <c r="N12" s="67">
        <f>M12/E12</f>
        <v>7.7664788732394366E-2</v>
      </c>
      <c r="O12" s="23">
        <v>86.15</v>
      </c>
      <c r="P12" s="24">
        <v>180.35</v>
      </c>
      <c r="Q12" s="25">
        <v>0.35199999999999998</v>
      </c>
      <c r="R12" s="25">
        <v>0.35199999999999998</v>
      </c>
      <c r="S12" s="21">
        <f>L12/O12</f>
        <v>392.30412071967498</v>
      </c>
      <c r="T12" s="21">
        <f>L12/Q12</f>
        <v>96014.204545454544</v>
      </c>
      <c r="U12" s="26">
        <f>L12/Q12/43560</f>
        <v>2.2041828408047417</v>
      </c>
      <c r="V12" s="25">
        <v>49.2</v>
      </c>
      <c r="W12" s="25">
        <f>0.2*E12</f>
        <v>71000</v>
      </c>
      <c r="X12" s="25">
        <f>W12/V12</f>
        <v>1443.0894308943089</v>
      </c>
      <c r="Y12" s="27" t="s">
        <v>1631</v>
      </c>
      <c r="Z12" s="19" t="s">
        <v>35</v>
      </c>
      <c r="AA12" s="19" t="s">
        <v>35</v>
      </c>
      <c r="AB12" s="19" t="s">
        <v>1632</v>
      </c>
      <c r="AC12" s="19">
        <v>0</v>
      </c>
      <c r="AD12" s="19">
        <v>1</v>
      </c>
      <c r="AE12" s="19" t="s">
        <v>42</v>
      </c>
      <c r="AF12" s="19" t="s">
        <v>35</v>
      </c>
      <c r="AG12" s="19" t="s">
        <v>38</v>
      </c>
      <c r="AH12" s="19" t="s">
        <v>92</v>
      </c>
    </row>
    <row r="13" spans="1:34" x14ac:dyDescent="0.3">
      <c r="A13" s="74" t="s">
        <v>1632</v>
      </c>
      <c r="B13" s="10" t="s">
        <v>1633</v>
      </c>
      <c r="C13" s="10" t="s">
        <v>1634</v>
      </c>
      <c r="D13" s="11">
        <v>45492</v>
      </c>
      <c r="E13" s="12">
        <v>341000</v>
      </c>
      <c r="F13" s="10" t="s">
        <v>32</v>
      </c>
      <c r="G13" s="10" t="s">
        <v>33</v>
      </c>
      <c r="H13" s="12">
        <v>341000</v>
      </c>
      <c r="I13" s="12">
        <v>161900</v>
      </c>
      <c r="J13" s="13">
        <f>I13/H13*100</f>
        <v>47.478005865102638</v>
      </c>
      <c r="K13" s="12">
        <v>329055</v>
      </c>
      <c r="L13" s="12">
        <f>H13-309081</f>
        <v>31919</v>
      </c>
      <c r="M13" s="12">
        <v>19974</v>
      </c>
      <c r="N13" s="66">
        <f>M13/E13</f>
        <v>5.8574780058651028E-2</v>
      </c>
      <c r="O13" s="14">
        <v>62.41</v>
      </c>
      <c r="P13" s="15">
        <v>116.12</v>
      </c>
      <c r="Q13" s="16">
        <v>0.17499999999999999</v>
      </c>
      <c r="R13" s="16">
        <v>0.17499999999999999</v>
      </c>
      <c r="S13" s="12">
        <f>L13/O13</f>
        <v>511.4404742829675</v>
      </c>
      <c r="T13" s="12">
        <f>L13/Q13</f>
        <v>182394.28571428574</v>
      </c>
      <c r="U13" s="17">
        <f>L13/Q13/43560</f>
        <v>4.1871966417420969</v>
      </c>
      <c r="V13" s="16">
        <v>66.53</v>
      </c>
      <c r="W13" s="16">
        <f>0.2*E13</f>
        <v>68200</v>
      </c>
      <c r="X13" s="16">
        <f>W13/V13</f>
        <v>1025.1014579888772</v>
      </c>
      <c r="Y13" s="18" t="s">
        <v>1631</v>
      </c>
      <c r="Z13" s="10" t="s">
        <v>35</v>
      </c>
      <c r="AA13" s="10" t="s">
        <v>35</v>
      </c>
      <c r="AB13" s="10" t="s">
        <v>1632</v>
      </c>
      <c r="AC13" s="10">
        <v>0</v>
      </c>
      <c r="AD13" s="10">
        <v>1</v>
      </c>
      <c r="AE13" s="10" t="s">
        <v>1635</v>
      </c>
      <c r="AF13" s="10" t="s">
        <v>43</v>
      </c>
      <c r="AG13" s="10" t="s">
        <v>38</v>
      </c>
      <c r="AH13" s="10" t="s">
        <v>92</v>
      </c>
    </row>
    <row r="14" spans="1:34" x14ac:dyDescent="0.3">
      <c r="A14" s="74" t="s">
        <v>1537</v>
      </c>
      <c r="B14" s="10" t="s">
        <v>1542</v>
      </c>
      <c r="C14" s="10" t="s">
        <v>1543</v>
      </c>
      <c r="D14" s="11">
        <v>45099</v>
      </c>
      <c r="E14" s="12">
        <v>179900</v>
      </c>
      <c r="F14" s="10" t="s">
        <v>32</v>
      </c>
      <c r="G14" s="10" t="s">
        <v>33</v>
      </c>
      <c r="H14" s="12">
        <v>179900</v>
      </c>
      <c r="I14" s="12">
        <v>77500</v>
      </c>
      <c r="J14" s="13">
        <f t="shared" si="0"/>
        <v>43.079488604780437</v>
      </c>
      <c r="K14" s="12">
        <v>185965</v>
      </c>
      <c r="L14" s="12">
        <f>H14-172466</f>
        <v>7434</v>
      </c>
      <c r="M14" s="12">
        <v>13499</v>
      </c>
      <c r="N14" s="66">
        <f t="shared" si="1"/>
        <v>7.5036131183991106E-2</v>
      </c>
      <c r="O14" s="14">
        <v>64.28</v>
      </c>
      <c r="P14" s="15">
        <v>132</v>
      </c>
      <c r="Q14" s="16">
        <v>0.182</v>
      </c>
      <c r="R14" s="16">
        <v>0.182</v>
      </c>
      <c r="S14" s="12">
        <f t="shared" si="2"/>
        <v>115.6502800248911</v>
      </c>
      <c r="T14" s="12">
        <f t="shared" si="3"/>
        <v>40846.153846153844</v>
      </c>
      <c r="U14" s="17">
        <f t="shared" si="4"/>
        <v>0.9376986649713922</v>
      </c>
      <c r="V14" s="16">
        <v>60</v>
      </c>
      <c r="W14" s="16">
        <f t="shared" si="5"/>
        <v>35980</v>
      </c>
      <c r="X14" s="16">
        <f t="shared" si="6"/>
        <v>599.66666666666663</v>
      </c>
      <c r="Y14" s="18" t="s">
        <v>1536</v>
      </c>
      <c r="Z14" s="10" t="s">
        <v>35</v>
      </c>
      <c r="AA14" s="10" t="s">
        <v>35</v>
      </c>
      <c r="AB14" s="10" t="s">
        <v>1537</v>
      </c>
      <c r="AC14" s="10">
        <v>0</v>
      </c>
      <c r="AD14" s="10">
        <v>1</v>
      </c>
      <c r="AE14" s="10" t="s">
        <v>42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5" t="s">
        <v>1537</v>
      </c>
      <c r="B15" s="19" t="s">
        <v>1713</v>
      </c>
      <c r="C15" s="19" t="s">
        <v>1714</v>
      </c>
      <c r="D15" s="20">
        <v>45320</v>
      </c>
      <c r="E15" s="21">
        <v>207000</v>
      </c>
      <c r="F15" s="19" t="s">
        <v>32</v>
      </c>
      <c r="G15" s="19" t="s">
        <v>33</v>
      </c>
      <c r="H15" s="21">
        <v>207000</v>
      </c>
      <c r="I15" s="21">
        <v>89800</v>
      </c>
      <c r="J15" s="22">
        <f t="shared" si="0"/>
        <v>43.381642512077292</v>
      </c>
      <c r="K15" s="21">
        <v>212584</v>
      </c>
      <c r="L15" s="21">
        <f>H15-199601</f>
        <v>7399</v>
      </c>
      <c r="M15" s="21">
        <v>12983</v>
      </c>
      <c r="N15" s="67">
        <f t="shared" si="1"/>
        <v>6.2719806763285021E-2</v>
      </c>
      <c r="O15" s="23">
        <v>61.82</v>
      </c>
      <c r="P15" s="24">
        <v>118.13</v>
      </c>
      <c r="Q15" s="25">
        <v>0.16500000000000001</v>
      </c>
      <c r="R15" s="25">
        <v>0.16500000000000001</v>
      </c>
      <c r="S15" s="21">
        <f t="shared" si="2"/>
        <v>119.68618570042058</v>
      </c>
      <c r="T15" s="21">
        <f t="shared" si="3"/>
        <v>44842.42424242424</v>
      </c>
      <c r="U15" s="26">
        <f t="shared" si="4"/>
        <v>1.0294404096056988</v>
      </c>
      <c r="V15" s="25">
        <v>61</v>
      </c>
      <c r="W15" s="25">
        <f t="shared" si="5"/>
        <v>41400</v>
      </c>
      <c r="X15" s="25">
        <f t="shared" si="6"/>
        <v>678.68852459016398</v>
      </c>
      <c r="Y15" s="27" t="s">
        <v>1536</v>
      </c>
      <c r="Z15" s="19" t="s">
        <v>35</v>
      </c>
      <c r="AA15" s="19" t="s">
        <v>35</v>
      </c>
      <c r="AB15" s="19" t="s">
        <v>1537</v>
      </c>
      <c r="AC15" s="19">
        <v>0</v>
      </c>
      <c r="AD15" s="19">
        <v>1</v>
      </c>
      <c r="AE15" s="19" t="s">
        <v>42</v>
      </c>
      <c r="AF15" s="19" t="s">
        <v>43</v>
      </c>
      <c r="AG15" s="19" t="s">
        <v>38</v>
      </c>
      <c r="AH15" s="19" t="s">
        <v>92</v>
      </c>
    </row>
    <row r="16" spans="1:34" x14ac:dyDescent="0.3">
      <c r="A16" s="75" t="s">
        <v>1537</v>
      </c>
      <c r="B16" s="19" t="s">
        <v>1534</v>
      </c>
      <c r="C16" s="19" t="s">
        <v>1535</v>
      </c>
      <c r="D16" s="20">
        <v>45083</v>
      </c>
      <c r="E16" s="21">
        <v>163000</v>
      </c>
      <c r="F16" s="19" t="s">
        <v>32</v>
      </c>
      <c r="G16" s="19" t="s">
        <v>33</v>
      </c>
      <c r="H16" s="21">
        <v>163000</v>
      </c>
      <c r="I16" s="21">
        <v>67700</v>
      </c>
      <c r="J16" s="22">
        <f t="shared" si="0"/>
        <v>41.533742331288344</v>
      </c>
      <c r="K16" s="21">
        <v>167148</v>
      </c>
      <c r="L16" s="21">
        <f>H16-154083</f>
        <v>8917</v>
      </c>
      <c r="M16" s="21">
        <v>13065</v>
      </c>
      <c r="N16" s="67">
        <f t="shared" si="1"/>
        <v>8.0153374233128835E-2</v>
      </c>
      <c r="O16" s="23">
        <v>62.21</v>
      </c>
      <c r="P16" s="24">
        <v>137</v>
      </c>
      <c r="Q16" s="25">
        <v>0.17899999999999999</v>
      </c>
      <c r="R16" s="25">
        <v>0.17899999999999999</v>
      </c>
      <c r="S16" s="21">
        <f t="shared" si="2"/>
        <v>143.33708407008518</v>
      </c>
      <c r="T16" s="21">
        <f t="shared" si="3"/>
        <v>49815.642458100563</v>
      </c>
      <c r="U16" s="26">
        <f t="shared" si="4"/>
        <v>1.1436097901308668</v>
      </c>
      <c r="V16" s="25">
        <v>57</v>
      </c>
      <c r="W16" s="25">
        <f t="shared" si="5"/>
        <v>32600</v>
      </c>
      <c r="X16" s="25">
        <f t="shared" si="6"/>
        <v>571.92982456140351</v>
      </c>
      <c r="Y16" s="27" t="s">
        <v>1536</v>
      </c>
      <c r="Z16" s="19" t="s">
        <v>35</v>
      </c>
      <c r="AA16" s="19" t="s">
        <v>35</v>
      </c>
      <c r="AB16" s="19" t="s">
        <v>1537</v>
      </c>
      <c r="AC16" s="19">
        <v>0</v>
      </c>
      <c r="AD16" s="19">
        <v>1</v>
      </c>
      <c r="AE16" s="19" t="s">
        <v>42</v>
      </c>
      <c r="AF16" s="19" t="s">
        <v>43</v>
      </c>
      <c r="AG16" s="19" t="s">
        <v>38</v>
      </c>
      <c r="AH16" s="19" t="s">
        <v>92</v>
      </c>
    </row>
    <row r="17" spans="1:34" x14ac:dyDescent="0.3">
      <c r="A17" s="74" t="s">
        <v>1537</v>
      </c>
      <c r="B17" s="10" t="s">
        <v>1699</v>
      </c>
      <c r="C17" s="10" t="s">
        <v>1700</v>
      </c>
      <c r="D17" s="11">
        <v>45028</v>
      </c>
      <c r="E17" s="12">
        <v>224500</v>
      </c>
      <c r="F17" s="10" t="s">
        <v>32</v>
      </c>
      <c r="G17" s="10" t="s">
        <v>33</v>
      </c>
      <c r="H17" s="12">
        <v>224500</v>
      </c>
      <c r="I17" s="12">
        <v>97200</v>
      </c>
      <c r="J17" s="13">
        <f t="shared" si="0"/>
        <v>43.29621380846325</v>
      </c>
      <c r="K17" s="12">
        <v>227064</v>
      </c>
      <c r="L17" s="12">
        <f>H17-214193</f>
        <v>10307</v>
      </c>
      <c r="M17" s="12">
        <v>12871</v>
      </c>
      <c r="N17" s="66">
        <f t="shared" si="1"/>
        <v>5.7331848552338527E-2</v>
      </c>
      <c r="O17" s="14">
        <v>61.29</v>
      </c>
      <c r="P17" s="15">
        <v>120</v>
      </c>
      <c r="Q17" s="16">
        <v>0.16500000000000001</v>
      </c>
      <c r="R17" s="16">
        <v>0.16500000000000001</v>
      </c>
      <c r="S17" s="12">
        <f t="shared" si="2"/>
        <v>168.16772719856419</v>
      </c>
      <c r="T17" s="12">
        <f t="shared" si="3"/>
        <v>62466.666666666664</v>
      </c>
      <c r="U17" s="17">
        <f t="shared" si="4"/>
        <v>1.4340373431282523</v>
      </c>
      <c r="V17" s="16">
        <v>60</v>
      </c>
      <c r="W17" s="16">
        <f t="shared" si="5"/>
        <v>44900</v>
      </c>
      <c r="X17" s="16">
        <f t="shared" si="6"/>
        <v>748.33333333333337</v>
      </c>
      <c r="Y17" s="18" t="s">
        <v>1536</v>
      </c>
      <c r="Z17" s="10" t="s">
        <v>35</v>
      </c>
      <c r="AA17" s="10" t="s">
        <v>35</v>
      </c>
      <c r="AB17" s="10" t="s">
        <v>1537</v>
      </c>
      <c r="AC17" s="10">
        <v>0</v>
      </c>
      <c r="AD17" s="10">
        <v>1</v>
      </c>
      <c r="AE17" s="10" t="s">
        <v>42</v>
      </c>
      <c r="AF17" s="10" t="s">
        <v>43</v>
      </c>
      <c r="AG17" s="10" t="s">
        <v>38</v>
      </c>
      <c r="AH17" s="10" t="s">
        <v>92</v>
      </c>
    </row>
    <row r="18" spans="1:34" x14ac:dyDescent="0.3">
      <c r="A18" s="75" t="s">
        <v>1537</v>
      </c>
      <c r="B18" s="19" t="s">
        <v>1582</v>
      </c>
      <c r="C18" s="19" t="s">
        <v>1583</v>
      </c>
      <c r="D18" s="20">
        <v>45100</v>
      </c>
      <c r="E18" s="21">
        <v>203000</v>
      </c>
      <c r="F18" s="19" t="s">
        <v>32</v>
      </c>
      <c r="G18" s="19" t="s">
        <v>33</v>
      </c>
      <c r="H18" s="21">
        <v>203000</v>
      </c>
      <c r="I18" s="21">
        <v>83300</v>
      </c>
      <c r="J18" s="22">
        <f t="shared" si="0"/>
        <v>41.03448275862069</v>
      </c>
      <c r="K18" s="21">
        <v>201969</v>
      </c>
      <c r="L18" s="21">
        <f>H18-190673</f>
        <v>12327</v>
      </c>
      <c r="M18" s="21">
        <v>11296</v>
      </c>
      <c r="N18" s="67">
        <f t="shared" si="1"/>
        <v>5.5645320197044337E-2</v>
      </c>
      <c r="O18" s="23">
        <v>53.79</v>
      </c>
      <c r="P18" s="24">
        <v>110</v>
      </c>
      <c r="Q18" s="25">
        <v>0.13900000000000001</v>
      </c>
      <c r="R18" s="25">
        <v>0.13900000000000001</v>
      </c>
      <c r="S18" s="21">
        <f t="shared" si="2"/>
        <v>229.16899051868378</v>
      </c>
      <c r="T18" s="21">
        <f t="shared" si="3"/>
        <v>88683.453237410067</v>
      </c>
      <c r="U18" s="26">
        <f t="shared" si="4"/>
        <v>2.0358919475989454</v>
      </c>
      <c r="V18" s="25">
        <v>55</v>
      </c>
      <c r="W18" s="25">
        <f t="shared" si="5"/>
        <v>40600</v>
      </c>
      <c r="X18" s="25">
        <f t="shared" si="6"/>
        <v>738.18181818181813</v>
      </c>
      <c r="Y18" s="27" t="s">
        <v>1536</v>
      </c>
      <c r="Z18" s="19" t="s">
        <v>35</v>
      </c>
      <c r="AA18" s="19" t="s">
        <v>35</v>
      </c>
      <c r="AB18" s="19" t="s">
        <v>1537</v>
      </c>
      <c r="AC18" s="19">
        <v>0</v>
      </c>
      <c r="AD18" s="19">
        <v>1</v>
      </c>
      <c r="AE18" s="19" t="s">
        <v>42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1537</v>
      </c>
      <c r="B19" s="10" t="s">
        <v>1592</v>
      </c>
      <c r="C19" s="10" t="s">
        <v>1593</v>
      </c>
      <c r="D19" s="11">
        <v>45245</v>
      </c>
      <c r="E19" s="12">
        <v>190000</v>
      </c>
      <c r="F19" s="10" t="s">
        <v>32</v>
      </c>
      <c r="G19" s="10" t="s">
        <v>33</v>
      </c>
      <c r="H19" s="12">
        <v>190000</v>
      </c>
      <c r="I19" s="12">
        <v>76900</v>
      </c>
      <c r="J19" s="13">
        <f t="shared" si="0"/>
        <v>40.473684210526315</v>
      </c>
      <c r="K19" s="12">
        <v>187370</v>
      </c>
      <c r="L19" s="12">
        <f>H19-175871</f>
        <v>14129</v>
      </c>
      <c r="M19" s="12">
        <v>11499</v>
      </c>
      <c r="N19" s="66">
        <f t="shared" si="1"/>
        <v>6.0521052631578948E-2</v>
      </c>
      <c r="O19" s="14">
        <v>54.75</v>
      </c>
      <c r="P19" s="15">
        <v>137.93</v>
      </c>
      <c r="Q19" s="16">
        <v>0.158</v>
      </c>
      <c r="R19" s="16">
        <v>0.158</v>
      </c>
      <c r="S19" s="12">
        <f t="shared" si="2"/>
        <v>258.06392694063925</v>
      </c>
      <c r="T19" s="12">
        <f t="shared" si="3"/>
        <v>89424.050632911385</v>
      </c>
      <c r="U19" s="17">
        <f t="shared" si="4"/>
        <v>2.0528937243551741</v>
      </c>
      <c r="V19" s="16">
        <v>50</v>
      </c>
      <c r="W19" s="16">
        <f t="shared" si="5"/>
        <v>38000</v>
      </c>
      <c r="X19" s="16">
        <f t="shared" si="6"/>
        <v>760</v>
      </c>
      <c r="Y19" s="18" t="s">
        <v>1536</v>
      </c>
      <c r="Z19" s="10" t="s">
        <v>35</v>
      </c>
      <c r="AA19" s="10" t="s">
        <v>35</v>
      </c>
      <c r="AB19" s="10" t="s">
        <v>1537</v>
      </c>
      <c r="AC19" s="10">
        <v>0</v>
      </c>
      <c r="AD19" s="10">
        <v>1</v>
      </c>
      <c r="AE19" s="10" t="s">
        <v>42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4" t="s">
        <v>1537</v>
      </c>
      <c r="B20" s="10" t="s">
        <v>1540</v>
      </c>
      <c r="C20" s="10" t="s">
        <v>1541</v>
      </c>
      <c r="D20" s="11">
        <v>45023</v>
      </c>
      <c r="E20" s="12">
        <v>73000</v>
      </c>
      <c r="F20" s="10" t="s">
        <v>32</v>
      </c>
      <c r="G20" s="10" t="s">
        <v>33</v>
      </c>
      <c r="H20" s="12">
        <v>73000</v>
      </c>
      <c r="I20" s="12">
        <v>28600</v>
      </c>
      <c r="J20" s="13">
        <f t="shared" si="0"/>
        <v>39.178082191780824</v>
      </c>
      <c r="K20" s="12">
        <v>66245</v>
      </c>
      <c r="L20" s="12">
        <f>H20-45388</f>
        <v>27612</v>
      </c>
      <c r="M20" s="12">
        <v>20857</v>
      </c>
      <c r="N20" s="66">
        <f t="shared" si="1"/>
        <v>0.28571232876712327</v>
      </c>
      <c r="O20" s="14">
        <v>99.32</v>
      </c>
      <c r="P20" s="15">
        <v>85.78</v>
      </c>
      <c r="Q20" s="16">
        <v>0.20499999999999999</v>
      </c>
      <c r="R20" s="16">
        <v>0.20499999999999999</v>
      </c>
      <c r="S20" s="12">
        <f t="shared" si="2"/>
        <v>278.01047120418849</v>
      </c>
      <c r="T20" s="12">
        <f t="shared" si="3"/>
        <v>134692.68292682926</v>
      </c>
      <c r="U20" s="17">
        <f t="shared" si="4"/>
        <v>3.0921185244910299</v>
      </c>
      <c r="V20" s="16">
        <v>137</v>
      </c>
      <c r="W20" s="16">
        <f t="shared" si="5"/>
        <v>14600</v>
      </c>
      <c r="X20" s="16">
        <f t="shared" si="6"/>
        <v>106.56934306569343</v>
      </c>
      <c r="Y20" s="18" t="s">
        <v>1536</v>
      </c>
      <c r="Z20" s="10" t="s">
        <v>35</v>
      </c>
      <c r="AA20" s="10" t="s">
        <v>35</v>
      </c>
      <c r="AB20" s="10" t="s">
        <v>1537</v>
      </c>
      <c r="AC20" s="10">
        <v>0</v>
      </c>
      <c r="AD20" s="10">
        <v>1</v>
      </c>
      <c r="AE20" s="10" t="s">
        <v>42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1537</v>
      </c>
      <c r="B21" s="19" t="s">
        <v>1546</v>
      </c>
      <c r="C21" s="19" t="s">
        <v>1547</v>
      </c>
      <c r="D21" s="20">
        <v>45225</v>
      </c>
      <c r="E21" s="21">
        <v>235000</v>
      </c>
      <c r="F21" s="19" t="s">
        <v>32</v>
      </c>
      <c r="G21" s="19" t="s">
        <v>33</v>
      </c>
      <c r="H21" s="21">
        <v>235000</v>
      </c>
      <c r="I21" s="21">
        <v>93800</v>
      </c>
      <c r="J21" s="22">
        <f t="shared" si="0"/>
        <v>39.914893617021278</v>
      </c>
      <c r="K21" s="21">
        <v>230247</v>
      </c>
      <c r="L21" s="21">
        <f>H21-215623</f>
        <v>19377</v>
      </c>
      <c r="M21" s="21">
        <v>14624</v>
      </c>
      <c r="N21" s="67">
        <f t="shared" si="1"/>
        <v>6.2229787234042551E-2</v>
      </c>
      <c r="O21" s="23">
        <v>69.63</v>
      </c>
      <c r="P21" s="24">
        <v>132</v>
      </c>
      <c r="Q21" s="25">
        <v>0.19700000000000001</v>
      </c>
      <c r="R21" s="25">
        <v>0.19700000000000001</v>
      </c>
      <c r="S21" s="21">
        <f t="shared" si="2"/>
        <v>278.28522188711764</v>
      </c>
      <c r="T21" s="21">
        <f t="shared" si="3"/>
        <v>98360.406091370547</v>
      </c>
      <c r="U21" s="26">
        <f t="shared" si="4"/>
        <v>2.2580442169736124</v>
      </c>
      <c r="V21" s="25">
        <v>65</v>
      </c>
      <c r="W21" s="25">
        <f t="shared" si="5"/>
        <v>47000</v>
      </c>
      <c r="X21" s="25">
        <f t="shared" si="6"/>
        <v>723.07692307692309</v>
      </c>
      <c r="Y21" s="27" t="s">
        <v>1536</v>
      </c>
      <c r="Z21" s="19" t="s">
        <v>35</v>
      </c>
      <c r="AA21" s="19" t="s">
        <v>35</v>
      </c>
      <c r="AB21" s="19" t="s">
        <v>1537</v>
      </c>
      <c r="AC21" s="19">
        <v>0</v>
      </c>
      <c r="AD21" s="19">
        <v>1</v>
      </c>
      <c r="AE21" s="19" t="s">
        <v>37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5" t="s">
        <v>1537</v>
      </c>
      <c r="B22" s="19" t="s">
        <v>1604</v>
      </c>
      <c r="C22" s="19" t="s">
        <v>1605</v>
      </c>
      <c r="D22" s="20">
        <v>45447</v>
      </c>
      <c r="E22" s="21">
        <v>210000</v>
      </c>
      <c r="F22" s="19" t="s">
        <v>32</v>
      </c>
      <c r="G22" s="19" t="s">
        <v>33</v>
      </c>
      <c r="H22" s="21">
        <v>210000</v>
      </c>
      <c r="I22" s="21">
        <v>95500</v>
      </c>
      <c r="J22" s="22">
        <f t="shared" si="0"/>
        <v>45.476190476190474</v>
      </c>
      <c r="K22" s="21">
        <v>204863</v>
      </c>
      <c r="L22" s="21">
        <f>H22-193319</f>
        <v>16681</v>
      </c>
      <c r="M22" s="21">
        <v>11544</v>
      </c>
      <c r="N22" s="67">
        <f t="shared" si="1"/>
        <v>5.4971428571428574E-2</v>
      </c>
      <c r="O22" s="23">
        <v>54.97</v>
      </c>
      <c r="P22" s="24">
        <v>139</v>
      </c>
      <c r="Q22" s="25">
        <v>0.16</v>
      </c>
      <c r="R22" s="25">
        <v>0.16</v>
      </c>
      <c r="S22" s="21">
        <f t="shared" si="2"/>
        <v>303.45643078042571</v>
      </c>
      <c r="T22" s="21">
        <f t="shared" si="3"/>
        <v>104256.25</v>
      </c>
      <c r="U22" s="26">
        <f t="shared" si="4"/>
        <v>2.3933941689623506</v>
      </c>
      <c r="V22" s="25">
        <v>50</v>
      </c>
      <c r="W22" s="25">
        <f t="shared" si="5"/>
        <v>42000</v>
      </c>
      <c r="X22" s="25">
        <f t="shared" si="6"/>
        <v>840</v>
      </c>
      <c r="Y22" s="27" t="s">
        <v>1536</v>
      </c>
      <c r="Z22" s="19" t="s">
        <v>35</v>
      </c>
      <c r="AA22" s="19" t="s">
        <v>35</v>
      </c>
      <c r="AB22" s="19" t="s">
        <v>1537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4" t="s">
        <v>1537</v>
      </c>
      <c r="B23" s="10" t="s">
        <v>1548</v>
      </c>
      <c r="C23" s="10" t="s">
        <v>1549</v>
      </c>
      <c r="D23" s="11">
        <v>45019</v>
      </c>
      <c r="E23" s="12">
        <v>185000</v>
      </c>
      <c r="F23" s="10" t="s">
        <v>32</v>
      </c>
      <c r="G23" s="10" t="s">
        <v>33</v>
      </c>
      <c r="H23" s="12">
        <v>185000</v>
      </c>
      <c r="I23" s="12">
        <v>72500</v>
      </c>
      <c r="J23" s="13">
        <f t="shared" si="0"/>
        <v>39.189189189189186</v>
      </c>
      <c r="K23" s="12">
        <v>176083</v>
      </c>
      <c r="L23" s="12">
        <f>H23-164384</f>
        <v>20616</v>
      </c>
      <c r="M23" s="12">
        <v>11699</v>
      </c>
      <c r="N23" s="66">
        <f t="shared" si="1"/>
        <v>6.3237837837837832E-2</v>
      </c>
      <c r="O23" s="14">
        <v>55.71</v>
      </c>
      <c r="P23" s="15">
        <v>132</v>
      </c>
      <c r="Q23" s="16">
        <v>0.158</v>
      </c>
      <c r="R23" s="16">
        <v>0.158</v>
      </c>
      <c r="S23" s="12">
        <f t="shared" si="2"/>
        <v>370.0592353257943</v>
      </c>
      <c r="T23" s="12">
        <f t="shared" si="3"/>
        <v>130481.01265822785</v>
      </c>
      <c r="U23" s="17">
        <f t="shared" si="4"/>
        <v>2.9954318792063326</v>
      </c>
      <c r="V23" s="16">
        <v>52</v>
      </c>
      <c r="W23" s="16">
        <f t="shared" si="5"/>
        <v>37000</v>
      </c>
      <c r="X23" s="16">
        <f t="shared" si="6"/>
        <v>711.53846153846155</v>
      </c>
      <c r="Y23" s="18" t="s">
        <v>1536</v>
      </c>
      <c r="Z23" s="10" t="s">
        <v>35</v>
      </c>
      <c r="AA23" s="10" t="s">
        <v>35</v>
      </c>
      <c r="AB23" s="10" t="s">
        <v>1537</v>
      </c>
      <c r="AC23" s="10">
        <v>0</v>
      </c>
      <c r="AD23" s="10">
        <v>1</v>
      </c>
      <c r="AE23" s="10" t="s">
        <v>42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4" t="s">
        <v>1537</v>
      </c>
      <c r="B24" s="10" t="s">
        <v>1616</v>
      </c>
      <c r="C24" s="10" t="s">
        <v>1617</v>
      </c>
      <c r="D24" s="11">
        <v>45616</v>
      </c>
      <c r="E24" s="12">
        <v>221000</v>
      </c>
      <c r="F24" s="10" t="s">
        <v>32</v>
      </c>
      <c r="G24" s="10" t="s">
        <v>33</v>
      </c>
      <c r="H24" s="12">
        <v>221000</v>
      </c>
      <c r="I24" s="12">
        <v>99200</v>
      </c>
      <c r="J24" s="13">
        <f t="shared" si="0"/>
        <v>44.886877828054303</v>
      </c>
      <c r="K24" s="12">
        <v>211491</v>
      </c>
      <c r="L24" s="12">
        <f>H24-199989</f>
        <v>21011</v>
      </c>
      <c r="M24" s="12">
        <v>11502</v>
      </c>
      <c r="N24" s="66">
        <f t="shared" si="1"/>
        <v>5.2045248868778281E-2</v>
      </c>
      <c r="O24" s="14">
        <v>54.77</v>
      </c>
      <c r="P24" s="15">
        <v>138</v>
      </c>
      <c r="Q24" s="16">
        <v>0.158</v>
      </c>
      <c r="R24" s="16">
        <v>0.158</v>
      </c>
      <c r="S24" s="12">
        <f t="shared" si="2"/>
        <v>383.62242103341242</v>
      </c>
      <c r="T24" s="12">
        <f t="shared" si="3"/>
        <v>132981.01265822785</v>
      </c>
      <c r="U24" s="17">
        <f t="shared" si="4"/>
        <v>3.0528239820529808</v>
      </c>
      <c r="V24" s="16">
        <v>50</v>
      </c>
      <c r="W24" s="16">
        <f t="shared" si="5"/>
        <v>44200</v>
      </c>
      <c r="X24" s="16">
        <f t="shared" si="6"/>
        <v>884</v>
      </c>
      <c r="Y24" s="18" t="s">
        <v>1536</v>
      </c>
      <c r="Z24" s="10" t="s">
        <v>35</v>
      </c>
      <c r="AA24" s="10" t="s">
        <v>35</v>
      </c>
      <c r="AB24" s="10" t="s">
        <v>1537</v>
      </c>
      <c r="AC24" s="10">
        <v>0</v>
      </c>
      <c r="AD24" s="10">
        <v>1</v>
      </c>
      <c r="AE24" s="10" t="s">
        <v>42</v>
      </c>
      <c r="AF24" s="10" t="s">
        <v>35</v>
      </c>
      <c r="AG24" s="10" t="s">
        <v>38</v>
      </c>
      <c r="AH24" s="10" t="s">
        <v>92</v>
      </c>
    </row>
    <row r="25" spans="1:34" x14ac:dyDescent="0.3">
      <c r="A25" s="74" t="s">
        <v>1537</v>
      </c>
      <c r="B25" s="10" t="s">
        <v>1709</v>
      </c>
      <c r="C25" s="10" t="s">
        <v>1710</v>
      </c>
      <c r="D25" s="11">
        <v>45614</v>
      </c>
      <c r="E25" s="12">
        <v>265000</v>
      </c>
      <c r="F25" s="10" t="s">
        <v>32</v>
      </c>
      <c r="G25" s="10" t="s">
        <v>33</v>
      </c>
      <c r="H25" s="12">
        <v>265000</v>
      </c>
      <c r="I25" s="12">
        <v>118300</v>
      </c>
      <c r="J25" s="13">
        <f t="shared" si="0"/>
        <v>44.641509433962263</v>
      </c>
      <c r="K25" s="12">
        <v>251307</v>
      </c>
      <c r="L25" s="12">
        <f>H25-237776</f>
        <v>27224</v>
      </c>
      <c r="M25" s="12">
        <v>13531</v>
      </c>
      <c r="N25" s="66">
        <f t="shared" si="1"/>
        <v>5.1060377358490568E-2</v>
      </c>
      <c r="O25" s="14">
        <v>64.430000000000007</v>
      </c>
      <c r="P25" s="15">
        <v>116.57</v>
      </c>
      <c r="Q25" s="16">
        <v>0.17100000000000001</v>
      </c>
      <c r="R25" s="16">
        <v>0.17100000000000001</v>
      </c>
      <c r="S25" s="12">
        <f t="shared" si="2"/>
        <v>422.53608567437527</v>
      </c>
      <c r="T25" s="12">
        <f t="shared" si="3"/>
        <v>159204.67836257309</v>
      </c>
      <c r="U25" s="17">
        <f t="shared" si="4"/>
        <v>3.6548365097009432</v>
      </c>
      <c r="V25" s="16">
        <v>64</v>
      </c>
      <c r="W25" s="16">
        <f t="shared" si="5"/>
        <v>53000</v>
      </c>
      <c r="X25" s="16">
        <f t="shared" si="6"/>
        <v>828.125</v>
      </c>
      <c r="Y25" s="18" t="s">
        <v>1536</v>
      </c>
      <c r="Z25" s="10" t="s">
        <v>35</v>
      </c>
      <c r="AA25" s="10" t="s">
        <v>35</v>
      </c>
      <c r="AB25" s="10" t="s">
        <v>1537</v>
      </c>
      <c r="AC25" s="10">
        <v>0</v>
      </c>
      <c r="AD25" s="10">
        <v>1</v>
      </c>
      <c r="AE25" s="10" t="s">
        <v>37</v>
      </c>
      <c r="AF25" s="10" t="s">
        <v>35</v>
      </c>
      <c r="AG25" s="10" t="s">
        <v>38</v>
      </c>
      <c r="AH25" s="10" t="s">
        <v>92</v>
      </c>
    </row>
    <row r="26" spans="1:34" x14ac:dyDescent="0.3">
      <c r="A26" s="74" t="s">
        <v>1537</v>
      </c>
      <c r="B26" s="10" t="s">
        <v>1707</v>
      </c>
      <c r="C26" s="10" t="s">
        <v>1708</v>
      </c>
      <c r="D26" s="11">
        <v>45618</v>
      </c>
      <c r="E26" s="12">
        <v>240000</v>
      </c>
      <c r="F26" s="10" t="s">
        <v>32</v>
      </c>
      <c r="G26" s="10" t="s">
        <v>33</v>
      </c>
      <c r="H26" s="12">
        <v>240000</v>
      </c>
      <c r="I26" s="12">
        <v>107600</v>
      </c>
      <c r="J26" s="13">
        <f t="shared" si="0"/>
        <v>44.833333333333329</v>
      </c>
      <c r="K26" s="12">
        <v>225850</v>
      </c>
      <c r="L26" s="12">
        <f>H26-212979</f>
        <v>27021</v>
      </c>
      <c r="M26" s="12">
        <v>12871</v>
      </c>
      <c r="N26" s="66">
        <f t="shared" si="1"/>
        <v>5.3629166666666665E-2</v>
      </c>
      <c r="O26" s="14">
        <v>61.29</v>
      </c>
      <c r="P26" s="15">
        <v>120</v>
      </c>
      <c r="Q26" s="16">
        <v>0.16500000000000001</v>
      </c>
      <c r="R26" s="16">
        <v>0.16500000000000001</v>
      </c>
      <c r="S26" s="12">
        <f t="shared" si="2"/>
        <v>440.87126774351447</v>
      </c>
      <c r="T26" s="12">
        <f t="shared" si="3"/>
        <v>163763.63636363635</v>
      </c>
      <c r="U26" s="17">
        <f t="shared" si="4"/>
        <v>3.7594957842891725</v>
      </c>
      <c r="V26" s="16">
        <v>60</v>
      </c>
      <c r="W26" s="16">
        <f t="shared" si="5"/>
        <v>48000</v>
      </c>
      <c r="X26" s="16">
        <f t="shared" si="6"/>
        <v>800</v>
      </c>
      <c r="Y26" s="18" t="s">
        <v>1536</v>
      </c>
      <c r="Z26" s="10" t="s">
        <v>35</v>
      </c>
      <c r="AA26" s="10" t="s">
        <v>35</v>
      </c>
      <c r="AB26" s="10" t="s">
        <v>1537</v>
      </c>
      <c r="AC26" s="10">
        <v>0</v>
      </c>
      <c r="AD26" s="10">
        <v>1</v>
      </c>
      <c r="AE26" s="10" t="s">
        <v>42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4" t="s">
        <v>1537</v>
      </c>
      <c r="B27" s="10" t="s">
        <v>1558</v>
      </c>
      <c r="C27" s="10" t="s">
        <v>1559</v>
      </c>
      <c r="D27" s="11">
        <v>45453</v>
      </c>
      <c r="E27" s="12">
        <v>255000</v>
      </c>
      <c r="F27" s="10" t="s">
        <v>32</v>
      </c>
      <c r="G27" s="10" t="s">
        <v>33</v>
      </c>
      <c r="H27" s="12">
        <v>255000</v>
      </c>
      <c r="I27" s="12">
        <v>113100</v>
      </c>
      <c r="J27" s="13">
        <f t="shared" si="0"/>
        <v>44.352941176470587</v>
      </c>
      <c r="K27" s="12">
        <v>234495</v>
      </c>
      <c r="L27" s="12">
        <f>H27-221125</f>
        <v>33875</v>
      </c>
      <c r="M27" s="12">
        <v>13370</v>
      </c>
      <c r="N27" s="66">
        <f t="shared" si="1"/>
        <v>5.2431372549019604E-2</v>
      </c>
      <c r="O27" s="14">
        <v>63.66</v>
      </c>
      <c r="P27" s="15">
        <v>129.49</v>
      </c>
      <c r="Q27" s="16">
        <v>0.17799999999999999</v>
      </c>
      <c r="R27" s="16">
        <v>0.17799999999999999</v>
      </c>
      <c r="S27" s="12">
        <f t="shared" si="2"/>
        <v>532.12378259503612</v>
      </c>
      <c r="T27" s="12">
        <f t="shared" si="3"/>
        <v>190308.98876404495</v>
      </c>
      <c r="U27" s="17">
        <f t="shared" si="4"/>
        <v>4.3688932223150818</v>
      </c>
      <c r="V27" s="16">
        <v>60</v>
      </c>
      <c r="W27" s="16">
        <f t="shared" si="5"/>
        <v>51000</v>
      </c>
      <c r="X27" s="16">
        <f t="shared" si="6"/>
        <v>850</v>
      </c>
      <c r="Y27" s="18" t="s">
        <v>1536</v>
      </c>
      <c r="Z27" s="10" t="s">
        <v>35</v>
      </c>
      <c r="AA27" s="10" t="s">
        <v>35</v>
      </c>
      <c r="AB27" s="10" t="s">
        <v>1537</v>
      </c>
      <c r="AC27" s="10">
        <v>0</v>
      </c>
      <c r="AD27" s="10">
        <v>0</v>
      </c>
      <c r="AE27" s="10" t="s">
        <v>37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4" t="s">
        <v>1537</v>
      </c>
      <c r="B28" s="10" t="s">
        <v>1693</v>
      </c>
      <c r="C28" s="10" t="s">
        <v>1694</v>
      </c>
      <c r="D28" s="11">
        <v>45399</v>
      </c>
      <c r="E28" s="12">
        <v>240000</v>
      </c>
      <c r="F28" s="10" t="s">
        <v>32</v>
      </c>
      <c r="G28" s="10" t="s">
        <v>33</v>
      </c>
      <c r="H28" s="12">
        <v>240000</v>
      </c>
      <c r="I28" s="12">
        <v>102000</v>
      </c>
      <c r="J28" s="13">
        <f t="shared" si="0"/>
        <v>42.5</v>
      </c>
      <c r="K28" s="12">
        <v>212813</v>
      </c>
      <c r="L28" s="12">
        <f>H28-197434</f>
        <v>42566</v>
      </c>
      <c r="M28" s="12">
        <v>15379</v>
      </c>
      <c r="N28" s="66">
        <f t="shared" si="1"/>
        <v>6.4079166666666673E-2</v>
      </c>
      <c r="O28" s="14">
        <v>73.23</v>
      </c>
      <c r="P28" s="15">
        <v>125.85</v>
      </c>
      <c r="Q28" s="16">
        <v>0.20200000000000001</v>
      </c>
      <c r="R28" s="16">
        <v>0.20200000000000001</v>
      </c>
      <c r="S28" s="12">
        <f t="shared" si="2"/>
        <v>581.26450908097775</v>
      </c>
      <c r="T28" s="12">
        <f t="shared" si="3"/>
        <v>210722.77227722772</v>
      </c>
      <c r="U28" s="17">
        <f t="shared" si="4"/>
        <v>4.8375292074662015</v>
      </c>
      <c r="V28" s="16">
        <v>70</v>
      </c>
      <c r="W28" s="16">
        <f t="shared" si="5"/>
        <v>48000</v>
      </c>
      <c r="X28" s="16">
        <f t="shared" si="6"/>
        <v>685.71428571428567</v>
      </c>
      <c r="Y28" s="18" t="s">
        <v>1536</v>
      </c>
      <c r="Z28" s="10" t="s">
        <v>35</v>
      </c>
      <c r="AA28" s="10" t="s">
        <v>35</v>
      </c>
      <c r="AB28" s="10" t="s">
        <v>1537</v>
      </c>
      <c r="AC28" s="10">
        <v>0</v>
      </c>
      <c r="AD28" s="10">
        <v>1</v>
      </c>
      <c r="AE28" s="10" t="s">
        <v>37</v>
      </c>
      <c r="AF28" s="10" t="s">
        <v>43</v>
      </c>
      <c r="AG28" s="10" t="s">
        <v>38</v>
      </c>
      <c r="AH28" s="10" t="s">
        <v>92</v>
      </c>
    </row>
    <row r="29" spans="1:34" x14ac:dyDescent="0.3">
      <c r="A29" s="74" t="s">
        <v>1537</v>
      </c>
      <c r="B29" s="10" t="s">
        <v>1622</v>
      </c>
      <c r="C29" s="10" t="s">
        <v>1623</v>
      </c>
      <c r="D29" s="11">
        <v>45699</v>
      </c>
      <c r="E29" s="12">
        <v>230000</v>
      </c>
      <c r="F29" s="10" t="s">
        <v>32</v>
      </c>
      <c r="G29" s="10" t="s">
        <v>33</v>
      </c>
      <c r="H29" s="12">
        <v>230000</v>
      </c>
      <c r="I29" s="12">
        <v>94400</v>
      </c>
      <c r="J29" s="13">
        <f t="shared" si="0"/>
        <v>41.043478260869563</v>
      </c>
      <c r="K29" s="12">
        <v>201354</v>
      </c>
      <c r="L29" s="12">
        <f>H29-185577</f>
        <v>44423</v>
      </c>
      <c r="M29" s="12">
        <v>15777</v>
      </c>
      <c r="N29" s="66">
        <f t="shared" si="1"/>
        <v>6.8595652173913044E-2</v>
      </c>
      <c r="O29" s="14">
        <v>75.12</v>
      </c>
      <c r="P29" s="15">
        <v>100</v>
      </c>
      <c r="Q29" s="16">
        <v>0.184</v>
      </c>
      <c r="R29" s="16">
        <v>0.184</v>
      </c>
      <c r="S29" s="12">
        <f t="shared" si="2"/>
        <v>591.36048988285404</v>
      </c>
      <c r="T29" s="12">
        <f t="shared" si="3"/>
        <v>241429.34782608697</v>
      </c>
      <c r="U29" s="17">
        <f t="shared" si="4"/>
        <v>5.5424551842536038</v>
      </c>
      <c r="V29" s="16">
        <v>81</v>
      </c>
      <c r="W29" s="16">
        <f t="shared" si="5"/>
        <v>46000</v>
      </c>
      <c r="X29" s="16">
        <f t="shared" si="6"/>
        <v>567.90123456790127</v>
      </c>
      <c r="Y29" s="18" t="s">
        <v>1536</v>
      </c>
      <c r="Z29" s="10" t="s">
        <v>35</v>
      </c>
      <c r="AA29" s="10" t="s">
        <v>35</v>
      </c>
      <c r="AB29" s="10" t="s">
        <v>1537</v>
      </c>
      <c r="AC29" s="10">
        <v>0</v>
      </c>
      <c r="AD29" s="10">
        <v>1</v>
      </c>
      <c r="AE29" s="10" t="s">
        <v>205</v>
      </c>
      <c r="AF29" s="10" t="s">
        <v>35</v>
      </c>
      <c r="AG29" s="10" t="s">
        <v>38</v>
      </c>
      <c r="AH29" s="10" t="s">
        <v>92</v>
      </c>
    </row>
    <row r="30" spans="1:34" x14ac:dyDescent="0.3">
      <c r="A30" s="75" t="s">
        <v>1537</v>
      </c>
      <c r="B30" s="19" t="s">
        <v>1664</v>
      </c>
      <c r="C30" s="19" t="s">
        <v>1665</v>
      </c>
      <c r="D30" s="20">
        <v>45534</v>
      </c>
      <c r="E30" s="21">
        <v>215000</v>
      </c>
      <c r="F30" s="19" t="s">
        <v>32</v>
      </c>
      <c r="G30" s="19" t="s">
        <v>33</v>
      </c>
      <c r="H30" s="21">
        <v>215000</v>
      </c>
      <c r="I30" s="21">
        <v>90600</v>
      </c>
      <c r="J30" s="22">
        <f t="shared" si="0"/>
        <v>42.139534883720927</v>
      </c>
      <c r="K30" s="21">
        <v>194091</v>
      </c>
      <c r="L30" s="21">
        <f>H30-182961</f>
        <v>32039</v>
      </c>
      <c r="M30" s="21">
        <v>11130</v>
      </c>
      <c r="N30" s="67">
        <f t="shared" si="1"/>
        <v>5.1767441860465113E-2</v>
      </c>
      <c r="O30" s="23">
        <v>53</v>
      </c>
      <c r="P30" s="24">
        <v>115</v>
      </c>
      <c r="Q30" s="25">
        <v>0.14000000000000001</v>
      </c>
      <c r="R30" s="25">
        <v>0.14000000000000001</v>
      </c>
      <c r="S30" s="21">
        <f t="shared" si="2"/>
        <v>604.5094339622641</v>
      </c>
      <c r="T30" s="21">
        <f t="shared" si="3"/>
        <v>228849.99999999997</v>
      </c>
      <c r="U30" s="26">
        <f t="shared" si="4"/>
        <v>5.2536730945821848</v>
      </c>
      <c r="V30" s="25">
        <v>53</v>
      </c>
      <c r="W30" s="25">
        <f t="shared" si="5"/>
        <v>43000</v>
      </c>
      <c r="X30" s="25">
        <f t="shared" si="6"/>
        <v>811.32075471698113</v>
      </c>
      <c r="Y30" s="27" t="s">
        <v>1536</v>
      </c>
      <c r="Z30" s="19" t="s">
        <v>35</v>
      </c>
      <c r="AA30" s="19" t="s">
        <v>35</v>
      </c>
      <c r="AB30" s="19" t="s">
        <v>1537</v>
      </c>
      <c r="AC30" s="19">
        <v>0</v>
      </c>
      <c r="AD30" s="19">
        <v>1</v>
      </c>
      <c r="AE30" s="19" t="s">
        <v>412</v>
      </c>
      <c r="AF30" s="19" t="s">
        <v>43</v>
      </c>
      <c r="AG30" s="19" t="s">
        <v>38</v>
      </c>
      <c r="AH30" s="19" t="s">
        <v>92</v>
      </c>
    </row>
    <row r="31" spans="1:34" x14ac:dyDescent="0.3">
      <c r="A31" s="74" t="s">
        <v>1537</v>
      </c>
      <c r="B31" s="10" t="s">
        <v>1662</v>
      </c>
      <c r="C31" s="10" t="s">
        <v>1663</v>
      </c>
      <c r="D31" s="11">
        <v>45293</v>
      </c>
      <c r="E31" s="12">
        <v>206000</v>
      </c>
      <c r="F31" s="10" t="s">
        <v>32</v>
      </c>
      <c r="G31" s="10" t="s">
        <v>33</v>
      </c>
      <c r="H31" s="12">
        <v>206000</v>
      </c>
      <c r="I31" s="12">
        <v>75900</v>
      </c>
      <c r="J31" s="13">
        <f t="shared" ref="J31:J49" si="7">I31/H31*100</f>
        <v>36.844660194174757</v>
      </c>
      <c r="K31" s="12">
        <v>184646</v>
      </c>
      <c r="L31" s="12">
        <f>H31-173516</f>
        <v>32484</v>
      </c>
      <c r="M31" s="12">
        <v>11130</v>
      </c>
      <c r="N31" s="66">
        <f t="shared" ref="N31:N49" si="8">M31/E31</f>
        <v>5.4029126213592231E-2</v>
      </c>
      <c r="O31" s="14">
        <v>53</v>
      </c>
      <c r="P31" s="15">
        <v>115</v>
      </c>
      <c r="Q31" s="16">
        <v>0.14000000000000001</v>
      </c>
      <c r="R31" s="16">
        <v>0.14000000000000001</v>
      </c>
      <c r="S31" s="12">
        <f t="shared" ref="S31:S49" si="9">L31/O31</f>
        <v>612.90566037735846</v>
      </c>
      <c r="T31" s="12">
        <f t="shared" ref="T31:T49" si="10">L31/Q31</f>
        <v>232028.57142857142</v>
      </c>
      <c r="U31" s="17">
        <f t="shared" ref="U31:U49" si="11">L31/Q31/43560</f>
        <v>5.326643053915781</v>
      </c>
      <c r="V31" s="16">
        <v>53</v>
      </c>
      <c r="W31" s="16">
        <f t="shared" ref="W31:W49" si="12">0.2*E31</f>
        <v>41200</v>
      </c>
      <c r="X31" s="16">
        <f t="shared" ref="X31:X49" si="13">W31/V31</f>
        <v>777.35849056603774</v>
      </c>
      <c r="Y31" s="18" t="s">
        <v>1536</v>
      </c>
      <c r="Z31" s="10" t="s">
        <v>35</v>
      </c>
      <c r="AA31" s="10" t="s">
        <v>35</v>
      </c>
      <c r="AB31" s="10" t="s">
        <v>1537</v>
      </c>
      <c r="AC31" s="10">
        <v>0</v>
      </c>
      <c r="AD31" s="10">
        <v>1</v>
      </c>
      <c r="AE31" s="10" t="s">
        <v>42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4" t="s">
        <v>1537</v>
      </c>
      <c r="B32" s="10" t="s">
        <v>1624</v>
      </c>
      <c r="C32" s="10" t="s">
        <v>1625</v>
      </c>
      <c r="D32" s="11">
        <v>45415</v>
      </c>
      <c r="E32" s="12">
        <v>265000</v>
      </c>
      <c r="F32" s="10" t="s">
        <v>32</v>
      </c>
      <c r="G32" s="10" t="s">
        <v>33</v>
      </c>
      <c r="H32" s="12">
        <v>265000</v>
      </c>
      <c r="I32" s="12">
        <v>111100</v>
      </c>
      <c r="J32" s="13">
        <f t="shared" si="7"/>
        <v>41.924528301886795</v>
      </c>
      <c r="K32" s="12">
        <v>238303</v>
      </c>
      <c r="L32" s="12">
        <f>H32-225158</f>
        <v>39842</v>
      </c>
      <c r="M32" s="12">
        <v>13145</v>
      </c>
      <c r="N32" s="66">
        <f t="shared" si="8"/>
        <v>4.9603773584905662E-2</v>
      </c>
      <c r="O32" s="14">
        <v>62.59</v>
      </c>
      <c r="P32" s="15">
        <v>117.21</v>
      </c>
      <c r="Q32" s="16">
        <v>0.16700000000000001</v>
      </c>
      <c r="R32" s="16">
        <v>0.16700000000000001</v>
      </c>
      <c r="S32" s="12">
        <f t="shared" si="9"/>
        <v>636.55536028119502</v>
      </c>
      <c r="T32" s="12">
        <f t="shared" si="10"/>
        <v>238574.85029940118</v>
      </c>
      <c r="U32" s="17">
        <f t="shared" si="11"/>
        <v>5.4769249380027816</v>
      </c>
      <c r="V32" s="16">
        <v>62</v>
      </c>
      <c r="W32" s="16">
        <f t="shared" si="12"/>
        <v>53000</v>
      </c>
      <c r="X32" s="16">
        <f t="shared" si="13"/>
        <v>854.83870967741939</v>
      </c>
      <c r="Y32" s="18" t="s">
        <v>1536</v>
      </c>
      <c r="Z32" s="10" t="s">
        <v>35</v>
      </c>
      <c r="AA32" s="10" t="s">
        <v>35</v>
      </c>
      <c r="AB32" s="10" t="s">
        <v>1537</v>
      </c>
      <c r="AC32" s="10">
        <v>0</v>
      </c>
      <c r="AD32" s="10">
        <v>1</v>
      </c>
      <c r="AE32" s="10" t="s">
        <v>42</v>
      </c>
      <c r="AF32" s="10" t="s">
        <v>43</v>
      </c>
      <c r="AG32" s="10" t="s">
        <v>38</v>
      </c>
      <c r="AH32" s="10" t="s">
        <v>92</v>
      </c>
    </row>
    <row r="33" spans="1:34" x14ac:dyDescent="0.3">
      <c r="A33" s="74" t="s">
        <v>1537</v>
      </c>
      <c r="B33" s="10" t="s">
        <v>1614</v>
      </c>
      <c r="C33" s="10" t="s">
        <v>1615</v>
      </c>
      <c r="D33" s="11">
        <v>45628</v>
      </c>
      <c r="E33" s="12">
        <v>240000</v>
      </c>
      <c r="F33" s="10" t="s">
        <v>32</v>
      </c>
      <c r="G33" s="10" t="s">
        <v>33</v>
      </c>
      <c r="H33" s="12">
        <v>240000</v>
      </c>
      <c r="I33" s="12">
        <v>99600</v>
      </c>
      <c r="J33" s="13">
        <f t="shared" si="7"/>
        <v>41.5</v>
      </c>
      <c r="K33" s="12">
        <v>213096</v>
      </c>
      <c r="L33" s="12">
        <f>H33-200125</f>
        <v>39875</v>
      </c>
      <c r="M33" s="12">
        <v>12971</v>
      </c>
      <c r="N33" s="66">
        <f t="shared" si="8"/>
        <v>5.4045833333333335E-2</v>
      </c>
      <c r="O33" s="14">
        <v>61.76</v>
      </c>
      <c r="P33" s="15">
        <v>134.22</v>
      </c>
      <c r="Q33" s="16">
        <v>0.17899999999999999</v>
      </c>
      <c r="R33" s="16">
        <v>0.17899999999999999</v>
      </c>
      <c r="S33" s="12">
        <f t="shared" si="9"/>
        <v>645.64443005181352</v>
      </c>
      <c r="T33" s="12">
        <f t="shared" si="10"/>
        <v>222765.36312849162</v>
      </c>
      <c r="U33" s="17">
        <f t="shared" si="11"/>
        <v>5.1139890525365388</v>
      </c>
      <c r="V33" s="16">
        <v>55.21</v>
      </c>
      <c r="W33" s="16">
        <f t="shared" si="12"/>
        <v>48000</v>
      </c>
      <c r="X33" s="16">
        <f t="shared" si="13"/>
        <v>869.40771599347943</v>
      </c>
      <c r="Y33" s="18" t="s">
        <v>1536</v>
      </c>
      <c r="Z33" s="10" t="s">
        <v>35</v>
      </c>
      <c r="AA33" s="10" t="s">
        <v>35</v>
      </c>
      <c r="AB33" s="10" t="s">
        <v>1537</v>
      </c>
      <c r="AC33" s="10">
        <v>0</v>
      </c>
      <c r="AD33" s="10">
        <v>1</v>
      </c>
      <c r="AE33" s="10" t="s">
        <v>42</v>
      </c>
      <c r="AF33" s="10" t="s">
        <v>35</v>
      </c>
      <c r="AG33" s="10" t="s">
        <v>38</v>
      </c>
      <c r="AH33" s="10" t="s">
        <v>92</v>
      </c>
    </row>
    <row r="34" spans="1:34" x14ac:dyDescent="0.3">
      <c r="A34" s="75" t="s">
        <v>1537</v>
      </c>
      <c r="B34" s="19" t="s">
        <v>1598</v>
      </c>
      <c r="C34" s="19" t="s">
        <v>1599</v>
      </c>
      <c r="D34" s="20">
        <v>45580</v>
      </c>
      <c r="E34" s="21">
        <v>224500</v>
      </c>
      <c r="F34" s="19" t="s">
        <v>32</v>
      </c>
      <c r="G34" s="19" t="s">
        <v>33</v>
      </c>
      <c r="H34" s="21">
        <v>224500</v>
      </c>
      <c r="I34" s="21">
        <v>90500</v>
      </c>
      <c r="J34" s="22">
        <f t="shared" si="7"/>
        <v>40.311804008908688</v>
      </c>
      <c r="K34" s="21">
        <v>193339</v>
      </c>
      <c r="L34" s="21">
        <f>H34-178585</f>
        <v>45915</v>
      </c>
      <c r="M34" s="21">
        <v>14754</v>
      </c>
      <c r="N34" s="67">
        <f t="shared" si="8"/>
        <v>6.5719376391982179E-2</v>
      </c>
      <c r="O34" s="23">
        <v>70.25</v>
      </c>
      <c r="P34" s="24">
        <v>204.22</v>
      </c>
      <c r="Q34" s="25">
        <v>0.25</v>
      </c>
      <c r="R34" s="25">
        <v>0.25</v>
      </c>
      <c r="S34" s="21">
        <f t="shared" si="9"/>
        <v>653.59430604982208</v>
      </c>
      <c r="T34" s="21">
        <f t="shared" si="10"/>
        <v>183660</v>
      </c>
      <c r="U34" s="26">
        <f t="shared" si="11"/>
        <v>4.2162534435261705</v>
      </c>
      <c r="V34" s="25">
        <v>51.68</v>
      </c>
      <c r="W34" s="25">
        <f t="shared" si="12"/>
        <v>44900</v>
      </c>
      <c r="X34" s="25">
        <f t="shared" si="13"/>
        <v>868.80804953560369</v>
      </c>
      <c r="Y34" s="27" t="s">
        <v>1536</v>
      </c>
      <c r="Z34" s="19" t="s">
        <v>35</v>
      </c>
      <c r="AA34" s="19" t="s">
        <v>35</v>
      </c>
      <c r="AB34" s="19" t="s">
        <v>1537</v>
      </c>
      <c r="AC34" s="19">
        <v>0</v>
      </c>
      <c r="AD34" s="19">
        <v>1</v>
      </c>
      <c r="AE34" s="19" t="s">
        <v>42</v>
      </c>
      <c r="AF34" s="19" t="s">
        <v>35</v>
      </c>
      <c r="AG34" s="19" t="s">
        <v>38</v>
      </c>
      <c r="AH34" s="19" t="s">
        <v>92</v>
      </c>
    </row>
    <row r="35" spans="1:34" x14ac:dyDescent="0.3">
      <c r="A35" s="75" t="s">
        <v>1537</v>
      </c>
      <c r="B35" s="19" t="s">
        <v>1626</v>
      </c>
      <c r="C35" s="19" t="s">
        <v>1627</v>
      </c>
      <c r="D35" s="20">
        <v>45713</v>
      </c>
      <c r="E35" s="21">
        <v>269000</v>
      </c>
      <c r="F35" s="19" t="s">
        <v>32</v>
      </c>
      <c r="G35" s="19" t="s">
        <v>33</v>
      </c>
      <c r="H35" s="21">
        <v>269000</v>
      </c>
      <c r="I35" s="21">
        <v>109100</v>
      </c>
      <c r="J35" s="22">
        <f t="shared" si="7"/>
        <v>40.557620817843862</v>
      </c>
      <c r="K35" s="21">
        <v>235987</v>
      </c>
      <c r="L35" s="21">
        <f>H35-220361</f>
        <v>48639</v>
      </c>
      <c r="M35" s="21">
        <v>15626</v>
      </c>
      <c r="N35" s="67">
        <f t="shared" si="8"/>
        <v>5.8089219330855021E-2</v>
      </c>
      <c r="O35" s="23">
        <v>74.400000000000006</v>
      </c>
      <c r="P35" s="24">
        <v>117.05</v>
      </c>
      <c r="Q35" s="25">
        <v>0.17499999999999999</v>
      </c>
      <c r="R35" s="25">
        <v>0.17499999999999999</v>
      </c>
      <c r="S35" s="21">
        <f t="shared" si="9"/>
        <v>653.75</v>
      </c>
      <c r="T35" s="21">
        <f t="shared" si="10"/>
        <v>277937.1428571429</v>
      </c>
      <c r="U35" s="26">
        <f t="shared" si="11"/>
        <v>6.3805588351042903</v>
      </c>
      <c r="V35" s="25">
        <v>91.13</v>
      </c>
      <c r="W35" s="25">
        <f t="shared" si="12"/>
        <v>53800</v>
      </c>
      <c r="X35" s="25">
        <f t="shared" si="13"/>
        <v>590.36541204872162</v>
      </c>
      <c r="Y35" s="27" t="s">
        <v>1536</v>
      </c>
      <c r="Z35" s="19" t="s">
        <v>35</v>
      </c>
      <c r="AA35" s="19" t="s">
        <v>35</v>
      </c>
      <c r="AB35" s="19" t="s">
        <v>1537</v>
      </c>
      <c r="AC35" s="19">
        <v>0</v>
      </c>
      <c r="AD35" s="19">
        <v>1</v>
      </c>
      <c r="AE35" s="19" t="s">
        <v>1628</v>
      </c>
      <c r="AF35" s="19" t="s">
        <v>35</v>
      </c>
      <c r="AG35" s="19" t="s">
        <v>38</v>
      </c>
      <c r="AH35" s="19" t="s">
        <v>92</v>
      </c>
    </row>
    <row r="36" spans="1:34" x14ac:dyDescent="0.3">
      <c r="A36" s="74" t="s">
        <v>1537</v>
      </c>
      <c r="B36" s="10" t="s">
        <v>1546</v>
      </c>
      <c r="C36" s="10" t="s">
        <v>1547</v>
      </c>
      <c r="D36" s="11">
        <v>45734</v>
      </c>
      <c r="E36" s="12">
        <v>262000</v>
      </c>
      <c r="F36" s="10" t="s">
        <v>32</v>
      </c>
      <c r="G36" s="10" t="s">
        <v>33</v>
      </c>
      <c r="H36" s="12">
        <v>262000</v>
      </c>
      <c r="I36" s="12">
        <v>106400</v>
      </c>
      <c r="J36" s="13">
        <f t="shared" si="7"/>
        <v>40.610687022900763</v>
      </c>
      <c r="K36" s="12">
        <v>230247</v>
      </c>
      <c r="L36" s="12">
        <f>H36-215623</f>
        <v>46377</v>
      </c>
      <c r="M36" s="12">
        <v>14624</v>
      </c>
      <c r="N36" s="66">
        <f t="shared" si="8"/>
        <v>5.5816793893129768E-2</v>
      </c>
      <c r="O36" s="14">
        <v>69.63</v>
      </c>
      <c r="P36" s="15">
        <v>132</v>
      </c>
      <c r="Q36" s="16">
        <v>0.19700000000000001</v>
      </c>
      <c r="R36" s="16">
        <v>0.19700000000000001</v>
      </c>
      <c r="S36" s="12">
        <f t="shared" si="9"/>
        <v>666.04911676001723</v>
      </c>
      <c r="T36" s="12">
        <f t="shared" si="10"/>
        <v>235416.24365482232</v>
      </c>
      <c r="U36" s="17">
        <f t="shared" si="11"/>
        <v>5.4044133070436713</v>
      </c>
      <c r="V36" s="16">
        <v>65</v>
      </c>
      <c r="W36" s="16">
        <f t="shared" si="12"/>
        <v>52400</v>
      </c>
      <c r="X36" s="16">
        <f t="shared" si="13"/>
        <v>806.15384615384619</v>
      </c>
      <c r="Y36" s="18" t="s">
        <v>1536</v>
      </c>
      <c r="Z36" s="10" t="s">
        <v>35</v>
      </c>
      <c r="AA36" s="10" t="s">
        <v>35</v>
      </c>
      <c r="AB36" s="10" t="s">
        <v>1537</v>
      </c>
      <c r="AC36" s="10">
        <v>0</v>
      </c>
      <c r="AD36" s="10">
        <v>1</v>
      </c>
      <c r="AE36" s="10" t="s">
        <v>37</v>
      </c>
      <c r="AF36" s="10" t="s">
        <v>35</v>
      </c>
      <c r="AG36" s="10" t="s">
        <v>38</v>
      </c>
      <c r="AH36" s="10" t="s">
        <v>92</v>
      </c>
    </row>
    <row r="37" spans="1:34" x14ac:dyDescent="0.3">
      <c r="A37" s="75" t="s">
        <v>1537</v>
      </c>
      <c r="B37" s="19" t="s">
        <v>1620</v>
      </c>
      <c r="C37" s="19" t="s">
        <v>1621</v>
      </c>
      <c r="D37" s="20">
        <v>45455</v>
      </c>
      <c r="E37" s="21">
        <v>208000</v>
      </c>
      <c r="F37" s="19" t="s">
        <v>32</v>
      </c>
      <c r="G37" s="19" t="s">
        <v>33</v>
      </c>
      <c r="H37" s="21">
        <v>208000</v>
      </c>
      <c r="I37" s="21">
        <v>82300</v>
      </c>
      <c r="J37" s="22">
        <f t="shared" si="7"/>
        <v>39.567307692307693</v>
      </c>
      <c r="K37" s="21">
        <v>176655</v>
      </c>
      <c r="L37" s="21">
        <f>H37-162556</f>
        <v>45444</v>
      </c>
      <c r="M37" s="21">
        <v>14099</v>
      </c>
      <c r="N37" s="67">
        <f t="shared" si="8"/>
        <v>6.7783653846153841E-2</v>
      </c>
      <c r="O37" s="23">
        <v>67.14</v>
      </c>
      <c r="P37" s="24">
        <v>100</v>
      </c>
      <c r="Q37" s="25">
        <v>0.16500000000000001</v>
      </c>
      <c r="R37" s="25">
        <v>0.16500000000000001</v>
      </c>
      <c r="S37" s="21">
        <f t="shared" si="9"/>
        <v>676.85433422698839</v>
      </c>
      <c r="T37" s="21">
        <f t="shared" si="10"/>
        <v>275418.18181818182</v>
      </c>
      <c r="U37" s="26">
        <f t="shared" si="11"/>
        <v>6.3227314466983886</v>
      </c>
      <c r="V37" s="25">
        <v>72</v>
      </c>
      <c r="W37" s="25">
        <f t="shared" si="12"/>
        <v>41600</v>
      </c>
      <c r="X37" s="25">
        <f t="shared" si="13"/>
        <v>577.77777777777783</v>
      </c>
      <c r="Y37" s="27" t="s">
        <v>1536</v>
      </c>
      <c r="Z37" s="19" t="s">
        <v>35</v>
      </c>
      <c r="AA37" s="19" t="s">
        <v>35</v>
      </c>
      <c r="AB37" s="19" t="s">
        <v>1537</v>
      </c>
      <c r="AC37" s="19">
        <v>0</v>
      </c>
      <c r="AD37" s="19">
        <v>1</v>
      </c>
      <c r="AE37" s="19" t="s">
        <v>42</v>
      </c>
      <c r="AF37" s="19" t="s">
        <v>43</v>
      </c>
      <c r="AG37" s="19" t="s">
        <v>38</v>
      </c>
      <c r="AH37" s="19" t="s">
        <v>92</v>
      </c>
    </row>
    <row r="38" spans="1:34" x14ac:dyDescent="0.3">
      <c r="A38" s="75" t="s">
        <v>1537</v>
      </c>
      <c r="B38" s="19" t="s">
        <v>1705</v>
      </c>
      <c r="C38" s="19" t="s">
        <v>1706</v>
      </c>
      <c r="D38" s="20">
        <v>45533</v>
      </c>
      <c r="E38" s="21">
        <v>255000</v>
      </c>
      <c r="F38" s="19" t="s">
        <v>32</v>
      </c>
      <c r="G38" s="19" t="s">
        <v>33</v>
      </c>
      <c r="H38" s="21">
        <v>255000</v>
      </c>
      <c r="I38" s="21">
        <v>107800</v>
      </c>
      <c r="J38" s="22">
        <f t="shared" si="7"/>
        <v>42.274509803921568</v>
      </c>
      <c r="K38" s="21">
        <v>226267</v>
      </c>
      <c r="L38" s="21">
        <f>H38-213396</f>
        <v>41604</v>
      </c>
      <c r="M38" s="21">
        <v>12871</v>
      </c>
      <c r="N38" s="67">
        <f t="shared" si="8"/>
        <v>5.0474509803921569E-2</v>
      </c>
      <c r="O38" s="23">
        <v>61.29</v>
      </c>
      <c r="P38" s="24">
        <v>120</v>
      </c>
      <c r="Q38" s="25">
        <v>0.16500000000000001</v>
      </c>
      <c r="R38" s="25">
        <v>0.16500000000000001</v>
      </c>
      <c r="S38" s="21">
        <f t="shared" si="9"/>
        <v>678.80567792462068</v>
      </c>
      <c r="T38" s="21">
        <f t="shared" si="10"/>
        <v>252145.45454545453</v>
      </c>
      <c r="U38" s="26">
        <f t="shared" si="11"/>
        <v>5.7884631438350445</v>
      </c>
      <c r="V38" s="25">
        <v>60</v>
      </c>
      <c r="W38" s="25">
        <f t="shared" si="12"/>
        <v>51000</v>
      </c>
      <c r="X38" s="25">
        <f t="shared" si="13"/>
        <v>850</v>
      </c>
      <c r="Y38" s="27" t="s">
        <v>1536</v>
      </c>
      <c r="Z38" s="19" t="s">
        <v>35</v>
      </c>
      <c r="AA38" s="19" t="s">
        <v>35</v>
      </c>
      <c r="AB38" s="19" t="s">
        <v>1537</v>
      </c>
      <c r="AC38" s="19">
        <v>0</v>
      </c>
      <c r="AD38" s="19">
        <v>1</v>
      </c>
      <c r="AE38" s="19" t="s">
        <v>42</v>
      </c>
      <c r="AF38" s="19" t="s">
        <v>43</v>
      </c>
      <c r="AG38" s="19" t="s">
        <v>38</v>
      </c>
      <c r="AH38" s="19" t="s">
        <v>92</v>
      </c>
    </row>
    <row r="39" spans="1:34" x14ac:dyDescent="0.3">
      <c r="A39" s="75" t="s">
        <v>1537</v>
      </c>
      <c r="B39" s="19" t="s">
        <v>1588</v>
      </c>
      <c r="C39" s="19" t="s">
        <v>1589</v>
      </c>
      <c r="D39" s="20">
        <v>45373</v>
      </c>
      <c r="E39" s="21">
        <v>221000</v>
      </c>
      <c r="F39" s="19" t="s">
        <v>32</v>
      </c>
      <c r="G39" s="19" t="s">
        <v>33</v>
      </c>
      <c r="H39" s="21">
        <v>221000</v>
      </c>
      <c r="I39" s="21">
        <v>80900</v>
      </c>
      <c r="J39" s="22">
        <f t="shared" si="7"/>
        <v>36.606334841628957</v>
      </c>
      <c r="K39" s="21">
        <v>196788</v>
      </c>
      <c r="L39" s="21">
        <f>H39-186277</f>
        <v>34723</v>
      </c>
      <c r="M39" s="21">
        <v>10511</v>
      </c>
      <c r="N39" s="67">
        <f t="shared" si="8"/>
        <v>4.7561085972850678E-2</v>
      </c>
      <c r="O39" s="23">
        <v>50.05</v>
      </c>
      <c r="P39" s="24">
        <v>110.37</v>
      </c>
      <c r="Q39" s="25">
        <v>0.13100000000000001</v>
      </c>
      <c r="R39" s="25">
        <v>0.13100000000000001</v>
      </c>
      <c r="S39" s="21">
        <f t="shared" si="9"/>
        <v>693.76623376623377</v>
      </c>
      <c r="T39" s="21">
        <f t="shared" si="10"/>
        <v>265061.06870229007</v>
      </c>
      <c r="U39" s="26">
        <f t="shared" si="11"/>
        <v>6.0849648462417374</v>
      </c>
      <c r="V39" s="25">
        <v>50</v>
      </c>
      <c r="W39" s="25">
        <f t="shared" si="12"/>
        <v>44200</v>
      </c>
      <c r="X39" s="25">
        <f t="shared" si="13"/>
        <v>884</v>
      </c>
      <c r="Y39" s="27" t="s">
        <v>1536</v>
      </c>
      <c r="Z39" s="19" t="s">
        <v>35</v>
      </c>
      <c r="AA39" s="19" t="s">
        <v>35</v>
      </c>
      <c r="AB39" s="19" t="s">
        <v>1537</v>
      </c>
      <c r="AC39" s="19">
        <v>0</v>
      </c>
      <c r="AD39" s="19">
        <v>1</v>
      </c>
      <c r="AE39" s="19" t="s">
        <v>42</v>
      </c>
      <c r="AF39" s="19" t="s">
        <v>43</v>
      </c>
      <c r="AG39" s="19" t="s">
        <v>38</v>
      </c>
      <c r="AH39" s="19" t="s">
        <v>92</v>
      </c>
    </row>
    <row r="40" spans="1:34" x14ac:dyDescent="0.3">
      <c r="A40" s="74" t="s">
        <v>1537</v>
      </c>
      <c r="B40" s="10" t="s">
        <v>1600</v>
      </c>
      <c r="C40" s="10" t="s">
        <v>1601</v>
      </c>
      <c r="D40" s="11">
        <v>45484</v>
      </c>
      <c r="E40" s="12">
        <v>228000</v>
      </c>
      <c r="F40" s="10" t="s">
        <v>32</v>
      </c>
      <c r="G40" s="10" t="s">
        <v>33</v>
      </c>
      <c r="H40" s="12">
        <v>228000</v>
      </c>
      <c r="I40" s="12">
        <v>92300</v>
      </c>
      <c r="J40" s="13">
        <f t="shared" si="7"/>
        <v>40.482456140350877</v>
      </c>
      <c r="K40" s="12">
        <v>197781</v>
      </c>
      <c r="L40" s="12">
        <f>H40-186237</f>
        <v>41763</v>
      </c>
      <c r="M40" s="12">
        <v>11544</v>
      </c>
      <c r="N40" s="66">
        <f t="shared" si="8"/>
        <v>5.0631578947368423E-2</v>
      </c>
      <c r="O40" s="14">
        <v>54.97</v>
      </c>
      <c r="P40" s="15">
        <v>139</v>
      </c>
      <c r="Q40" s="16">
        <v>0.16</v>
      </c>
      <c r="R40" s="16">
        <v>0.16</v>
      </c>
      <c r="S40" s="12">
        <f t="shared" si="9"/>
        <v>759.74167727851557</v>
      </c>
      <c r="T40" s="12">
        <f t="shared" si="10"/>
        <v>261018.75</v>
      </c>
      <c r="U40" s="17">
        <f t="shared" si="11"/>
        <v>5.9921659779614327</v>
      </c>
      <c r="V40" s="16">
        <v>50</v>
      </c>
      <c r="W40" s="16">
        <f t="shared" si="12"/>
        <v>45600</v>
      </c>
      <c r="X40" s="16">
        <f t="shared" si="13"/>
        <v>912</v>
      </c>
      <c r="Y40" s="18" t="s">
        <v>1536</v>
      </c>
      <c r="Z40" s="10" t="s">
        <v>35</v>
      </c>
      <c r="AA40" s="10" t="s">
        <v>35</v>
      </c>
      <c r="AB40" s="10" t="s">
        <v>1537</v>
      </c>
      <c r="AC40" s="10">
        <v>0</v>
      </c>
      <c r="AD40" s="10">
        <v>1</v>
      </c>
      <c r="AE40" s="10" t="s">
        <v>42</v>
      </c>
      <c r="AF40" s="10" t="s">
        <v>43</v>
      </c>
      <c r="AG40" s="10" t="s">
        <v>38</v>
      </c>
      <c r="AH40" s="10" t="s">
        <v>92</v>
      </c>
    </row>
    <row r="41" spans="1:34" x14ac:dyDescent="0.3">
      <c r="A41" s="75" t="s">
        <v>1537</v>
      </c>
      <c r="B41" s="19" t="s">
        <v>1711</v>
      </c>
      <c r="C41" s="19" t="s">
        <v>1712</v>
      </c>
      <c r="D41" s="20">
        <v>45551</v>
      </c>
      <c r="E41" s="21">
        <v>227000</v>
      </c>
      <c r="F41" s="19" t="s">
        <v>32</v>
      </c>
      <c r="G41" s="19" t="s">
        <v>33</v>
      </c>
      <c r="H41" s="21">
        <v>227000</v>
      </c>
      <c r="I41" s="21">
        <v>91600</v>
      </c>
      <c r="J41" s="22">
        <f t="shared" si="7"/>
        <v>40.352422907488986</v>
      </c>
      <c r="K41" s="21">
        <v>189663</v>
      </c>
      <c r="L41" s="21">
        <f>H41-176121</f>
        <v>50879</v>
      </c>
      <c r="M41" s="21">
        <v>13542</v>
      </c>
      <c r="N41" s="67">
        <f t="shared" si="8"/>
        <v>5.9656387665198235E-2</v>
      </c>
      <c r="O41" s="23">
        <v>64.48</v>
      </c>
      <c r="P41" s="24">
        <v>116.76</v>
      </c>
      <c r="Q41" s="25">
        <v>0.17199999999999999</v>
      </c>
      <c r="R41" s="25">
        <v>0.17199999999999999</v>
      </c>
      <c r="S41" s="21">
        <f t="shared" si="9"/>
        <v>789.06637717121578</v>
      </c>
      <c r="T41" s="21">
        <f t="shared" si="10"/>
        <v>295808.13953488372</v>
      </c>
      <c r="U41" s="26">
        <f t="shared" si="11"/>
        <v>6.7908204668246954</v>
      </c>
      <c r="V41" s="25">
        <v>64</v>
      </c>
      <c r="W41" s="25">
        <f t="shared" si="12"/>
        <v>45400</v>
      </c>
      <c r="X41" s="25">
        <f t="shared" si="13"/>
        <v>709.375</v>
      </c>
      <c r="Y41" s="27" t="s">
        <v>1536</v>
      </c>
      <c r="Z41" s="19" t="s">
        <v>35</v>
      </c>
      <c r="AA41" s="19" t="s">
        <v>35</v>
      </c>
      <c r="AB41" s="19" t="s">
        <v>1537</v>
      </c>
      <c r="AC41" s="19">
        <v>0</v>
      </c>
      <c r="AD41" s="19">
        <v>1</v>
      </c>
      <c r="AE41" s="19" t="s">
        <v>42</v>
      </c>
      <c r="AF41" s="19" t="s">
        <v>43</v>
      </c>
      <c r="AG41" s="19" t="s">
        <v>38</v>
      </c>
      <c r="AH41" s="19" t="s">
        <v>92</v>
      </c>
    </row>
    <row r="42" spans="1:34" x14ac:dyDescent="0.3">
      <c r="A42" s="75" t="s">
        <v>1537</v>
      </c>
      <c r="B42" s="19" t="s">
        <v>1618</v>
      </c>
      <c r="C42" s="19" t="s">
        <v>1619</v>
      </c>
      <c r="D42" s="20">
        <v>45702</v>
      </c>
      <c r="E42" s="21">
        <v>240000</v>
      </c>
      <c r="F42" s="19" t="s">
        <v>32</v>
      </c>
      <c r="G42" s="19" t="s">
        <v>33</v>
      </c>
      <c r="H42" s="21">
        <v>240000</v>
      </c>
      <c r="I42" s="21">
        <v>89800</v>
      </c>
      <c r="J42" s="22">
        <f t="shared" si="7"/>
        <v>37.416666666666664</v>
      </c>
      <c r="K42" s="21">
        <v>189512</v>
      </c>
      <c r="L42" s="21">
        <f>H42-172899</f>
        <v>67101</v>
      </c>
      <c r="M42" s="21">
        <v>16613</v>
      </c>
      <c r="N42" s="67">
        <f t="shared" si="8"/>
        <v>6.9220833333333329E-2</v>
      </c>
      <c r="O42" s="23">
        <v>79.11</v>
      </c>
      <c r="P42" s="24">
        <v>100.01</v>
      </c>
      <c r="Q42" s="25">
        <v>0.20200000000000001</v>
      </c>
      <c r="R42" s="25">
        <v>0.20200000000000001</v>
      </c>
      <c r="S42" s="21">
        <f t="shared" si="9"/>
        <v>848.19871065604855</v>
      </c>
      <c r="T42" s="21">
        <f t="shared" si="10"/>
        <v>332183.16831683164</v>
      </c>
      <c r="U42" s="26">
        <f t="shared" si="11"/>
        <v>7.625876223986034</v>
      </c>
      <c r="V42" s="25">
        <v>78.400000000000006</v>
      </c>
      <c r="W42" s="25">
        <f t="shared" si="12"/>
        <v>48000</v>
      </c>
      <c r="X42" s="25">
        <f t="shared" si="13"/>
        <v>612.24489795918362</v>
      </c>
      <c r="Y42" s="27" t="s">
        <v>1536</v>
      </c>
      <c r="Z42" s="19" t="s">
        <v>35</v>
      </c>
      <c r="AA42" s="19" t="s">
        <v>35</v>
      </c>
      <c r="AB42" s="19" t="s">
        <v>1537</v>
      </c>
      <c r="AC42" s="19">
        <v>0</v>
      </c>
      <c r="AD42" s="19">
        <v>1</v>
      </c>
      <c r="AE42" s="19" t="s">
        <v>42</v>
      </c>
      <c r="AF42" s="19" t="s">
        <v>35</v>
      </c>
      <c r="AG42" s="19" t="s">
        <v>38</v>
      </c>
      <c r="AH42" s="19" t="s">
        <v>92</v>
      </c>
    </row>
    <row r="43" spans="1:34" x14ac:dyDescent="0.3">
      <c r="A43" s="75" t="s">
        <v>1537</v>
      </c>
      <c r="B43" s="19" t="s">
        <v>1695</v>
      </c>
      <c r="C43" s="19" t="s">
        <v>1696</v>
      </c>
      <c r="D43" s="20">
        <v>45301</v>
      </c>
      <c r="E43" s="21">
        <v>265000</v>
      </c>
      <c r="F43" s="19" t="s">
        <v>32</v>
      </c>
      <c r="G43" s="19" t="s">
        <v>33</v>
      </c>
      <c r="H43" s="21">
        <v>265000</v>
      </c>
      <c r="I43" s="21">
        <v>93000</v>
      </c>
      <c r="J43" s="22">
        <f t="shared" si="7"/>
        <v>35.094339622641506</v>
      </c>
      <c r="K43" s="21">
        <v>225132</v>
      </c>
      <c r="L43" s="21">
        <f>H43-212261</f>
        <v>52739</v>
      </c>
      <c r="M43" s="21">
        <v>12871</v>
      </c>
      <c r="N43" s="67">
        <f t="shared" si="8"/>
        <v>4.8569811320754719E-2</v>
      </c>
      <c r="O43" s="23">
        <v>61.29</v>
      </c>
      <c r="P43" s="24">
        <v>120</v>
      </c>
      <c r="Q43" s="25">
        <v>0.16500000000000001</v>
      </c>
      <c r="R43" s="25">
        <v>0.16500000000000001</v>
      </c>
      <c r="S43" s="21">
        <f t="shared" si="9"/>
        <v>860.48294991026273</v>
      </c>
      <c r="T43" s="21">
        <f t="shared" si="10"/>
        <v>319630.30303030304</v>
      </c>
      <c r="U43" s="26">
        <f t="shared" si="11"/>
        <v>7.3377020897682055</v>
      </c>
      <c r="V43" s="25">
        <v>60</v>
      </c>
      <c r="W43" s="25">
        <f t="shared" si="12"/>
        <v>53000</v>
      </c>
      <c r="X43" s="25">
        <f t="shared" si="13"/>
        <v>883.33333333333337</v>
      </c>
      <c r="Y43" s="27" t="s">
        <v>1536</v>
      </c>
      <c r="Z43" s="19" t="s">
        <v>35</v>
      </c>
      <c r="AA43" s="19" t="s">
        <v>35</v>
      </c>
      <c r="AB43" s="19" t="s">
        <v>1537</v>
      </c>
      <c r="AC43" s="19">
        <v>0</v>
      </c>
      <c r="AD43" s="19">
        <v>1</v>
      </c>
      <c r="AE43" s="19" t="s">
        <v>42</v>
      </c>
      <c r="AF43" s="19" t="s">
        <v>43</v>
      </c>
      <c r="AG43" s="19" t="s">
        <v>38</v>
      </c>
      <c r="AH43" s="19" t="s">
        <v>92</v>
      </c>
    </row>
    <row r="44" spans="1:34" x14ac:dyDescent="0.3">
      <c r="A44" s="75" t="s">
        <v>1537</v>
      </c>
      <c r="B44" s="19" t="s">
        <v>1703</v>
      </c>
      <c r="C44" s="19" t="s">
        <v>1704</v>
      </c>
      <c r="D44" s="20">
        <v>45489</v>
      </c>
      <c r="E44" s="21">
        <v>275000</v>
      </c>
      <c r="F44" s="19" t="s">
        <v>32</v>
      </c>
      <c r="G44" s="19" t="s">
        <v>33</v>
      </c>
      <c r="H44" s="21">
        <v>275000</v>
      </c>
      <c r="I44" s="21">
        <v>109600</v>
      </c>
      <c r="J44" s="22">
        <f t="shared" si="7"/>
        <v>39.854545454545452</v>
      </c>
      <c r="K44" s="21">
        <v>230207</v>
      </c>
      <c r="L44" s="21">
        <f>H44-217336</f>
        <v>57664</v>
      </c>
      <c r="M44" s="21">
        <v>12871</v>
      </c>
      <c r="N44" s="67">
        <f t="shared" si="8"/>
        <v>4.6803636363636367E-2</v>
      </c>
      <c r="O44" s="23">
        <v>61.29</v>
      </c>
      <c r="P44" s="24">
        <v>120</v>
      </c>
      <c r="Q44" s="25">
        <v>0.16500000000000001</v>
      </c>
      <c r="R44" s="25">
        <v>0.16500000000000001</v>
      </c>
      <c r="S44" s="21">
        <f t="shared" si="9"/>
        <v>940.83863599282108</v>
      </c>
      <c r="T44" s="21">
        <f t="shared" si="10"/>
        <v>349478.78787878784</v>
      </c>
      <c r="U44" s="26">
        <f t="shared" si="11"/>
        <v>8.0229290146645518</v>
      </c>
      <c r="V44" s="25">
        <v>60</v>
      </c>
      <c r="W44" s="25">
        <f t="shared" si="12"/>
        <v>55000</v>
      </c>
      <c r="X44" s="25">
        <f t="shared" si="13"/>
        <v>916.66666666666663</v>
      </c>
      <c r="Y44" s="27" t="s">
        <v>1536</v>
      </c>
      <c r="Z44" s="19" t="s">
        <v>35</v>
      </c>
      <c r="AA44" s="19" t="s">
        <v>35</v>
      </c>
      <c r="AB44" s="19" t="s">
        <v>1537</v>
      </c>
      <c r="AC44" s="19">
        <v>0</v>
      </c>
      <c r="AD44" s="19">
        <v>1</v>
      </c>
      <c r="AE44" s="19" t="s">
        <v>42</v>
      </c>
      <c r="AF44" s="19" t="s">
        <v>43</v>
      </c>
      <c r="AG44" s="19" t="s">
        <v>38</v>
      </c>
      <c r="AH44" s="19" t="s">
        <v>92</v>
      </c>
    </row>
    <row r="45" spans="1:34" x14ac:dyDescent="0.3">
      <c r="A45" s="75" t="s">
        <v>1537</v>
      </c>
      <c r="B45" s="19" t="s">
        <v>1697</v>
      </c>
      <c r="C45" s="19" t="s">
        <v>1698</v>
      </c>
      <c r="D45" s="20">
        <v>45230</v>
      </c>
      <c r="E45" s="21">
        <v>271000</v>
      </c>
      <c r="F45" s="19" t="s">
        <v>32</v>
      </c>
      <c r="G45" s="19" t="s">
        <v>33</v>
      </c>
      <c r="H45" s="21">
        <v>271000</v>
      </c>
      <c r="I45" s="21">
        <v>94800</v>
      </c>
      <c r="J45" s="22">
        <f t="shared" si="7"/>
        <v>34.981549815498155</v>
      </c>
      <c r="K45" s="21">
        <v>225850</v>
      </c>
      <c r="L45" s="21">
        <f>H45-212979</f>
        <v>58021</v>
      </c>
      <c r="M45" s="21">
        <v>12871</v>
      </c>
      <c r="N45" s="67">
        <f t="shared" si="8"/>
        <v>4.7494464944649449E-2</v>
      </c>
      <c r="O45" s="23">
        <v>61.29</v>
      </c>
      <c r="P45" s="24">
        <v>120</v>
      </c>
      <c r="Q45" s="25">
        <v>0.16500000000000001</v>
      </c>
      <c r="R45" s="25">
        <v>0.16500000000000001</v>
      </c>
      <c r="S45" s="21">
        <f t="shared" si="9"/>
        <v>946.66340349159736</v>
      </c>
      <c r="T45" s="21">
        <f t="shared" si="10"/>
        <v>351642.42424242425</v>
      </c>
      <c r="U45" s="26">
        <f t="shared" si="11"/>
        <v>8.0725992709463785</v>
      </c>
      <c r="V45" s="25">
        <v>60</v>
      </c>
      <c r="W45" s="25">
        <f t="shared" si="12"/>
        <v>54200</v>
      </c>
      <c r="X45" s="25">
        <f t="shared" si="13"/>
        <v>903.33333333333337</v>
      </c>
      <c r="Y45" s="27" t="s">
        <v>1536</v>
      </c>
      <c r="Z45" s="19" t="s">
        <v>35</v>
      </c>
      <c r="AA45" s="19" t="s">
        <v>35</v>
      </c>
      <c r="AB45" s="19" t="s">
        <v>1537</v>
      </c>
      <c r="AC45" s="19">
        <v>0</v>
      </c>
      <c r="AD45" s="19">
        <v>1</v>
      </c>
      <c r="AE45" s="19" t="s">
        <v>42</v>
      </c>
      <c r="AF45" s="19" t="s">
        <v>43</v>
      </c>
      <c r="AG45" s="19" t="s">
        <v>38</v>
      </c>
      <c r="AH45" s="19" t="s">
        <v>92</v>
      </c>
    </row>
    <row r="46" spans="1:34" x14ac:dyDescent="0.3">
      <c r="A46" s="74" t="s">
        <v>1537</v>
      </c>
      <c r="B46" s="10" t="s">
        <v>1608</v>
      </c>
      <c r="C46" s="10" t="s">
        <v>1609</v>
      </c>
      <c r="D46" s="11">
        <v>45471</v>
      </c>
      <c r="E46" s="12">
        <v>250000</v>
      </c>
      <c r="F46" s="10" t="s">
        <v>32</v>
      </c>
      <c r="G46" s="10" t="s">
        <v>33</v>
      </c>
      <c r="H46" s="12">
        <v>250000</v>
      </c>
      <c r="I46" s="12">
        <v>97200</v>
      </c>
      <c r="J46" s="13">
        <f t="shared" si="7"/>
        <v>38.879999999999995</v>
      </c>
      <c r="K46" s="12">
        <v>209232</v>
      </c>
      <c r="L46" s="12">
        <f>H46-197684</f>
        <v>52316</v>
      </c>
      <c r="M46" s="12">
        <v>11548</v>
      </c>
      <c r="N46" s="66">
        <f t="shared" si="8"/>
        <v>4.6191999999999997E-2</v>
      </c>
      <c r="O46" s="14">
        <v>54.99</v>
      </c>
      <c r="P46" s="15">
        <v>128.75</v>
      </c>
      <c r="Q46" s="16">
        <v>0.158</v>
      </c>
      <c r="R46" s="16">
        <v>0.158</v>
      </c>
      <c r="S46" s="12">
        <f t="shared" si="9"/>
        <v>951.37297690489174</v>
      </c>
      <c r="T46" s="12">
        <f t="shared" si="10"/>
        <v>331113.92405063292</v>
      </c>
      <c r="U46" s="17">
        <f t="shared" si="11"/>
        <v>7.6013297532284874</v>
      </c>
      <c r="V46" s="16">
        <v>49</v>
      </c>
      <c r="W46" s="16">
        <f t="shared" si="12"/>
        <v>50000</v>
      </c>
      <c r="X46" s="16">
        <f t="shared" si="13"/>
        <v>1020.4081632653061</v>
      </c>
      <c r="Y46" s="18" t="s">
        <v>1536</v>
      </c>
      <c r="Z46" s="10" t="s">
        <v>35</v>
      </c>
      <c r="AA46" s="10" t="s">
        <v>35</v>
      </c>
      <c r="AB46" s="10" t="s">
        <v>1537</v>
      </c>
      <c r="AC46" s="10">
        <v>0</v>
      </c>
      <c r="AD46" s="10">
        <v>1</v>
      </c>
      <c r="AE46" s="10" t="s">
        <v>42</v>
      </c>
      <c r="AF46" s="10" t="s">
        <v>43</v>
      </c>
      <c r="AG46" s="10" t="s">
        <v>38</v>
      </c>
      <c r="AH46" s="10" t="s">
        <v>92</v>
      </c>
    </row>
    <row r="47" spans="1:34" x14ac:dyDescent="0.3">
      <c r="A47" s="75" t="s">
        <v>1537</v>
      </c>
      <c r="B47" s="19" t="s">
        <v>1606</v>
      </c>
      <c r="C47" s="19" t="s">
        <v>1607</v>
      </c>
      <c r="D47" s="20">
        <v>45464</v>
      </c>
      <c r="E47" s="21">
        <v>240000</v>
      </c>
      <c r="F47" s="19" t="s">
        <v>32</v>
      </c>
      <c r="G47" s="19" t="s">
        <v>33</v>
      </c>
      <c r="H47" s="21">
        <v>240000</v>
      </c>
      <c r="I47" s="21">
        <v>93800</v>
      </c>
      <c r="J47" s="22">
        <f t="shared" si="7"/>
        <v>39.083333333333329</v>
      </c>
      <c r="K47" s="21">
        <v>200666</v>
      </c>
      <c r="L47" s="21">
        <f>H47-189749</f>
        <v>50251</v>
      </c>
      <c r="M47" s="21">
        <v>10917</v>
      </c>
      <c r="N47" s="67">
        <f t="shared" si="8"/>
        <v>4.54875E-2</v>
      </c>
      <c r="O47" s="23">
        <v>51.98</v>
      </c>
      <c r="P47" s="24">
        <v>123.77</v>
      </c>
      <c r="Q47" s="25">
        <v>0.14299999999999999</v>
      </c>
      <c r="R47" s="25">
        <v>0.14299999999999999</v>
      </c>
      <c r="S47" s="21">
        <f t="shared" si="9"/>
        <v>966.73720661793004</v>
      </c>
      <c r="T47" s="21">
        <f t="shared" si="10"/>
        <v>351405.59440559446</v>
      </c>
      <c r="U47" s="26">
        <f t="shared" si="11"/>
        <v>8.0671624060053819</v>
      </c>
      <c r="V47" s="25">
        <v>50</v>
      </c>
      <c r="W47" s="25">
        <f t="shared" si="12"/>
        <v>48000</v>
      </c>
      <c r="X47" s="25">
        <f t="shared" si="13"/>
        <v>960</v>
      </c>
      <c r="Y47" s="27" t="s">
        <v>1536</v>
      </c>
      <c r="Z47" s="19" t="s">
        <v>35</v>
      </c>
      <c r="AA47" s="19" t="s">
        <v>35</v>
      </c>
      <c r="AB47" s="19" t="s">
        <v>1537</v>
      </c>
      <c r="AC47" s="19">
        <v>0</v>
      </c>
      <c r="AD47" s="19">
        <v>1</v>
      </c>
      <c r="AE47" s="19" t="s">
        <v>42</v>
      </c>
      <c r="AF47" s="19" t="s">
        <v>43</v>
      </c>
      <c r="AG47" s="19" t="s">
        <v>38</v>
      </c>
      <c r="AH47" s="19" t="s">
        <v>92</v>
      </c>
    </row>
    <row r="48" spans="1:34" x14ac:dyDescent="0.3">
      <c r="A48" s="74" t="s">
        <v>1537</v>
      </c>
      <c r="B48" s="10" t="s">
        <v>1701</v>
      </c>
      <c r="C48" s="10" t="s">
        <v>1702</v>
      </c>
      <c r="D48" s="11">
        <v>45485</v>
      </c>
      <c r="E48" s="12">
        <v>280000</v>
      </c>
      <c r="F48" s="10" t="s">
        <v>32</v>
      </c>
      <c r="G48" s="10" t="s">
        <v>33</v>
      </c>
      <c r="H48" s="12">
        <v>280000</v>
      </c>
      <c r="I48" s="12">
        <v>110900</v>
      </c>
      <c r="J48" s="13">
        <f t="shared" si="7"/>
        <v>39.607142857142854</v>
      </c>
      <c r="K48" s="12">
        <v>232444</v>
      </c>
      <c r="L48" s="12">
        <f>H48-219573</f>
        <v>60427</v>
      </c>
      <c r="M48" s="12">
        <v>12871</v>
      </c>
      <c r="N48" s="66">
        <f t="shared" si="8"/>
        <v>4.5967857142857144E-2</v>
      </c>
      <c r="O48" s="14">
        <v>61.29</v>
      </c>
      <c r="P48" s="15">
        <v>120</v>
      </c>
      <c r="Q48" s="16">
        <v>0.16500000000000001</v>
      </c>
      <c r="R48" s="16">
        <v>0.16500000000000001</v>
      </c>
      <c r="S48" s="12">
        <f t="shared" si="9"/>
        <v>985.91939957578722</v>
      </c>
      <c r="T48" s="12">
        <f t="shared" si="10"/>
        <v>366224.24242424243</v>
      </c>
      <c r="U48" s="17">
        <f t="shared" si="11"/>
        <v>8.4073517544591923</v>
      </c>
      <c r="V48" s="16">
        <v>60</v>
      </c>
      <c r="W48" s="16">
        <f t="shared" si="12"/>
        <v>56000</v>
      </c>
      <c r="X48" s="16">
        <f t="shared" si="13"/>
        <v>933.33333333333337</v>
      </c>
      <c r="Y48" s="18" t="s">
        <v>1536</v>
      </c>
      <c r="Z48" s="10" t="s">
        <v>35</v>
      </c>
      <c r="AA48" s="10" t="s">
        <v>35</v>
      </c>
      <c r="AB48" s="10" t="s">
        <v>1537</v>
      </c>
      <c r="AC48" s="10">
        <v>0</v>
      </c>
      <c r="AD48" s="10">
        <v>1</v>
      </c>
      <c r="AE48" s="10" t="s">
        <v>42</v>
      </c>
      <c r="AF48" s="10" t="s">
        <v>43</v>
      </c>
      <c r="AG48" s="10" t="s">
        <v>38</v>
      </c>
      <c r="AH48" s="10" t="s">
        <v>92</v>
      </c>
    </row>
    <row r="49" spans="1:34" ht="15" thickBot="1" x14ac:dyDescent="0.35">
      <c r="A49" s="74" t="s">
        <v>1537</v>
      </c>
      <c r="B49" s="10" t="s">
        <v>1691</v>
      </c>
      <c r="C49" s="10" t="s">
        <v>1692</v>
      </c>
      <c r="D49" s="11">
        <v>45611</v>
      </c>
      <c r="E49" s="12">
        <v>271200</v>
      </c>
      <c r="F49" s="10" t="s">
        <v>32</v>
      </c>
      <c r="G49" s="10" t="s">
        <v>33</v>
      </c>
      <c r="H49" s="12">
        <v>271200</v>
      </c>
      <c r="I49" s="12">
        <v>102200</v>
      </c>
      <c r="J49" s="13">
        <f t="shared" si="7"/>
        <v>37.684365781710916</v>
      </c>
      <c r="K49" s="12">
        <v>220060</v>
      </c>
      <c r="L49" s="12">
        <f>H49-206525</f>
        <v>64675</v>
      </c>
      <c r="M49" s="12">
        <v>13535</v>
      </c>
      <c r="N49" s="66">
        <f t="shared" si="8"/>
        <v>4.9907817109144541E-2</v>
      </c>
      <c r="O49" s="14">
        <v>64.45</v>
      </c>
      <c r="P49" s="15">
        <v>113.05</v>
      </c>
      <c r="Q49" s="16">
        <v>0.16900000000000001</v>
      </c>
      <c r="R49" s="16">
        <v>0.16900000000000001</v>
      </c>
      <c r="S49" s="12">
        <f t="shared" si="9"/>
        <v>1003.4910783553141</v>
      </c>
      <c r="T49" s="12">
        <f t="shared" si="10"/>
        <v>382692.30769230769</v>
      </c>
      <c r="U49" s="17">
        <f t="shared" si="11"/>
        <v>8.7854065126792396</v>
      </c>
      <c r="V49" s="16">
        <v>65</v>
      </c>
      <c r="W49" s="16">
        <f t="shared" si="12"/>
        <v>54240</v>
      </c>
      <c r="X49" s="16">
        <f t="shared" si="13"/>
        <v>834.46153846153845</v>
      </c>
      <c r="Y49" s="18" t="s">
        <v>1536</v>
      </c>
      <c r="Z49" s="10" t="s">
        <v>35</v>
      </c>
      <c r="AA49" s="10" t="s">
        <v>35</v>
      </c>
      <c r="AB49" s="10" t="s">
        <v>1537</v>
      </c>
      <c r="AC49" s="10">
        <v>0</v>
      </c>
      <c r="AD49" s="10">
        <v>1</v>
      </c>
      <c r="AE49" s="10" t="s">
        <v>42</v>
      </c>
      <c r="AF49" s="10" t="s">
        <v>35</v>
      </c>
      <c r="AG49" s="10" t="s">
        <v>38</v>
      </c>
      <c r="AH49" s="10" t="s">
        <v>92</v>
      </c>
    </row>
    <row r="50" spans="1:34" ht="15" thickTop="1" x14ac:dyDescent="0.3">
      <c r="A50" s="76"/>
      <c r="B50" s="37"/>
      <c r="C50" s="37"/>
      <c r="D50" s="38" t="s">
        <v>2876</v>
      </c>
      <c r="E50" s="39">
        <f>+SUM(E2:E49)</f>
        <v>10844500</v>
      </c>
      <c r="F50" s="37"/>
      <c r="G50" s="37"/>
      <c r="H50" s="39">
        <f>+SUM(H2:H49)</f>
        <v>10844500</v>
      </c>
      <c r="I50" s="39">
        <f>+SUM(I2:I49)</f>
        <v>4559800</v>
      </c>
      <c r="J50" s="40"/>
      <c r="K50" s="39">
        <f>+SUM(K2:K49)</f>
        <v>10108538</v>
      </c>
      <c r="L50" s="39">
        <f>+SUM(L2:L49)</f>
        <v>1385402</v>
      </c>
      <c r="M50" s="39">
        <f>+SUM(M2:M49)</f>
        <v>649440</v>
      </c>
      <c r="N50" s="81">
        <f>AVERAGE(N2:N49)</f>
        <v>6.3745239059041017E-2</v>
      </c>
      <c r="O50" s="41">
        <f>+SUM(O2:O49)</f>
        <v>3014.6</v>
      </c>
      <c r="P50" s="42"/>
      <c r="Q50" s="43">
        <f>+SUM(Q2:Q49)</f>
        <v>8.234</v>
      </c>
      <c r="R50" s="43">
        <f>+SUM(R2:R49)</f>
        <v>8.3840000000000003</v>
      </c>
      <c r="S50" s="39"/>
      <c r="T50" s="39"/>
      <c r="U50" s="44"/>
      <c r="V50" s="43"/>
      <c r="W50" s="82">
        <f>AVERAGE(W2:W49)</f>
        <v>45185.416666666664</v>
      </c>
      <c r="X50" s="83">
        <f>AVERAGE(X2:X49)</f>
        <v>772.99280604979765</v>
      </c>
      <c r="Y50" s="45"/>
      <c r="Z50" s="37"/>
      <c r="AA50" s="37"/>
      <c r="AB50" s="37"/>
      <c r="AC50" s="37"/>
      <c r="AD50" s="37"/>
      <c r="AE50" s="37"/>
      <c r="AF50" s="37"/>
      <c r="AG50" s="37"/>
      <c r="AH50" s="37"/>
    </row>
    <row r="51" spans="1:34" x14ac:dyDescent="0.3">
      <c r="A51" s="77"/>
      <c r="B51" s="28"/>
      <c r="C51" s="28"/>
      <c r="D51" s="29"/>
      <c r="E51" s="30"/>
      <c r="F51" s="28"/>
      <c r="G51" s="28"/>
      <c r="H51" s="30"/>
      <c r="I51" s="30" t="s">
        <v>2877</v>
      </c>
      <c r="J51" s="31">
        <f>I50/H50*100</f>
        <v>42.04712066024252</v>
      </c>
      <c r="K51" s="30"/>
      <c r="L51" s="30"/>
      <c r="M51" s="30" t="s">
        <v>2879</v>
      </c>
      <c r="N51" s="79"/>
      <c r="O51" s="32"/>
      <c r="P51" s="33"/>
      <c r="Q51" s="34" t="s">
        <v>2879</v>
      </c>
      <c r="R51" s="34"/>
      <c r="S51" s="30"/>
      <c r="T51" s="30" t="s">
        <v>2879</v>
      </c>
      <c r="U51" s="35"/>
      <c r="V51" s="34"/>
      <c r="W51" s="63"/>
      <c r="X51" s="68"/>
      <c r="Y51" s="36"/>
      <c r="Z51" s="28"/>
      <c r="AA51" s="28"/>
      <c r="AB51" s="28"/>
      <c r="AC51" s="28"/>
      <c r="AD51" s="28"/>
      <c r="AE51" s="28"/>
      <c r="AF51" s="28"/>
      <c r="AG51" s="28"/>
      <c r="AH51" s="28"/>
    </row>
    <row r="52" spans="1:34" x14ac:dyDescent="0.3">
      <c r="A52" s="78"/>
      <c r="B52" s="46"/>
      <c r="C52" s="46"/>
      <c r="D52" s="47"/>
      <c r="E52" s="48"/>
      <c r="F52" s="46"/>
      <c r="G52" s="46"/>
      <c r="H52" s="48"/>
      <c r="I52" s="48" t="s">
        <v>2878</v>
      </c>
      <c r="J52" s="49">
        <f>STDEV(J2:J49)</f>
        <v>3.6435012867897196</v>
      </c>
      <c r="K52" s="48"/>
      <c r="L52" s="48"/>
      <c r="M52" s="48" t="s">
        <v>2880</v>
      </c>
      <c r="N52" s="80"/>
      <c r="O52" s="54">
        <f>L50/O50</f>
        <v>459.56412127645461</v>
      </c>
      <c r="P52" s="50"/>
      <c r="Q52" s="51" t="s">
        <v>2881</v>
      </c>
      <c r="R52" s="51">
        <f>L50/Q50</f>
        <v>168253.82560116591</v>
      </c>
      <c r="S52" s="48"/>
      <c r="T52" s="48" t="s">
        <v>2882</v>
      </c>
      <c r="U52" s="52">
        <f>L50/Q50/43560</f>
        <v>3.8625763452976565</v>
      </c>
      <c r="V52" s="51"/>
      <c r="W52" s="64"/>
      <c r="X52" s="69"/>
      <c r="Y52" s="53"/>
      <c r="Z52" s="46"/>
      <c r="AA52" s="46"/>
      <c r="AB52" s="46"/>
      <c r="AC52" s="46"/>
      <c r="AD52" s="46"/>
      <c r="AE52" s="46"/>
      <c r="AF52" s="46"/>
      <c r="AG52" s="46"/>
      <c r="AH52" s="46"/>
    </row>
    <row r="53" spans="1:34" x14ac:dyDescent="0.3">
      <c r="E53" s="94" t="s">
        <v>3099</v>
      </c>
      <c r="L53" s="95"/>
    </row>
    <row r="54" spans="1:34" x14ac:dyDescent="0.3">
      <c r="E54" s="383" t="s">
        <v>3163</v>
      </c>
      <c r="F54" s="383"/>
      <c r="G54" s="383"/>
      <c r="H54" s="383"/>
      <c r="I54" s="383"/>
      <c r="J54" s="383"/>
      <c r="K54" s="383"/>
      <c r="L54" s="383"/>
    </row>
    <row r="55" spans="1:34" x14ac:dyDescent="0.3">
      <c r="E55" s="383" t="s">
        <v>3164</v>
      </c>
      <c r="F55" s="383"/>
      <c r="G55" s="383"/>
      <c r="H55" s="383"/>
      <c r="I55" s="383"/>
      <c r="J55" s="383"/>
      <c r="K55" s="383"/>
      <c r="L55" s="383"/>
    </row>
    <row r="56" spans="1:34" x14ac:dyDescent="0.3">
      <c r="E56" s="383" t="s">
        <v>3165</v>
      </c>
      <c r="F56" s="383"/>
      <c r="G56" s="383"/>
      <c r="H56" s="383"/>
      <c r="I56" s="383"/>
      <c r="J56" s="383"/>
      <c r="K56" s="383"/>
      <c r="L56" s="383"/>
    </row>
    <row r="57" spans="1:34" x14ac:dyDescent="0.3">
      <c r="E57" s="383" t="s">
        <v>3166</v>
      </c>
      <c r="F57" s="383"/>
      <c r="G57" s="383"/>
      <c r="H57" s="383"/>
      <c r="I57" s="383"/>
      <c r="J57" s="96"/>
      <c r="K57" s="96"/>
      <c r="L57" s="96"/>
    </row>
    <row r="58" spans="1:34" x14ac:dyDescent="0.3">
      <c r="E58" s="383" t="s">
        <v>3167</v>
      </c>
      <c r="F58" s="383"/>
      <c r="G58" s="383"/>
      <c r="H58" s="383"/>
      <c r="I58" s="383"/>
      <c r="L58" s="95"/>
    </row>
    <row r="59" spans="1:34" x14ac:dyDescent="0.3">
      <c r="E59" s="383" t="s">
        <v>3100</v>
      </c>
      <c r="F59" s="383"/>
      <c r="G59" s="383"/>
      <c r="H59" s="383"/>
      <c r="I59" s="383"/>
      <c r="L59" s="95"/>
    </row>
    <row r="60" spans="1:34" x14ac:dyDescent="0.3">
      <c r="E60" s="96"/>
      <c r="F60" s="96"/>
      <c r="G60" s="96"/>
      <c r="H60" s="96"/>
      <c r="I60" s="96"/>
      <c r="L60" s="95"/>
    </row>
    <row r="61" spans="1:34" x14ac:dyDescent="0.3">
      <c r="A61" s="55" t="s">
        <v>3092</v>
      </c>
      <c r="E61" s="96"/>
      <c r="F61" s="96"/>
      <c r="G61" s="96"/>
      <c r="H61" s="96"/>
      <c r="I61" s="96"/>
      <c r="L61" s="95"/>
    </row>
    <row r="62" spans="1:34" x14ac:dyDescent="0.3">
      <c r="A62" s="74" t="s">
        <v>1537</v>
      </c>
      <c r="B62" s="10" t="s">
        <v>1670</v>
      </c>
      <c r="C62" s="10" t="s">
        <v>1671</v>
      </c>
      <c r="D62" s="11">
        <v>45519</v>
      </c>
      <c r="E62" s="12">
        <v>132000</v>
      </c>
      <c r="F62" s="10" t="s">
        <v>81</v>
      </c>
      <c r="G62" s="10" t="s">
        <v>33</v>
      </c>
      <c r="H62" s="12">
        <v>132000</v>
      </c>
      <c r="I62" s="12">
        <v>84100</v>
      </c>
      <c r="J62" s="13">
        <f t="shared" ref="J62:J69" si="14">I62/H62*100</f>
        <v>63.712121212121211</v>
      </c>
      <c r="K62" s="12">
        <v>180060</v>
      </c>
      <c r="L62" s="12">
        <f>H62-170027</f>
        <v>-38027</v>
      </c>
      <c r="M62" s="12">
        <v>10033</v>
      </c>
      <c r="N62" s="66">
        <f t="shared" ref="N62:N69" si="15">M62/E62</f>
        <v>7.600757575757576E-2</v>
      </c>
      <c r="O62" s="14">
        <v>47.77</v>
      </c>
      <c r="P62" s="15">
        <v>105</v>
      </c>
      <c r="Q62" s="16">
        <v>0.121</v>
      </c>
      <c r="R62" s="16">
        <v>0.121</v>
      </c>
      <c r="S62" s="12">
        <f t="shared" ref="S62:S69" si="16">L62/O62</f>
        <v>-796.04354197194891</v>
      </c>
      <c r="T62" s="12">
        <f t="shared" ref="T62:T69" si="17">L62/Q62</f>
        <v>-314272.72727272729</v>
      </c>
      <c r="U62" s="17">
        <f t="shared" ref="U62:U69" si="18">L62/Q62/43560</f>
        <v>-7.2147090742132072</v>
      </c>
      <c r="V62" s="16">
        <v>50</v>
      </c>
      <c r="W62" s="16">
        <f t="shared" ref="W62:W69" si="19">0.2*E62</f>
        <v>26400</v>
      </c>
      <c r="X62" s="16">
        <f t="shared" ref="X62:X69" si="20">W62/V62</f>
        <v>528</v>
      </c>
      <c r="Y62" s="18" t="s">
        <v>1536</v>
      </c>
      <c r="Z62" s="10" t="s">
        <v>35</v>
      </c>
      <c r="AA62" s="10" t="s">
        <v>35</v>
      </c>
      <c r="AB62" s="10" t="s">
        <v>1537</v>
      </c>
      <c r="AC62" s="10">
        <v>0</v>
      </c>
      <c r="AD62" s="10">
        <v>1</v>
      </c>
      <c r="AE62" s="10" t="s">
        <v>42</v>
      </c>
      <c r="AF62" s="10" t="s">
        <v>35</v>
      </c>
      <c r="AG62" s="10" t="s">
        <v>38</v>
      </c>
      <c r="AH62" s="10" t="s">
        <v>92</v>
      </c>
    </row>
    <row r="63" spans="1:34" x14ac:dyDescent="0.3">
      <c r="A63" s="75" t="s">
        <v>1537</v>
      </c>
      <c r="B63" s="19" t="s">
        <v>1610</v>
      </c>
      <c r="C63" s="19" t="s">
        <v>1611</v>
      </c>
      <c r="D63" s="20">
        <v>45743</v>
      </c>
      <c r="E63" s="21">
        <v>271200</v>
      </c>
      <c r="F63" s="19" t="s">
        <v>32</v>
      </c>
      <c r="G63" s="19" t="s">
        <v>33</v>
      </c>
      <c r="H63" s="21">
        <v>271200</v>
      </c>
      <c r="I63" s="21">
        <v>89000</v>
      </c>
      <c r="J63" s="22">
        <f t="shared" si="14"/>
        <v>32.817109144542769</v>
      </c>
      <c r="K63" s="21">
        <v>190194</v>
      </c>
      <c r="L63" s="21">
        <f>H63-179925</f>
        <v>91275</v>
      </c>
      <c r="M63" s="21">
        <v>10269</v>
      </c>
      <c r="N63" s="67">
        <f t="shared" si="15"/>
        <v>3.786504424778761E-2</v>
      </c>
      <c r="O63" s="23">
        <v>48.9</v>
      </c>
      <c r="P63" s="24">
        <v>110</v>
      </c>
      <c r="Q63" s="25">
        <v>0.126</v>
      </c>
      <c r="R63" s="25">
        <v>0.126</v>
      </c>
      <c r="S63" s="21">
        <f t="shared" si="16"/>
        <v>1866.5644171779143</v>
      </c>
      <c r="T63" s="21">
        <f t="shared" si="17"/>
        <v>724404.76190476189</v>
      </c>
      <c r="U63" s="26">
        <f t="shared" si="18"/>
        <v>16.630045039135947</v>
      </c>
      <c r="V63" s="25">
        <v>50</v>
      </c>
      <c r="W63" s="25">
        <f t="shared" si="19"/>
        <v>54240</v>
      </c>
      <c r="X63" s="25">
        <f t="shared" si="20"/>
        <v>1084.8</v>
      </c>
      <c r="Y63" s="27" t="s">
        <v>1536</v>
      </c>
      <c r="Z63" s="19" t="s">
        <v>35</v>
      </c>
      <c r="AA63" s="19" t="s">
        <v>35</v>
      </c>
      <c r="AB63" s="19" t="s">
        <v>1537</v>
      </c>
      <c r="AC63" s="19">
        <v>0</v>
      </c>
      <c r="AD63" s="19">
        <v>1</v>
      </c>
      <c r="AE63" s="19" t="s">
        <v>42</v>
      </c>
      <c r="AF63" s="19" t="s">
        <v>35</v>
      </c>
      <c r="AG63" s="19" t="s">
        <v>38</v>
      </c>
      <c r="AH63" s="19" t="s">
        <v>92</v>
      </c>
    </row>
    <row r="64" spans="1:34" x14ac:dyDescent="0.3">
      <c r="A64" s="75" t="s">
        <v>1537</v>
      </c>
      <c r="B64" s="19" t="s">
        <v>1670</v>
      </c>
      <c r="C64" s="19" t="s">
        <v>1671</v>
      </c>
      <c r="D64" s="20">
        <v>45681</v>
      </c>
      <c r="E64" s="21">
        <v>230000</v>
      </c>
      <c r="F64" s="19" t="s">
        <v>32</v>
      </c>
      <c r="G64" s="19" t="s">
        <v>33</v>
      </c>
      <c r="H64" s="21">
        <v>230000</v>
      </c>
      <c r="I64" s="21">
        <v>84100</v>
      </c>
      <c r="J64" s="22">
        <f t="shared" si="14"/>
        <v>36.565217391304351</v>
      </c>
      <c r="K64" s="21">
        <v>180060</v>
      </c>
      <c r="L64" s="21">
        <f>H64-170027</f>
        <v>59973</v>
      </c>
      <c r="M64" s="21">
        <v>10033</v>
      </c>
      <c r="N64" s="67">
        <f t="shared" si="15"/>
        <v>4.3621739130434781E-2</v>
      </c>
      <c r="O64" s="23">
        <v>47.77</v>
      </c>
      <c r="P64" s="24">
        <v>105</v>
      </c>
      <c r="Q64" s="25">
        <v>0.121</v>
      </c>
      <c r="R64" s="25">
        <v>0.121</v>
      </c>
      <c r="S64" s="21">
        <f t="shared" si="16"/>
        <v>1255.4532133137952</v>
      </c>
      <c r="T64" s="21">
        <f t="shared" si="17"/>
        <v>495644.62809917354</v>
      </c>
      <c r="U64" s="26">
        <f t="shared" si="18"/>
        <v>11.378434988502606</v>
      </c>
      <c r="V64" s="25">
        <v>50</v>
      </c>
      <c r="W64" s="25">
        <f t="shared" si="19"/>
        <v>46000</v>
      </c>
      <c r="X64" s="25">
        <f t="shared" si="20"/>
        <v>920</v>
      </c>
      <c r="Y64" s="27" t="s">
        <v>1536</v>
      </c>
      <c r="Z64" s="19" t="s">
        <v>35</v>
      </c>
      <c r="AA64" s="19" t="s">
        <v>35</v>
      </c>
      <c r="AB64" s="19" t="s">
        <v>1537</v>
      </c>
      <c r="AC64" s="19">
        <v>0</v>
      </c>
      <c r="AD64" s="19">
        <v>1</v>
      </c>
      <c r="AE64" s="19" t="s">
        <v>42</v>
      </c>
      <c r="AF64" s="19" t="s">
        <v>35</v>
      </c>
      <c r="AG64" s="19" t="s">
        <v>38</v>
      </c>
      <c r="AH64" s="19" t="s">
        <v>92</v>
      </c>
    </row>
    <row r="65" spans="1:34" x14ac:dyDescent="0.3">
      <c r="A65" s="74" t="s">
        <v>1537</v>
      </c>
      <c r="B65" s="10" t="s">
        <v>1594</v>
      </c>
      <c r="C65" s="10" t="s">
        <v>1595</v>
      </c>
      <c r="D65" s="11">
        <v>45604</v>
      </c>
      <c r="E65" s="12">
        <v>275000</v>
      </c>
      <c r="F65" s="10" t="s">
        <v>32</v>
      </c>
      <c r="G65" s="10" t="s">
        <v>33</v>
      </c>
      <c r="H65" s="12">
        <v>275000</v>
      </c>
      <c r="I65" s="12">
        <v>100700</v>
      </c>
      <c r="J65" s="13">
        <f t="shared" si="14"/>
        <v>36.618181818181817</v>
      </c>
      <c r="K65" s="12">
        <v>215472</v>
      </c>
      <c r="L65" s="12">
        <f>H65-204433</f>
        <v>70567</v>
      </c>
      <c r="M65" s="12">
        <v>11039</v>
      </c>
      <c r="N65" s="66">
        <f t="shared" si="15"/>
        <v>4.0141818181818181E-2</v>
      </c>
      <c r="O65" s="14">
        <v>52.56</v>
      </c>
      <c r="P65" s="15">
        <v>112.8</v>
      </c>
      <c r="Q65" s="16">
        <v>0.14499999999999999</v>
      </c>
      <c r="R65" s="16">
        <v>0.14499999999999999</v>
      </c>
      <c r="S65" s="12">
        <f t="shared" si="16"/>
        <v>1342.5989345509893</v>
      </c>
      <c r="T65" s="12">
        <f t="shared" si="17"/>
        <v>486668.96551724139</v>
      </c>
      <c r="U65" s="17">
        <f t="shared" si="18"/>
        <v>11.172382128494981</v>
      </c>
      <c r="V65" s="16">
        <v>47</v>
      </c>
      <c r="W65" s="16">
        <f t="shared" si="19"/>
        <v>55000</v>
      </c>
      <c r="X65" s="16">
        <f t="shared" si="20"/>
        <v>1170.2127659574469</v>
      </c>
      <c r="Y65" s="18" t="s">
        <v>1536</v>
      </c>
      <c r="Z65" s="10" t="s">
        <v>35</v>
      </c>
      <c r="AA65" s="10" t="s">
        <v>35</v>
      </c>
      <c r="AB65" s="10" t="s">
        <v>1537</v>
      </c>
      <c r="AC65" s="10">
        <v>0</v>
      </c>
      <c r="AD65" s="10">
        <v>1</v>
      </c>
      <c r="AE65" s="10" t="s">
        <v>42</v>
      </c>
      <c r="AF65" s="10" t="s">
        <v>35</v>
      </c>
      <c r="AG65" s="10" t="s">
        <v>38</v>
      </c>
      <c r="AH65" s="10" t="s">
        <v>92</v>
      </c>
    </row>
    <row r="66" spans="1:34" x14ac:dyDescent="0.3">
      <c r="A66" s="75" t="s">
        <v>1537</v>
      </c>
      <c r="B66" s="19" t="s">
        <v>1538</v>
      </c>
      <c r="C66" s="19" t="s">
        <v>1539</v>
      </c>
      <c r="D66" s="20">
        <v>45687</v>
      </c>
      <c r="E66" s="21">
        <v>285000</v>
      </c>
      <c r="F66" s="19" t="s">
        <v>32</v>
      </c>
      <c r="G66" s="19" t="s">
        <v>33</v>
      </c>
      <c r="H66" s="21">
        <v>285000</v>
      </c>
      <c r="I66" s="21">
        <v>179900</v>
      </c>
      <c r="J66" s="22">
        <f t="shared" si="14"/>
        <v>63.122807017543856</v>
      </c>
      <c r="K66" s="21">
        <v>368800</v>
      </c>
      <c r="L66" s="21">
        <f>H66-341295</f>
        <v>-56295</v>
      </c>
      <c r="M66" s="21">
        <v>27505</v>
      </c>
      <c r="N66" s="67">
        <f t="shared" si="15"/>
        <v>9.6508771929824558E-2</v>
      </c>
      <c r="O66" s="23">
        <v>130.97</v>
      </c>
      <c r="P66" s="24">
        <v>137</v>
      </c>
      <c r="Q66" s="25">
        <v>0.377</v>
      </c>
      <c r="R66" s="25">
        <v>0.377</v>
      </c>
      <c r="S66" s="21">
        <f t="shared" si="16"/>
        <v>-429.83125906696188</v>
      </c>
      <c r="T66" s="21">
        <f t="shared" si="17"/>
        <v>-149323.60742705571</v>
      </c>
      <c r="U66" s="26">
        <f t="shared" si="18"/>
        <v>-3.4279983339544469</v>
      </c>
      <c r="V66" s="25">
        <v>120</v>
      </c>
      <c r="W66" s="25">
        <f t="shared" si="19"/>
        <v>57000</v>
      </c>
      <c r="X66" s="25">
        <f t="shared" si="20"/>
        <v>475</v>
      </c>
      <c r="Y66" s="27" t="s">
        <v>1536</v>
      </c>
      <c r="Z66" s="19" t="s">
        <v>35</v>
      </c>
      <c r="AA66" s="19" t="s">
        <v>35</v>
      </c>
      <c r="AB66" s="19" t="s">
        <v>1537</v>
      </c>
      <c r="AC66" s="19">
        <v>0</v>
      </c>
      <c r="AD66" s="19">
        <v>1</v>
      </c>
      <c r="AE66" s="19" t="s">
        <v>42</v>
      </c>
      <c r="AF66" s="19" t="s">
        <v>35</v>
      </c>
      <c r="AG66" s="19" t="s">
        <v>38</v>
      </c>
      <c r="AH66" s="19" t="s">
        <v>92</v>
      </c>
    </row>
    <row r="67" spans="1:34" x14ac:dyDescent="0.3">
      <c r="A67" s="75" t="s">
        <v>1537</v>
      </c>
      <c r="B67" s="19" t="s">
        <v>1612</v>
      </c>
      <c r="C67" s="19" t="s">
        <v>1613</v>
      </c>
      <c r="D67" s="20">
        <v>45707</v>
      </c>
      <c r="E67" s="21">
        <v>160000</v>
      </c>
      <c r="F67" s="19" t="s">
        <v>32</v>
      </c>
      <c r="G67" s="19" t="s">
        <v>33</v>
      </c>
      <c r="H67" s="21">
        <v>160000</v>
      </c>
      <c r="I67" s="21">
        <v>89900</v>
      </c>
      <c r="J67" s="22">
        <f t="shared" si="14"/>
        <v>56.1875</v>
      </c>
      <c r="K67" s="21">
        <v>193105</v>
      </c>
      <c r="L67" s="21">
        <f>H67-181058</f>
        <v>-21058</v>
      </c>
      <c r="M67" s="21">
        <v>12047</v>
      </c>
      <c r="N67" s="67">
        <f t="shared" si="15"/>
        <v>7.5293750000000007E-2</v>
      </c>
      <c r="O67" s="23">
        <v>57.36</v>
      </c>
      <c r="P67" s="24">
        <v>138.79</v>
      </c>
      <c r="Q67" s="25">
        <v>0.14799999999999999</v>
      </c>
      <c r="R67" s="25">
        <v>0.14799999999999999</v>
      </c>
      <c r="S67" s="21">
        <f t="shared" si="16"/>
        <v>-367.11994421199444</v>
      </c>
      <c r="T67" s="21">
        <f t="shared" si="17"/>
        <v>-142283.78378378379</v>
      </c>
      <c r="U67" s="26">
        <f t="shared" si="18"/>
        <v>-3.2663862209316754</v>
      </c>
      <c r="V67" s="25">
        <v>64</v>
      </c>
      <c r="W67" s="25">
        <f t="shared" si="19"/>
        <v>32000</v>
      </c>
      <c r="X67" s="25">
        <f t="shared" si="20"/>
        <v>500</v>
      </c>
      <c r="Y67" s="27" t="s">
        <v>1536</v>
      </c>
      <c r="Z67" s="19" t="s">
        <v>35</v>
      </c>
      <c r="AA67" s="19" t="s">
        <v>35</v>
      </c>
      <c r="AB67" s="19" t="s">
        <v>1537</v>
      </c>
      <c r="AC67" s="19">
        <v>0</v>
      </c>
      <c r="AD67" s="19">
        <v>1</v>
      </c>
      <c r="AE67" s="19" t="s">
        <v>42</v>
      </c>
      <c r="AF67" s="19" t="s">
        <v>35</v>
      </c>
      <c r="AG67" s="19" t="s">
        <v>38</v>
      </c>
      <c r="AH67" s="19" t="s">
        <v>92</v>
      </c>
    </row>
    <row r="68" spans="1:34" x14ac:dyDescent="0.3">
      <c r="A68" s="75" t="s">
        <v>1537</v>
      </c>
      <c r="B68" s="19" t="s">
        <v>1550</v>
      </c>
      <c r="C68" s="19" t="s">
        <v>1551</v>
      </c>
      <c r="D68" s="20">
        <v>45700</v>
      </c>
      <c r="E68" s="21">
        <v>180000</v>
      </c>
      <c r="F68" s="19" t="s">
        <v>32</v>
      </c>
      <c r="G68" s="19" t="s">
        <v>33</v>
      </c>
      <c r="H68" s="21">
        <v>180000</v>
      </c>
      <c r="I68" s="21">
        <v>101600</v>
      </c>
      <c r="J68" s="22">
        <f t="shared" si="14"/>
        <v>56.444444444444443</v>
      </c>
      <c r="K68" s="21">
        <v>216080</v>
      </c>
      <c r="L68" s="21">
        <f>H68-202555</f>
        <v>-22555</v>
      </c>
      <c r="M68" s="21">
        <v>13525</v>
      </c>
      <c r="N68" s="67">
        <f t="shared" si="15"/>
        <v>7.5138888888888894E-2</v>
      </c>
      <c r="O68" s="23">
        <v>64.400000000000006</v>
      </c>
      <c r="P68" s="24">
        <v>112.91</v>
      </c>
      <c r="Q68" s="25">
        <v>0.16800000000000001</v>
      </c>
      <c r="R68" s="25">
        <v>0.16800000000000001</v>
      </c>
      <c r="S68" s="21">
        <f t="shared" si="16"/>
        <v>-350.23291925465833</v>
      </c>
      <c r="T68" s="21">
        <f t="shared" si="17"/>
        <v>-134255.95238095237</v>
      </c>
      <c r="U68" s="26">
        <f t="shared" si="18"/>
        <v>-3.0820925707289342</v>
      </c>
      <c r="V68" s="25">
        <v>65</v>
      </c>
      <c r="W68" s="25">
        <f t="shared" si="19"/>
        <v>36000</v>
      </c>
      <c r="X68" s="25">
        <f t="shared" si="20"/>
        <v>553.84615384615381</v>
      </c>
      <c r="Y68" s="27" t="s">
        <v>1536</v>
      </c>
      <c r="Z68" s="19" t="s">
        <v>35</v>
      </c>
      <c r="AA68" s="19" t="s">
        <v>35</v>
      </c>
      <c r="AB68" s="19" t="s">
        <v>1537</v>
      </c>
      <c r="AC68" s="19">
        <v>0</v>
      </c>
      <c r="AD68" s="19">
        <v>1</v>
      </c>
      <c r="AE68" s="19" t="s">
        <v>42</v>
      </c>
      <c r="AF68" s="19" t="s">
        <v>35</v>
      </c>
      <c r="AG68" s="19" t="s">
        <v>38</v>
      </c>
      <c r="AH68" s="19" t="s">
        <v>92</v>
      </c>
    </row>
    <row r="69" spans="1:34" x14ac:dyDescent="0.3">
      <c r="A69" s="75" t="s">
        <v>1537</v>
      </c>
      <c r="B69" s="19" t="s">
        <v>1544</v>
      </c>
      <c r="C69" s="19" t="s">
        <v>1545</v>
      </c>
      <c r="D69" s="20">
        <v>45187</v>
      </c>
      <c r="E69" s="21">
        <v>143000</v>
      </c>
      <c r="F69" s="19" t="s">
        <v>32</v>
      </c>
      <c r="G69" s="19" t="s">
        <v>33</v>
      </c>
      <c r="H69" s="21">
        <v>143000</v>
      </c>
      <c r="I69" s="21">
        <v>66700</v>
      </c>
      <c r="J69" s="22">
        <f t="shared" si="14"/>
        <v>46.64335664335664</v>
      </c>
      <c r="K69" s="21">
        <v>165537</v>
      </c>
      <c r="L69" s="21">
        <f>H69-153613</f>
        <v>-10613</v>
      </c>
      <c r="M69" s="21">
        <v>11924</v>
      </c>
      <c r="N69" s="67">
        <f t="shared" si="15"/>
        <v>8.338461538461539E-2</v>
      </c>
      <c r="O69" s="23">
        <v>56.78</v>
      </c>
      <c r="P69" s="24">
        <v>132</v>
      </c>
      <c r="Q69" s="25">
        <v>0.161</v>
      </c>
      <c r="R69" s="25">
        <v>0.161</v>
      </c>
      <c r="S69" s="21">
        <f t="shared" si="16"/>
        <v>-186.91440648115534</v>
      </c>
      <c r="T69" s="21">
        <f t="shared" si="17"/>
        <v>-65919.254658385093</v>
      </c>
      <c r="U69" s="26">
        <f t="shared" si="18"/>
        <v>-1.5132978571713749</v>
      </c>
      <c r="V69" s="25">
        <v>53</v>
      </c>
      <c r="W69" s="25">
        <f t="shared" si="19"/>
        <v>28600</v>
      </c>
      <c r="X69" s="25">
        <f t="shared" si="20"/>
        <v>539.62264150943395</v>
      </c>
      <c r="Y69" s="27" t="s">
        <v>1536</v>
      </c>
      <c r="Z69" s="19" t="s">
        <v>35</v>
      </c>
      <c r="AA69" s="19" t="s">
        <v>35</v>
      </c>
      <c r="AB69" s="19" t="s">
        <v>1537</v>
      </c>
      <c r="AC69" s="19">
        <v>0</v>
      </c>
      <c r="AD69" s="19">
        <v>1</v>
      </c>
      <c r="AE69" s="19" t="s">
        <v>42</v>
      </c>
      <c r="AF69" s="19" t="s">
        <v>43</v>
      </c>
      <c r="AG69" s="19" t="s">
        <v>38</v>
      </c>
      <c r="AH69" s="19" t="s">
        <v>92</v>
      </c>
    </row>
  </sheetData>
  <sortState xmlns:xlrd2="http://schemas.microsoft.com/office/spreadsheetml/2017/richdata2" ref="A2:AH55">
    <sortCondition ref="S2:S55"/>
  </sortState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00B050"/>
  </sheetPr>
  <dimension ref="A1:AH28"/>
  <sheetViews>
    <sheetView workbookViewId="0">
      <selection activeCell="D16" sqref="D16:M2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554687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1639</v>
      </c>
      <c r="B2" s="19" t="s">
        <v>1685</v>
      </c>
      <c r="C2" s="19" t="s">
        <v>1686</v>
      </c>
      <c r="D2" s="20">
        <v>45441</v>
      </c>
      <c r="E2" s="21">
        <v>225000</v>
      </c>
      <c r="F2" s="19" t="s">
        <v>81</v>
      </c>
      <c r="G2" s="19" t="s">
        <v>33</v>
      </c>
      <c r="H2" s="21">
        <v>225000</v>
      </c>
      <c r="I2" s="21">
        <v>135700</v>
      </c>
      <c r="J2" s="22">
        <f t="shared" ref="J2:J12" si="0">I2/H2*100</f>
        <v>60.311111111111117</v>
      </c>
      <c r="K2" s="21">
        <v>294702</v>
      </c>
      <c r="L2" s="21">
        <f>H2-274603</f>
        <v>-49603</v>
      </c>
      <c r="M2" s="21">
        <v>20099</v>
      </c>
      <c r="N2" s="67">
        <f t="shared" ref="N2:N12" si="1">M2/E2</f>
        <v>8.9328888888888888E-2</v>
      </c>
      <c r="O2" s="23">
        <v>122.55</v>
      </c>
      <c r="P2" s="24">
        <v>330.44</v>
      </c>
      <c r="Q2" s="25">
        <v>0.75900000000000001</v>
      </c>
      <c r="R2" s="25">
        <v>0.75900000000000001</v>
      </c>
      <c r="S2" s="21">
        <f t="shared" ref="S2:S12" si="2">L2/O2</f>
        <v>-404.75724194206447</v>
      </c>
      <c r="T2" s="21">
        <f t="shared" ref="T2:T12" si="3">L2/Q2</f>
        <v>-65353.096179183136</v>
      </c>
      <c r="U2" s="26">
        <f t="shared" ref="U2:U12" si="4">L2/Q2/43560</f>
        <v>-1.5003006469050306</v>
      </c>
      <c r="V2" s="25">
        <v>100</v>
      </c>
      <c r="W2" s="25">
        <f t="shared" ref="W2:W12" si="5">0.2*E2</f>
        <v>45000</v>
      </c>
      <c r="X2" s="25">
        <f t="shared" ref="X2:X12" si="6">W2/V2</f>
        <v>450</v>
      </c>
      <c r="Y2" s="27" t="s">
        <v>1638</v>
      </c>
      <c r="Z2" s="19" t="s">
        <v>35</v>
      </c>
      <c r="AA2" s="19" t="s">
        <v>35</v>
      </c>
      <c r="AB2" s="19" t="s">
        <v>1639</v>
      </c>
      <c r="AC2" s="19">
        <v>0</v>
      </c>
      <c r="AD2" s="19">
        <v>1</v>
      </c>
      <c r="AE2" s="19" t="s">
        <v>1687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1639</v>
      </c>
      <c r="B3" s="10" t="s">
        <v>1646</v>
      </c>
      <c r="C3" s="10" t="s">
        <v>1647</v>
      </c>
      <c r="D3" s="11">
        <v>45022</v>
      </c>
      <c r="E3" s="12">
        <v>171000</v>
      </c>
      <c r="F3" s="10" t="s">
        <v>32</v>
      </c>
      <c r="G3" s="10" t="s">
        <v>33</v>
      </c>
      <c r="H3" s="12">
        <v>171000</v>
      </c>
      <c r="I3" s="12">
        <v>82500</v>
      </c>
      <c r="J3" s="13">
        <f t="shared" si="0"/>
        <v>48.245614035087719</v>
      </c>
      <c r="K3" s="12">
        <v>196409</v>
      </c>
      <c r="L3" s="12">
        <f>H3-188105</f>
        <v>-17105</v>
      </c>
      <c r="M3" s="12">
        <v>8304</v>
      </c>
      <c r="N3" s="66">
        <f t="shared" si="1"/>
        <v>4.856140350877193E-2</v>
      </c>
      <c r="O3" s="14">
        <v>50.63</v>
      </c>
      <c r="P3" s="15">
        <v>133.5</v>
      </c>
      <c r="Q3" s="16">
        <v>0.19900000000000001</v>
      </c>
      <c r="R3" s="16">
        <v>0.19900000000000001</v>
      </c>
      <c r="S3" s="12">
        <f t="shared" si="2"/>
        <v>-337.84317598261896</v>
      </c>
      <c r="T3" s="12">
        <f t="shared" si="3"/>
        <v>-85954.773869346725</v>
      </c>
      <c r="U3" s="17">
        <f t="shared" si="4"/>
        <v>-1.973250088827978</v>
      </c>
      <c r="V3" s="16">
        <v>65</v>
      </c>
      <c r="W3" s="16">
        <f t="shared" si="5"/>
        <v>34200</v>
      </c>
      <c r="X3" s="16">
        <f t="shared" si="6"/>
        <v>526.15384615384619</v>
      </c>
      <c r="Y3" s="18" t="s">
        <v>1638</v>
      </c>
      <c r="Z3" s="10" t="s">
        <v>35</v>
      </c>
      <c r="AA3" s="10" t="s">
        <v>35</v>
      </c>
      <c r="AB3" s="10" t="s">
        <v>1639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1639</v>
      </c>
      <c r="B4" s="19" t="s">
        <v>1642</v>
      </c>
      <c r="C4" s="19" t="s">
        <v>1643</v>
      </c>
      <c r="D4" s="20">
        <v>45322</v>
      </c>
      <c r="E4" s="21">
        <v>100000</v>
      </c>
      <c r="F4" s="19" t="s">
        <v>32</v>
      </c>
      <c r="G4" s="19" t="s">
        <v>33</v>
      </c>
      <c r="H4" s="21">
        <v>100000</v>
      </c>
      <c r="I4" s="21">
        <v>39900</v>
      </c>
      <c r="J4" s="22">
        <f t="shared" si="0"/>
        <v>39.900000000000006</v>
      </c>
      <c r="K4" s="21">
        <v>99496</v>
      </c>
      <c r="L4" s="21">
        <f>H4-91192</f>
        <v>8808</v>
      </c>
      <c r="M4" s="21">
        <v>8304</v>
      </c>
      <c r="N4" s="67">
        <f t="shared" si="1"/>
        <v>8.3040000000000003E-2</v>
      </c>
      <c r="O4" s="23">
        <v>50.63</v>
      </c>
      <c r="P4" s="24">
        <v>133.5</v>
      </c>
      <c r="Q4" s="25">
        <v>0.19900000000000001</v>
      </c>
      <c r="R4" s="25">
        <v>0.19900000000000001</v>
      </c>
      <c r="S4" s="21">
        <f t="shared" si="2"/>
        <v>173.96800316018169</v>
      </c>
      <c r="T4" s="21">
        <f t="shared" si="3"/>
        <v>44261.306532663315</v>
      </c>
      <c r="U4" s="26">
        <f t="shared" si="4"/>
        <v>1.0160997826598557</v>
      </c>
      <c r="V4" s="25">
        <v>65</v>
      </c>
      <c r="W4" s="25">
        <f t="shared" si="5"/>
        <v>20000</v>
      </c>
      <c r="X4" s="25">
        <f t="shared" si="6"/>
        <v>307.69230769230768</v>
      </c>
      <c r="Y4" s="27" t="s">
        <v>1638</v>
      </c>
      <c r="Z4" s="19" t="s">
        <v>35</v>
      </c>
      <c r="AA4" s="19" t="s">
        <v>35</v>
      </c>
      <c r="AB4" s="19" t="s">
        <v>1639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1639</v>
      </c>
      <c r="B5" s="19" t="s">
        <v>1676</v>
      </c>
      <c r="C5" s="19" t="s">
        <v>1677</v>
      </c>
      <c r="D5" s="20">
        <v>45541</v>
      </c>
      <c r="E5" s="21">
        <v>172000</v>
      </c>
      <c r="F5" s="19" t="s">
        <v>32</v>
      </c>
      <c r="G5" s="19" t="s">
        <v>66</v>
      </c>
      <c r="H5" s="21">
        <v>172000</v>
      </c>
      <c r="I5" s="21">
        <v>71100</v>
      </c>
      <c r="J5" s="22">
        <f t="shared" si="0"/>
        <v>41.337209302325583</v>
      </c>
      <c r="K5" s="21">
        <v>157392</v>
      </c>
      <c r="L5" s="21">
        <f>H5-128438</f>
        <v>43562</v>
      </c>
      <c r="M5" s="21">
        <v>28954</v>
      </c>
      <c r="N5" s="67">
        <f t="shared" si="1"/>
        <v>0.16833720930232557</v>
      </c>
      <c r="O5" s="23">
        <v>176.54</v>
      </c>
      <c r="P5" s="24">
        <v>699.69</v>
      </c>
      <c r="Q5" s="25">
        <v>1.1240000000000001</v>
      </c>
      <c r="R5" s="25">
        <v>0.56200000000000006</v>
      </c>
      <c r="S5" s="21">
        <f t="shared" si="2"/>
        <v>246.75427665118389</v>
      </c>
      <c r="T5" s="21">
        <f t="shared" si="3"/>
        <v>38756.227758007117</v>
      </c>
      <c r="U5" s="26">
        <f t="shared" si="4"/>
        <v>0.88972056377426811</v>
      </c>
      <c r="V5" s="25">
        <v>140</v>
      </c>
      <c r="W5" s="25">
        <f t="shared" si="5"/>
        <v>34400</v>
      </c>
      <c r="X5" s="25">
        <f t="shared" si="6"/>
        <v>245.71428571428572</v>
      </c>
      <c r="Y5" s="27" t="s">
        <v>1638</v>
      </c>
      <c r="Z5" s="19" t="s">
        <v>35</v>
      </c>
      <c r="AA5" s="19" t="s">
        <v>1678</v>
      </c>
      <c r="AB5" s="19" t="s">
        <v>1639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1639</v>
      </c>
      <c r="B6" s="10" t="s">
        <v>1674</v>
      </c>
      <c r="C6" s="10" t="s">
        <v>1675</v>
      </c>
      <c r="D6" s="11">
        <v>45548</v>
      </c>
      <c r="E6" s="12">
        <v>330000</v>
      </c>
      <c r="F6" s="10" t="s">
        <v>32</v>
      </c>
      <c r="G6" s="10" t="s">
        <v>33</v>
      </c>
      <c r="H6" s="12">
        <v>330000</v>
      </c>
      <c r="I6" s="12">
        <v>150100</v>
      </c>
      <c r="J6" s="13">
        <f t="shared" si="0"/>
        <v>45.484848484848484</v>
      </c>
      <c r="K6" s="12">
        <v>313887</v>
      </c>
      <c r="L6" s="12">
        <f>H6-301165</f>
        <v>28835</v>
      </c>
      <c r="M6" s="12">
        <v>12722</v>
      </c>
      <c r="N6" s="66">
        <f t="shared" si="1"/>
        <v>3.8551515151515149E-2</v>
      </c>
      <c r="O6" s="14">
        <v>77.569999999999993</v>
      </c>
      <c r="P6" s="15">
        <v>303.93</v>
      </c>
      <c r="Q6" s="16">
        <v>0.46</v>
      </c>
      <c r="R6" s="16">
        <v>0.46100000000000002</v>
      </c>
      <c r="S6" s="12">
        <f t="shared" si="2"/>
        <v>371.72876111898933</v>
      </c>
      <c r="T6" s="12">
        <f t="shared" si="3"/>
        <v>62684.782608695648</v>
      </c>
      <c r="U6" s="17">
        <f t="shared" si="4"/>
        <v>1.4390445961592206</v>
      </c>
      <c r="V6" s="16">
        <v>66</v>
      </c>
      <c r="W6" s="16">
        <f t="shared" si="5"/>
        <v>66000</v>
      </c>
      <c r="X6" s="16">
        <f t="shared" si="6"/>
        <v>1000</v>
      </c>
      <c r="Y6" s="18" t="s">
        <v>1638</v>
      </c>
      <c r="Z6" s="10" t="s">
        <v>35</v>
      </c>
      <c r="AA6" s="10" t="s">
        <v>35</v>
      </c>
      <c r="AB6" s="10" t="s">
        <v>1639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1639</v>
      </c>
      <c r="B7" s="10" t="s">
        <v>1672</v>
      </c>
      <c r="C7" s="10" t="s">
        <v>1673</v>
      </c>
      <c r="D7" s="11">
        <v>45622</v>
      </c>
      <c r="E7" s="12">
        <v>250000</v>
      </c>
      <c r="F7" s="10" t="s">
        <v>32</v>
      </c>
      <c r="G7" s="10" t="s">
        <v>33</v>
      </c>
      <c r="H7" s="12">
        <v>250000</v>
      </c>
      <c r="I7" s="12">
        <v>97300</v>
      </c>
      <c r="J7" s="13">
        <f t="shared" si="0"/>
        <v>38.92</v>
      </c>
      <c r="K7" s="12">
        <v>210657</v>
      </c>
      <c r="L7" s="12">
        <f>H7-190967</f>
        <v>59033</v>
      </c>
      <c r="M7" s="12">
        <v>19690</v>
      </c>
      <c r="N7" s="66">
        <f t="shared" si="1"/>
        <v>7.8759999999999997E-2</v>
      </c>
      <c r="O7" s="14">
        <v>120.05</v>
      </c>
      <c r="P7" s="15">
        <v>182</v>
      </c>
      <c r="Q7" s="16">
        <v>0.55200000000000005</v>
      </c>
      <c r="R7" s="16">
        <v>0.55200000000000005</v>
      </c>
      <c r="S7" s="12">
        <f t="shared" si="2"/>
        <v>491.73677634319034</v>
      </c>
      <c r="T7" s="12">
        <f t="shared" si="3"/>
        <v>106943.84057971013</v>
      </c>
      <c r="U7" s="17">
        <f t="shared" si="4"/>
        <v>2.4550927589465137</v>
      </c>
      <c r="V7" s="16">
        <v>132</v>
      </c>
      <c r="W7" s="16">
        <f t="shared" si="5"/>
        <v>50000</v>
      </c>
      <c r="X7" s="16">
        <f t="shared" si="6"/>
        <v>378.78787878787881</v>
      </c>
      <c r="Y7" s="18" t="s">
        <v>1638</v>
      </c>
      <c r="Z7" s="10" t="s">
        <v>35</v>
      </c>
      <c r="AA7" s="10" t="s">
        <v>35</v>
      </c>
      <c r="AB7" s="10" t="s">
        <v>1639</v>
      </c>
      <c r="AC7" s="10">
        <v>0</v>
      </c>
      <c r="AD7" s="10">
        <v>1</v>
      </c>
      <c r="AE7" s="10" t="s">
        <v>42</v>
      </c>
      <c r="AF7" s="10" t="s">
        <v>35</v>
      </c>
      <c r="AG7" s="10" t="s">
        <v>38</v>
      </c>
      <c r="AH7" s="10" t="s">
        <v>92</v>
      </c>
    </row>
    <row r="8" spans="1:34" x14ac:dyDescent="0.3">
      <c r="A8" s="75" t="s">
        <v>1639</v>
      </c>
      <c r="B8" s="19" t="s">
        <v>1688</v>
      </c>
      <c r="C8" s="19" t="s">
        <v>1689</v>
      </c>
      <c r="D8" s="20">
        <v>45420</v>
      </c>
      <c r="E8" s="21">
        <v>319500</v>
      </c>
      <c r="F8" s="19" t="s">
        <v>32</v>
      </c>
      <c r="G8" s="19" t="s">
        <v>66</v>
      </c>
      <c r="H8" s="21">
        <v>319500</v>
      </c>
      <c r="I8" s="21">
        <v>110200</v>
      </c>
      <c r="J8" s="22">
        <f t="shared" si="0"/>
        <v>34.491392801251955</v>
      </c>
      <c r="K8" s="21">
        <v>237524</v>
      </c>
      <c r="L8" s="21">
        <f>H8-197708</f>
        <v>121792</v>
      </c>
      <c r="M8" s="21">
        <v>39816</v>
      </c>
      <c r="N8" s="67">
        <f t="shared" si="1"/>
        <v>0.12461971830985916</v>
      </c>
      <c r="O8" s="23">
        <v>242.78</v>
      </c>
      <c r="P8" s="24">
        <v>621.78</v>
      </c>
      <c r="Q8" s="25">
        <v>1.3919999999999999</v>
      </c>
      <c r="R8" s="25">
        <v>0.73399999999999999</v>
      </c>
      <c r="S8" s="21">
        <f t="shared" si="2"/>
        <v>501.65582008402669</v>
      </c>
      <c r="T8" s="21">
        <f t="shared" si="3"/>
        <v>87494.252873563222</v>
      </c>
      <c r="U8" s="26">
        <f t="shared" si="4"/>
        <v>2.0085916637640775</v>
      </c>
      <c r="V8" s="25">
        <v>222.5</v>
      </c>
      <c r="W8" s="25">
        <f t="shared" si="5"/>
        <v>63900</v>
      </c>
      <c r="X8" s="25">
        <f t="shared" si="6"/>
        <v>287.19101123595505</v>
      </c>
      <c r="Y8" s="27" t="s">
        <v>1638</v>
      </c>
      <c r="Z8" s="19" t="s">
        <v>35</v>
      </c>
      <c r="AA8" s="19" t="s">
        <v>1690</v>
      </c>
      <c r="AB8" s="19" t="s">
        <v>1639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1639</v>
      </c>
      <c r="B9" s="19" t="s">
        <v>1648</v>
      </c>
      <c r="C9" s="19" t="s">
        <v>1649</v>
      </c>
      <c r="D9" s="20">
        <v>45520</v>
      </c>
      <c r="E9" s="21">
        <v>170000</v>
      </c>
      <c r="F9" s="19" t="s">
        <v>32</v>
      </c>
      <c r="G9" s="19" t="s">
        <v>33</v>
      </c>
      <c r="H9" s="21">
        <v>170000</v>
      </c>
      <c r="I9" s="21">
        <v>72600</v>
      </c>
      <c r="J9" s="22">
        <f t="shared" si="0"/>
        <v>42.705882352941174</v>
      </c>
      <c r="K9" s="21">
        <v>157786</v>
      </c>
      <c r="L9" s="21">
        <f>H9-152037</f>
        <v>17963</v>
      </c>
      <c r="M9" s="21">
        <v>5749</v>
      </c>
      <c r="N9" s="67">
        <f t="shared" si="1"/>
        <v>3.3817647058823529E-2</v>
      </c>
      <c r="O9" s="23">
        <v>35.049999999999997</v>
      </c>
      <c r="P9" s="24">
        <v>133.5</v>
      </c>
      <c r="Q9" s="25">
        <v>0.13800000000000001</v>
      </c>
      <c r="R9" s="25">
        <v>0.13800000000000001</v>
      </c>
      <c r="S9" s="21">
        <f t="shared" si="2"/>
        <v>512.49643366619125</v>
      </c>
      <c r="T9" s="21">
        <f t="shared" si="3"/>
        <v>130166.66666666666</v>
      </c>
      <c r="U9" s="26">
        <f t="shared" si="4"/>
        <v>2.9882154882154879</v>
      </c>
      <c r="V9" s="25">
        <v>45</v>
      </c>
      <c r="W9" s="25">
        <f t="shared" si="5"/>
        <v>34000</v>
      </c>
      <c r="X9" s="25">
        <f t="shared" si="6"/>
        <v>755.55555555555554</v>
      </c>
      <c r="Y9" s="27" t="s">
        <v>1638</v>
      </c>
      <c r="Z9" s="19" t="s">
        <v>35</v>
      </c>
      <c r="AA9" s="19" t="s">
        <v>35</v>
      </c>
      <c r="AB9" s="19" t="s">
        <v>1639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4" t="s">
        <v>1639</v>
      </c>
      <c r="B10" s="10" t="s">
        <v>1681</v>
      </c>
      <c r="C10" s="10" t="s">
        <v>1682</v>
      </c>
      <c r="D10" s="11">
        <v>45170</v>
      </c>
      <c r="E10" s="12">
        <v>233000</v>
      </c>
      <c r="F10" s="10" t="s">
        <v>32</v>
      </c>
      <c r="G10" s="10" t="s">
        <v>33</v>
      </c>
      <c r="H10" s="12">
        <v>233000</v>
      </c>
      <c r="I10" s="12">
        <v>86600</v>
      </c>
      <c r="J10" s="13">
        <f t="shared" si="0"/>
        <v>37.167381974248926</v>
      </c>
      <c r="K10" s="12">
        <v>198238</v>
      </c>
      <c r="L10" s="12">
        <f>H10-182463</f>
        <v>50537</v>
      </c>
      <c r="M10" s="12">
        <v>15775</v>
      </c>
      <c r="N10" s="66">
        <f t="shared" si="1"/>
        <v>6.7703862660944206E-2</v>
      </c>
      <c r="O10" s="14">
        <v>96.19</v>
      </c>
      <c r="P10" s="15">
        <v>108.58</v>
      </c>
      <c r="Q10" s="16">
        <v>0.34100000000000003</v>
      </c>
      <c r="R10" s="16">
        <v>0.34100000000000003</v>
      </c>
      <c r="S10" s="12">
        <f t="shared" si="2"/>
        <v>525.3872543923485</v>
      </c>
      <c r="T10" s="12">
        <f t="shared" si="3"/>
        <v>148202.34604105572</v>
      </c>
      <c r="U10" s="17">
        <f t="shared" si="4"/>
        <v>3.4022577144411321</v>
      </c>
      <c r="V10" s="16">
        <v>136.91999999999999</v>
      </c>
      <c r="W10" s="16">
        <f t="shared" si="5"/>
        <v>46600</v>
      </c>
      <c r="X10" s="16">
        <f t="shared" si="6"/>
        <v>340.34472684779439</v>
      </c>
      <c r="Y10" s="18" t="s">
        <v>1638</v>
      </c>
      <c r="Z10" s="10" t="s">
        <v>35</v>
      </c>
      <c r="AA10" s="10" t="s">
        <v>35</v>
      </c>
      <c r="AB10" s="10" t="s">
        <v>1639</v>
      </c>
      <c r="AC10" s="10">
        <v>0</v>
      </c>
      <c r="AD10" s="10">
        <v>1</v>
      </c>
      <c r="AE10" s="10" t="s">
        <v>412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4" t="s">
        <v>1639</v>
      </c>
      <c r="B11" s="10" t="s">
        <v>1683</v>
      </c>
      <c r="C11" s="10" t="s">
        <v>1684</v>
      </c>
      <c r="D11" s="11">
        <v>45653</v>
      </c>
      <c r="E11" s="12">
        <v>241000</v>
      </c>
      <c r="F11" s="10" t="s">
        <v>32</v>
      </c>
      <c r="G11" s="10" t="s">
        <v>33</v>
      </c>
      <c r="H11" s="12">
        <v>241000</v>
      </c>
      <c r="I11" s="12">
        <v>87400</v>
      </c>
      <c r="J11" s="13">
        <f t="shared" si="0"/>
        <v>36.265560165975103</v>
      </c>
      <c r="K11" s="12">
        <v>195307</v>
      </c>
      <c r="L11" s="12">
        <f>H11-178408</f>
        <v>62592</v>
      </c>
      <c r="M11" s="12">
        <v>16899</v>
      </c>
      <c r="N11" s="66">
        <f t="shared" si="1"/>
        <v>7.0120331950207462E-2</v>
      </c>
      <c r="O11" s="14">
        <v>103.04</v>
      </c>
      <c r="P11" s="15">
        <v>308.61</v>
      </c>
      <c r="Q11" s="16">
        <v>0.61599999999999999</v>
      </c>
      <c r="R11" s="16">
        <v>0.61599999999999999</v>
      </c>
      <c r="S11" s="12">
        <f t="shared" si="2"/>
        <v>607.45341614906829</v>
      </c>
      <c r="T11" s="12">
        <f t="shared" si="3"/>
        <v>101610.38961038961</v>
      </c>
      <c r="U11" s="17">
        <f t="shared" si="4"/>
        <v>2.332653572322994</v>
      </c>
      <c r="V11" s="16">
        <v>87</v>
      </c>
      <c r="W11" s="16">
        <f t="shared" si="5"/>
        <v>48200</v>
      </c>
      <c r="X11" s="16">
        <f t="shared" si="6"/>
        <v>554.02298850574709</v>
      </c>
      <c r="Y11" s="18" t="s">
        <v>1638</v>
      </c>
      <c r="Z11" s="10" t="s">
        <v>35</v>
      </c>
      <c r="AA11" s="10" t="s">
        <v>35</v>
      </c>
      <c r="AB11" s="10" t="s">
        <v>1639</v>
      </c>
      <c r="AC11" s="10">
        <v>0</v>
      </c>
      <c r="AD11" s="10">
        <v>1</v>
      </c>
      <c r="AE11" s="10" t="s">
        <v>42</v>
      </c>
      <c r="AF11" s="10" t="s">
        <v>35</v>
      </c>
      <c r="AG11" s="10" t="s">
        <v>38</v>
      </c>
      <c r="AH11" s="10" t="s">
        <v>92</v>
      </c>
    </row>
    <row r="12" spans="1:34" ht="15" thickBot="1" x14ac:dyDescent="0.35">
      <c r="A12" s="74" t="s">
        <v>1639</v>
      </c>
      <c r="B12" s="10" t="s">
        <v>1644</v>
      </c>
      <c r="C12" s="10" t="s">
        <v>1645</v>
      </c>
      <c r="D12" s="11">
        <v>45308</v>
      </c>
      <c r="E12" s="12">
        <v>136000</v>
      </c>
      <c r="F12" s="10" t="s">
        <v>32</v>
      </c>
      <c r="G12" s="10" t="s">
        <v>33</v>
      </c>
      <c r="H12" s="12">
        <v>136000</v>
      </c>
      <c r="I12" s="12">
        <v>40300</v>
      </c>
      <c r="J12" s="13">
        <f t="shared" si="0"/>
        <v>29.632352941176471</v>
      </c>
      <c r="K12" s="12">
        <v>100831</v>
      </c>
      <c r="L12" s="12">
        <f>H12-92637</f>
        <v>43363</v>
      </c>
      <c r="M12" s="12">
        <v>8194</v>
      </c>
      <c r="N12" s="66">
        <f t="shared" si="1"/>
        <v>6.0249999999999998E-2</v>
      </c>
      <c r="O12" s="14">
        <v>49.96</v>
      </c>
      <c r="P12" s="15">
        <v>130</v>
      </c>
      <c r="Q12" s="16">
        <v>0.19400000000000001</v>
      </c>
      <c r="R12" s="16">
        <v>0.19400000000000001</v>
      </c>
      <c r="S12" s="12">
        <f t="shared" si="2"/>
        <v>867.95436349079262</v>
      </c>
      <c r="T12" s="12">
        <f t="shared" si="3"/>
        <v>223520.61855670103</v>
      </c>
      <c r="U12" s="17">
        <f t="shared" si="4"/>
        <v>5.1313273314210521</v>
      </c>
      <c r="V12" s="16">
        <v>65</v>
      </c>
      <c r="W12" s="16">
        <f t="shared" si="5"/>
        <v>27200</v>
      </c>
      <c r="X12" s="16">
        <f t="shared" si="6"/>
        <v>418.46153846153845</v>
      </c>
      <c r="Y12" s="18" t="s">
        <v>1638</v>
      </c>
      <c r="Z12" s="10" t="s">
        <v>35</v>
      </c>
      <c r="AA12" s="10" t="s">
        <v>35</v>
      </c>
      <c r="AB12" s="10" t="s">
        <v>1639</v>
      </c>
      <c r="AC12" s="10">
        <v>0</v>
      </c>
      <c r="AD12" s="10">
        <v>1</v>
      </c>
      <c r="AE12" s="10" t="s">
        <v>412</v>
      </c>
      <c r="AF12" s="10" t="s">
        <v>43</v>
      </c>
      <c r="AG12" s="10" t="s">
        <v>38</v>
      </c>
      <c r="AH12" s="10" t="s">
        <v>92</v>
      </c>
    </row>
    <row r="13" spans="1:34" ht="15" thickTop="1" x14ac:dyDescent="0.3">
      <c r="A13" s="76"/>
      <c r="B13" s="37"/>
      <c r="C13" s="37"/>
      <c r="D13" s="38" t="s">
        <v>2876</v>
      </c>
      <c r="E13" s="39">
        <f>+SUM(E2:E12)</f>
        <v>2347500</v>
      </c>
      <c r="F13" s="37"/>
      <c r="G13" s="37"/>
      <c r="H13" s="39">
        <f>+SUM(H2:H12)</f>
        <v>2347500</v>
      </c>
      <c r="I13" s="39">
        <f>+SUM(I2:I12)</f>
        <v>973700</v>
      </c>
      <c r="J13" s="40"/>
      <c r="K13" s="39">
        <f>+SUM(K2:K12)</f>
        <v>2162229</v>
      </c>
      <c r="L13" s="39">
        <f>+SUM(L2:L12)</f>
        <v>369777</v>
      </c>
      <c r="M13" s="39">
        <f>+SUM(M2:M12)</f>
        <v>184506</v>
      </c>
      <c r="N13" s="81">
        <f>AVERAGE(N2:N12)</f>
        <v>7.8462779711939629E-2</v>
      </c>
      <c r="O13" s="41">
        <f>+SUM(O2:O12)</f>
        <v>1124.99</v>
      </c>
      <c r="P13" s="42"/>
      <c r="Q13" s="43">
        <f>+SUM(Q2:Q12)</f>
        <v>5.9740000000000002</v>
      </c>
      <c r="R13" s="43">
        <f>+SUM(R2:R12)</f>
        <v>4.7549999999999999</v>
      </c>
      <c r="S13" s="39"/>
      <c r="T13" s="39"/>
      <c r="U13" s="44"/>
      <c r="V13" s="43"/>
      <c r="W13" s="82">
        <f>AVERAGE(W2:W12)</f>
        <v>42681.818181818184</v>
      </c>
      <c r="X13" s="83">
        <f>AVERAGE(X2:X12)</f>
        <v>478.53855808680987</v>
      </c>
      <c r="Y13" s="45"/>
      <c r="Z13" s="37"/>
      <c r="AA13" s="37"/>
      <c r="AB13" s="37"/>
      <c r="AC13" s="37"/>
      <c r="AD13" s="37"/>
      <c r="AE13" s="37"/>
      <c r="AF13" s="37"/>
      <c r="AG13" s="37"/>
      <c r="AH13" s="37"/>
    </row>
    <row r="14" spans="1:34" x14ac:dyDescent="0.3">
      <c r="A14" s="77"/>
      <c r="B14" s="28"/>
      <c r="C14" s="28"/>
      <c r="D14" s="29"/>
      <c r="E14" s="30"/>
      <c r="F14" s="28"/>
      <c r="G14" s="28"/>
      <c r="H14" s="30"/>
      <c r="I14" s="30" t="s">
        <v>2877</v>
      </c>
      <c r="J14" s="31">
        <f>I13/H13*100</f>
        <v>41.478168264110757</v>
      </c>
      <c r="K14" s="30"/>
      <c r="L14" s="30"/>
      <c r="M14" s="30" t="s">
        <v>2879</v>
      </c>
      <c r="N14" s="79"/>
      <c r="O14" s="32"/>
      <c r="P14" s="33"/>
      <c r="Q14" s="34" t="s">
        <v>2879</v>
      </c>
      <c r="R14" s="34"/>
      <c r="S14" s="30"/>
      <c r="T14" s="30" t="s">
        <v>2879</v>
      </c>
      <c r="U14" s="35"/>
      <c r="V14" s="34"/>
      <c r="W14" s="63"/>
      <c r="X14" s="68"/>
      <c r="Y14" s="36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x14ac:dyDescent="0.3">
      <c r="A15" s="78"/>
      <c r="B15" s="46"/>
      <c r="C15" s="46"/>
      <c r="D15" s="47"/>
      <c r="E15" s="48"/>
      <c r="F15" s="46"/>
      <c r="G15" s="46"/>
      <c r="H15" s="48"/>
      <c r="I15" s="48" t="s">
        <v>2878</v>
      </c>
      <c r="J15" s="49">
        <f>STDEV(J2:J12)</f>
        <v>8.1344453764730691</v>
      </c>
      <c r="K15" s="48"/>
      <c r="L15" s="48"/>
      <c r="M15" s="48" t="s">
        <v>2880</v>
      </c>
      <c r="N15" s="80"/>
      <c r="O15" s="54">
        <f>L13/O13</f>
        <v>328.69358838745234</v>
      </c>
      <c r="P15" s="50"/>
      <c r="Q15" s="51" t="s">
        <v>2881</v>
      </c>
      <c r="R15" s="51">
        <f>L13/Q13</f>
        <v>61897.723468362907</v>
      </c>
      <c r="S15" s="48"/>
      <c r="T15" s="48" t="s">
        <v>2882</v>
      </c>
      <c r="U15" s="52">
        <f>L13/Q13/43560</f>
        <v>1.420976204507872</v>
      </c>
      <c r="V15" s="51"/>
      <c r="W15" s="64"/>
      <c r="X15" s="69"/>
      <c r="Y15" s="53"/>
      <c r="Z15" s="46"/>
      <c r="AA15" s="46"/>
      <c r="AB15" s="46"/>
      <c r="AC15" s="46"/>
      <c r="AD15" s="46"/>
      <c r="AE15" s="46"/>
      <c r="AF15" s="46"/>
      <c r="AG15" s="46"/>
      <c r="AH15" s="46"/>
    </row>
    <row r="16" spans="1:34" x14ac:dyDescent="0.3">
      <c r="E16" s="94" t="s">
        <v>3099</v>
      </c>
      <c r="L16" s="95"/>
    </row>
    <row r="17" spans="1:34" x14ac:dyDescent="0.3">
      <c r="E17" s="383" t="s">
        <v>3163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3164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3165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3166</v>
      </c>
      <c r="F20" s="383"/>
      <c r="G20" s="383"/>
      <c r="H20" s="383"/>
      <c r="I20" s="383"/>
      <c r="J20" s="96"/>
      <c r="K20" s="96"/>
      <c r="L20" s="96"/>
    </row>
    <row r="21" spans="1:34" x14ac:dyDescent="0.3">
      <c r="E21" s="383" t="s">
        <v>3167</v>
      </c>
      <c r="F21" s="383"/>
      <c r="G21" s="383"/>
      <c r="H21" s="383"/>
      <c r="I21" s="383"/>
      <c r="L21" s="95"/>
    </row>
    <row r="22" spans="1:34" x14ac:dyDescent="0.3">
      <c r="E22" s="383" t="s">
        <v>3100</v>
      </c>
      <c r="F22" s="383"/>
      <c r="G22" s="383"/>
      <c r="H22" s="383"/>
      <c r="I22" s="383"/>
      <c r="L22" s="95"/>
    </row>
    <row r="23" spans="1:34" x14ac:dyDescent="0.3">
      <c r="E23" s="96"/>
      <c r="F23" s="96"/>
      <c r="G23" s="96"/>
      <c r="H23" s="96"/>
      <c r="I23" s="96"/>
      <c r="L23" s="95"/>
    </row>
    <row r="24" spans="1:34" x14ac:dyDescent="0.3">
      <c r="A24" s="55" t="s">
        <v>3092</v>
      </c>
      <c r="E24" s="96"/>
      <c r="F24" s="96"/>
      <c r="G24" s="96"/>
      <c r="H24" s="96"/>
      <c r="I24" s="96"/>
      <c r="L24" s="95"/>
    </row>
    <row r="25" spans="1:34" x14ac:dyDescent="0.3">
      <c r="A25" s="75" t="s">
        <v>1639</v>
      </c>
      <c r="B25" s="19" t="s">
        <v>1640</v>
      </c>
      <c r="C25" s="19" t="s">
        <v>1641</v>
      </c>
      <c r="D25" s="20">
        <v>45547</v>
      </c>
      <c r="E25" s="21">
        <v>60000</v>
      </c>
      <c r="F25" s="19" t="s">
        <v>32</v>
      </c>
      <c r="G25" s="19" t="s">
        <v>33</v>
      </c>
      <c r="H25" s="21">
        <v>60000</v>
      </c>
      <c r="I25" s="21">
        <v>65700</v>
      </c>
      <c r="J25" s="22">
        <f t="shared" ref="J25:J28" si="7">I25/H25*100</f>
        <v>109.5</v>
      </c>
      <c r="K25" s="21">
        <v>145789</v>
      </c>
      <c r="L25" s="21">
        <f>H25-137595</f>
        <v>-77595</v>
      </c>
      <c r="M25" s="21">
        <v>8194</v>
      </c>
      <c r="N25" s="67">
        <f t="shared" ref="N25:N28" si="8">M25/E25</f>
        <v>0.13656666666666667</v>
      </c>
      <c r="O25" s="23">
        <v>49.96</v>
      </c>
      <c r="P25" s="24">
        <v>130</v>
      </c>
      <c r="Q25" s="25">
        <v>0.19400000000000001</v>
      </c>
      <c r="R25" s="25">
        <v>0.19400000000000001</v>
      </c>
      <c r="S25" s="21">
        <f t="shared" ref="S25:S28" si="9">L25/O25</f>
        <v>-1553.142514011209</v>
      </c>
      <c r="T25" s="21">
        <f t="shared" ref="T25:T28" si="10">L25/Q25</f>
        <v>-399974.22680412373</v>
      </c>
      <c r="U25" s="26">
        <f t="shared" ref="U25:U28" si="11">L25/Q25/43560</f>
        <v>-9.1821447843003607</v>
      </c>
      <c r="V25" s="25">
        <v>65</v>
      </c>
      <c r="W25" s="25">
        <f t="shared" ref="W25:W28" si="12">0.2*E25</f>
        <v>12000</v>
      </c>
      <c r="X25" s="25">
        <f t="shared" ref="X25:X28" si="13">W25/V25</f>
        <v>184.61538461538461</v>
      </c>
      <c r="Y25" s="27" t="s">
        <v>1638</v>
      </c>
      <c r="Z25" s="19" t="s">
        <v>35</v>
      </c>
      <c r="AA25" s="19" t="s">
        <v>35</v>
      </c>
      <c r="AB25" s="19" t="s">
        <v>1639</v>
      </c>
      <c r="AC25" s="19">
        <v>0</v>
      </c>
      <c r="AD25" s="19">
        <v>1</v>
      </c>
      <c r="AE25" s="19" t="s">
        <v>42</v>
      </c>
      <c r="AF25" s="19" t="s">
        <v>43</v>
      </c>
      <c r="AG25" s="19" t="s">
        <v>38</v>
      </c>
      <c r="AH25" s="19" t="s">
        <v>92</v>
      </c>
    </row>
    <row r="26" spans="1:34" x14ac:dyDescent="0.3">
      <c r="A26" s="74" t="s">
        <v>1639</v>
      </c>
      <c r="B26" s="10" t="s">
        <v>1636</v>
      </c>
      <c r="C26" s="10" t="s">
        <v>1637</v>
      </c>
      <c r="D26" s="11">
        <v>45679</v>
      </c>
      <c r="E26" s="12">
        <v>155000</v>
      </c>
      <c r="F26" s="10" t="s">
        <v>32</v>
      </c>
      <c r="G26" s="10" t="s">
        <v>33</v>
      </c>
      <c r="H26" s="12">
        <v>155000</v>
      </c>
      <c r="I26" s="12">
        <v>53100</v>
      </c>
      <c r="J26" s="13">
        <f t="shared" si="7"/>
        <v>34.258064516129032</v>
      </c>
      <c r="K26" s="12">
        <v>114879</v>
      </c>
      <c r="L26" s="12">
        <f>H26-109206</f>
        <v>45794</v>
      </c>
      <c r="M26" s="12">
        <v>5673</v>
      </c>
      <c r="N26" s="66">
        <f t="shared" si="8"/>
        <v>3.6600000000000001E-2</v>
      </c>
      <c r="O26" s="14">
        <v>34.590000000000003</v>
      </c>
      <c r="P26" s="15">
        <v>130</v>
      </c>
      <c r="Q26" s="16">
        <v>0.13400000000000001</v>
      </c>
      <c r="R26" s="16">
        <v>0.13400000000000001</v>
      </c>
      <c r="S26" s="12">
        <f t="shared" si="9"/>
        <v>1323.9086441167967</v>
      </c>
      <c r="T26" s="12">
        <f t="shared" si="10"/>
        <v>341746.26865671639</v>
      </c>
      <c r="U26" s="17">
        <f t="shared" si="11"/>
        <v>7.8454147992818273</v>
      </c>
      <c r="V26" s="16">
        <v>45</v>
      </c>
      <c r="W26" s="16">
        <f t="shared" si="12"/>
        <v>31000</v>
      </c>
      <c r="X26" s="16">
        <f t="shared" si="13"/>
        <v>688.88888888888891</v>
      </c>
      <c r="Y26" s="18" t="s">
        <v>1638</v>
      </c>
      <c r="Z26" s="10" t="s">
        <v>35</v>
      </c>
      <c r="AA26" s="10" t="s">
        <v>35</v>
      </c>
      <c r="AB26" s="10" t="s">
        <v>1639</v>
      </c>
      <c r="AC26" s="10">
        <v>0</v>
      </c>
      <c r="AD26" s="10">
        <v>1</v>
      </c>
      <c r="AE26" s="10" t="s">
        <v>42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5" t="s">
        <v>1639</v>
      </c>
      <c r="B27" s="19" t="s">
        <v>1679</v>
      </c>
      <c r="C27" s="19" t="s">
        <v>1680</v>
      </c>
      <c r="D27" s="20">
        <v>45044</v>
      </c>
      <c r="E27" s="21">
        <v>35000</v>
      </c>
      <c r="F27" s="19" t="s">
        <v>32</v>
      </c>
      <c r="G27" s="19" t="s">
        <v>33</v>
      </c>
      <c r="H27" s="21">
        <v>35000</v>
      </c>
      <c r="I27" s="21">
        <v>12700</v>
      </c>
      <c r="J27" s="22">
        <f t="shared" si="7"/>
        <v>36.285714285714285</v>
      </c>
      <c r="K27" s="21">
        <v>26976</v>
      </c>
      <c r="L27" s="21">
        <f>H27-0</f>
        <v>35000</v>
      </c>
      <c r="M27" s="21">
        <v>26976</v>
      </c>
      <c r="N27" s="67">
        <f t="shared" si="8"/>
        <v>0.77074285714285717</v>
      </c>
      <c r="O27" s="23">
        <v>164.48</v>
      </c>
      <c r="P27" s="24">
        <v>264.54000000000002</v>
      </c>
      <c r="Q27" s="25">
        <v>0.91100000000000003</v>
      </c>
      <c r="R27" s="25">
        <v>0.91100000000000003</v>
      </c>
      <c r="S27" s="21">
        <f t="shared" si="9"/>
        <v>212.79182879377433</v>
      </c>
      <c r="T27" s="21">
        <f t="shared" si="10"/>
        <v>38419.31942919868</v>
      </c>
      <c r="U27" s="26">
        <f t="shared" si="11"/>
        <v>0.88198621279152156</v>
      </c>
      <c r="V27" s="25">
        <v>150</v>
      </c>
      <c r="W27" s="25">
        <f t="shared" si="12"/>
        <v>7000</v>
      </c>
      <c r="X27" s="25">
        <f t="shared" si="13"/>
        <v>46.666666666666664</v>
      </c>
      <c r="Y27" s="27" t="s">
        <v>1638</v>
      </c>
      <c r="Z27" s="19" t="s">
        <v>35</v>
      </c>
      <c r="AA27" s="19" t="s">
        <v>35</v>
      </c>
      <c r="AB27" s="19" t="s">
        <v>1639</v>
      </c>
      <c r="AC27" s="19">
        <v>0</v>
      </c>
      <c r="AD27" s="19">
        <v>0</v>
      </c>
      <c r="AE27" s="19" t="s">
        <v>37</v>
      </c>
      <c r="AF27" s="19" t="s">
        <v>43</v>
      </c>
      <c r="AG27" s="19" t="s">
        <v>61</v>
      </c>
      <c r="AH27" s="19" t="s">
        <v>92</v>
      </c>
    </row>
    <row r="28" spans="1:34" x14ac:dyDescent="0.3">
      <c r="A28" s="75" t="s">
        <v>1639</v>
      </c>
      <c r="B28" s="19" t="s">
        <v>1672</v>
      </c>
      <c r="C28" s="19" t="s">
        <v>1673</v>
      </c>
      <c r="D28" s="20">
        <v>45483</v>
      </c>
      <c r="E28" s="21">
        <v>130000</v>
      </c>
      <c r="F28" s="19" t="s">
        <v>32</v>
      </c>
      <c r="G28" s="19" t="s">
        <v>33</v>
      </c>
      <c r="H28" s="21">
        <v>130000</v>
      </c>
      <c r="I28" s="21">
        <v>97300</v>
      </c>
      <c r="J28" s="22">
        <f t="shared" si="7"/>
        <v>74.846153846153854</v>
      </c>
      <c r="K28" s="21">
        <v>210657</v>
      </c>
      <c r="L28" s="21">
        <f>H28-190967</f>
        <v>-60967</v>
      </c>
      <c r="M28" s="21">
        <v>19690</v>
      </c>
      <c r="N28" s="67">
        <f t="shared" si="8"/>
        <v>0.15146153846153845</v>
      </c>
      <c r="O28" s="23">
        <v>120.05</v>
      </c>
      <c r="P28" s="24">
        <v>182</v>
      </c>
      <c r="Q28" s="25">
        <v>0.55200000000000005</v>
      </c>
      <c r="R28" s="25">
        <v>0.55200000000000005</v>
      </c>
      <c r="S28" s="21">
        <f t="shared" si="9"/>
        <v>-507.8467305289463</v>
      </c>
      <c r="T28" s="21">
        <f t="shared" si="10"/>
        <v>-110447.46376811594</v>
      </c>
      <c r="U28" s="26">
        <f t="shared" si="11"/>
        <v>-2.5355248798924688</v>
      </c>
      <c r="V28" s="25">
        <v>132</v>
      </c>
      <c r="W28" s="25">
        <f t="shared" si="12"/>
        <v>26000</v>
      </c>
      <c r="X28" s="25">
        <f t="shared" si="13"/>
        <v>196.96969696969697</v>
      </c>
      <c r="Y28" s="27" t="s">
        <v>1638</v>
      </c>
      <c r="Z28" s="19" t="s">
        <v>35</v>
      </c>
      <c r="AA28" s="19" t="s">
        <v>35</v>
      </c>
      <c r="AB28" s="19" t="s">
        <v>1639</v>
      </c>
      <c r="AC28" s="19">
        <v>0</v>
      </c>
      <c r="AD28" s="19">
        <v>1</v>
      </c>
      <c r="AE28" s="19" t="s">
        <v>42</v>
      </c>
      <c r="AF28" s="19" t="s">
        <v>43</v>
      </c>
      <c r="AG28" s="19" t="s">
        <v>38</v>
      </c>
      <c r="AH28" s="19" t="s">
        <v>92</v>
      </c>
    </row>
  </sheetData>
  <sortState xmlns:xlrd2="http://schemas.microsoft.com/office/spreadsheetml/2017/richdata2" ref="A2:AH16">
    <sortCondition ref="S2:S16"/>
  </sortState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2">
    <tabColor rgb="FF00B050"/>
  </sheetPr>
  <dimension ref="A1:AH19"/>
  <sheetViews>
    <sheetView workbookViewId="0">
      <selection activeCell="E9" sqref="E9:L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55468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1563</v>
      </c>
      <c r="B2" s="10" t="s">
        <v>1568</v>
      </c>
      <c r="C2" s="10" t="s">
        <v>1569</v>
      </c>
      <c r="D2" s="11">
        <v>45182</v>
      </c>
      <c r="E2" s="12">
        <v>229000</v>
      </c>
      <c r="F2" s="10" t="s">
        <v>32</v>
      </c>
      <c r="G2" s="10" t="s">
        <v>33</v>
      </c>
      <c r="H2" s="12">
        <v>229000</v>
      </c>
      <c r="I2" s="12">
        <v>85200</v>
      </c>
      <c r="J2" s="13">
        <f t="shared" ref="J2:J5" si="0">I2/H2*100</f>
        <v>37.20524017467249</v>
      </c>
      <c r="K2" s="12">
        <v>231359</v>
      </c>
      <c r="L2" s="12">
        <f>H2-215959</f>
        <v>13041</v>
      </c>
      <c r="M2" s="12">
        <v>15400</v>
      </c>
      <c r="N2" s="66">
        <f t="shared" ref="N2:N5" si="1">M2/E2</f>
        <v>6.724890829694323E-2</v>
      </c>
      <c r="O2" s="14">
        <v>100</v>
      </c>
      <c r="P2" s="15">
        <v>200</v>
      </c>
      <c r="Q2" s="16">
        <v>0.45900000000000002</v>
      </c>
      <c r="R2" s="16">
        <v>0.45900000000000002</v>
      </c>
      <c r="S2" s="12">
        <f t="shared" ref="S2:S5" si="2">L2/O2</f>
        <v>130.41</v>
      </c>
      <c r="T2" s="12">
        <f t="shared" ref="T2:T5" si="3">L2/Q2</f>
        <v>28411.764705882353</v>
      </c>
      <c r="U2" s="17">
        <f t="shared" ref="U2:U5" si="4">L2/Q2/43560</f>
        <v>0.65224436882190895</v>
      </c>
      <c r="V2" s="16">
        <v>100</v>
      </c>
      <c r="W2" s="16">
        <f t="shared" ref="W2:W5" si="5">0.2*E2</f>
        <v>45800</v>
      </c>
      <c r="X2" s="16">
        <f t="shared" ref="X2:X5" si="6">W2/V2</f>
        <v>458</v>
      </c>
      <c r="Y2" s="18" t="s">
        <v>1562</v>
      </c>
      <c r="Z2" s="10" t="s">
        <v>35</v>
      </c>
      <c r="AA2" s="10" t="s">
        <v>35</v>
      </c>
      <c r="AB2" s="10" t="s">
        <v>1563</v>
      </c>
      <c r="AC2" s="10">
        <v>0</v>
      </c>
      <c r="AD2" s="10">
        <v>0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1563</v>
      </c>
      <c r="B3" s="19" t="s">
        <v>1570</v>
      </c>
      <c r="C3" s="19" t="s">
        <v>1571</v>
      </c>
      <c r="D3" s="20">
        <v>45399</v>
      </c>
      <c r="E3" s="21">
        <v>115000</v>
      </c>
      <c r="F3" s="19" t="s">
        <v>32</v>
      </c>
      <c r="G3" s="19" t="s">
        <v>33</v>
      </c>
      <c r="H3" s="21">
        <v>115000</v>
      </c>
      <c r="I3" s="21">
        <v>51300</v>
      </c>
      <c r="J3" s="22">
        <f t="shared" si="0"/>
        <v>44.608695652173914</v>
      </c>
      <c r="K3" s="21">
        <v>114401</v>
      </c>
      <c r="L3" s="21">
        <f>H3-106701</f>
        <v>8299</v>
      </c>
      <c r="M3" s="21">
        <v>7700</v>
      </c>
      <c r="N3" s="67">
        <f t="shared" si="1"/>
        <v>6.6956521739130428E-2</v>
      </c>
      <c r="O3" s="23">
        <v>50</v>
      </c>
      <c r="P3" s="24">
        <v>200</v>
      </c>
      <c r="Q3" s="25">
        <v>0.23</v>
      </c>
      <c r="R3" s="25">
        <v>0.23</v>
      </c>
      <c r="S3" s="21">
        <f t="shared" si="2"/>
        <v>165.98</v>
      </c>
      <c r="T3" s="21">
        <f t="shared" si="3"/>
        <v>36082.608695652176</v>
      </c>
      <c r="U3" s="26">
        <f t="shared" si="4"/>
        <v>0.82834271569449436</v>
      </c>
      <c r="V3" s="25">
        <v>50</v>
      </c>
      <c r="W3" s="25">
        <f t="shared" si="5"/>
        <v>23000</v>
      </c>
      <c r="X3" s="25">
        <f t="shared" si="6"/>
        <v>460</v>
      </c>
      <c r="Y3" s="27" t="s">
        <v>1562</v>
      </c>
      <c r="Z3" s="19" t="s">
        <v>35</v>
      </c>
      <c r="AA3" s="19" t="s">
        <v>35</v>
      </c>
      <c r="AB3" s="19" t="s">
        <v>1563</v>
      </c>
      <c r="AC3" s="19">
        <v>0</v>
      </c>
      <c r="AD3" s="19">
        <v>0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1563</v>
      </c>
      <c r="B4" s="19" t="s">
        <v>1572</v>
      </c>
      <c r="C4" s="19" t="s">
        <v>1573</v>
      </c>
      <c r="D4" s="20">
        <v>45296</v>
      </c>
      <c r="E4" s="21">
        <v>180000</v>
      </c>
      <c r="F4" s="19" t="s">
        <v>32</v>
      </c>
      <c r="G4" s="19" t="s">
        <v>33</v>
      </c>
      <c r="H4" s="21">
        <v>180000</v>
      </c>
      <c r="I4" s="21">
        <v>62900</v>
      </c>
      <c r="J4" s="22">
        <f t="shared" si="0"/>
        <v>34.944444444444443</v>
      </c>
      <c r="K4" s="21">
        <v>169113</v>
      </c>
      <c r="L4" s="21">
        <f>H4-161413</f>
        <v>18587</v>
      </c>
      <c r="M4" s="21">
        <v>7700</v>
      </c>
      <c r="N4" s="67">
        <f t="shared" si="1"/>
        <v>4.2777777777777776E-2</v>
      </c>
      <c r="O4" s="23">
        <v>50</v>
      </c>
      <c r="P4" s="24">
        <v>200</v>
      </c>
      <c r="Q4" s="25">
        <v>0.23</v>
      </c>
      <c r="R4" s="25">
        <v>0.23</v>
      </c>
      <c r="S4" s="21">
        <f t="shared" si="2"/>
        <v>371.74</v>
      </c>
      <c r="T4" s="21">
        <f t="shared" si="3"/>
        <v>80813.043478260865</v>
      </c>
      <c r="U4" s="26">
        <f t="shared" si="4"/>
        <v>1.8552122010620034</v>
      </c>
      <c r="V4" s="25">
        <v>50</v>
      </c>
      <c r="W4" s="25">
        <f t="shared" si="5"/>
        <v>36000</v>
      </c>
      <c r="X4" s="25">
        <f t="shared" si="6"/>
        <v>720</v>
      </c>
      <c r="Y4" s="27" t="s">
        <v>1562</v>
      </c>
      <c r="Z4" s="19" t="s">
        <v>35</v>
      </c>
      <c r="AA4" s="19" t="s">
        <v>35</v>
      </c>
      <c r="AB4" s="19" t="s">
        <v>1563</v>
      </c>
      <c r="AC4" s="19">
        <v>0</v>
      </c>
      <c r="AD4" s="19">
        <v>0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ht="15" thickBot="1" x14ac:dyDescent="0.35">
      <c r="A5" s="75" t="s">
        <v>1563</v>
      </c>
      <c r="B5" s="19" t="s">
        <v>1560</v>
      </c>
      <c r="C5" s="19" t="s">
        <v>1561</v>
      </c>
      <c r="D5" s="20">
        <v>45483</v>
      </c>
      <c r="E5" s="21">
        <v>165000</v>
      </c>
      <c r="F5" s="19" t="s">
        <v>32</v>
      </c>
      <c r="G5" s="19" t="s">
        <v>33</v>
      </c>
      <c r="H5" s="21">
        <v>165000</v>
      </c>
      <c r="I5" s="21">
        <v>70100</v>
      </c>
      <c r="J5" s="22">
        <f t="shared" si="0"/>
        <v>42.484848484848484</v>
      </c>
      <c r="K5" s="21">
        <v>149948</v>
      </c>
      <c r="L5" s="21">
        <f>H5-143280</f>
        <v>21720</v>
      </c>
      <c r="M5" s="21">
        <v>6668</v>
      </c>
      <c r="N5" s="67">
        <f t="shared" si="1"/>
        <v>4.0412121212121212E-2</v>
      </c>
      <c r="O5" s="23">
        <v>43.3</v>
      </c>
      <c r="P5" s="24">
        <v>150</v>
      </c>
      <c r="Q5" s="25">
        <v>0.17199999999999999</v>
      </c>
      <c r="R5" s="25">
        <v>0.17199999999999999</v>
      </c>
      <c r="S5" s="21">
        <f t="shared" si="2"/>
        <v>501.61662817551968</v>
      </c>
      <c r="T5" s="21">
        <f t="shared" si="3"/>
        <v>126279.06976744188</v>
      </c>
      <c r="U5" s="26">
        <f t="shared" si="4"/>
        <v>2.8989685437888402</v>
      </c>
      <c r="V5" s="25">
        <v>50</v>
      </c>
      <c r="W5" s="25">
        <f t="shared" si="5"/>
        <v>33000</v>
      </c>
      <c r="X5" s="25">
        <f t="shared" si="6"/>
        <v>660</v>
      </c>
      <c r="Y5" s="27" t="s">
        <v>1562</v>
      </c>
      <c r="Z5" s="19" t="s">
        <v>35</v>
      </c>
      <c r="AA5" s="19" t="s">
        <v>35</v>
      </c>
      <c r="AB5" s="19" t="s">
        <v>1563</v>
      </c>
      <c r="AC5" s="19">
        <v>0</v>
      </c>
      <c r="AD5" s="19">
        <v>0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689000</v>
      </c>
      <c r="F6" s="37"/>
      <c r="G6" s="37"/>
      <c r="H6" s="39">
        <f>+SUM(H2:H5)</f>
        <v>689000</v>
      </c>
      <c r="I6" s="39">
        <f>+SUM(I2:I5)</f>
        <v>269500</v>
      </c>
      <c r="J6" s="40"/>
      <c r="K6" s="39">
        <f>+SUM(K2:K5)</f>
        <v>664821</v>
      </c>
      <c r="L6" s="39">
        <f>+SUM(L2:L5)</f>
        <v>61647</v>
      </c>
      <c r="M6" s="39">
        <f>+SUM(M2:M5)</f>
        <v>37468</v>
      </c>
      <c r="N6" s="81">
        <f>AVERAGE(N2:N5)</f>
        <v>5.434883225649316E-2</v>
      </c>
      <c r="O6" s="41">
        <f>+SUM(O2:O5)</f>
        <v>243.3</v>
      </c>
      <c r="P6" s="42"/>
      <c r="Q6" s="43">
        <f>+SUM(Q2:Q5)</f>
        <v>1.091</v>
      </c>
      <c r="R6" s="43">
        <f>+SUM(R2:R5)</f>
        <v>1.091</v>
      </c>
      <c r="S6" s="39"/>
      <c r="T6" s="39"/>
      <c r="U6" s="44"/>
      <c r="V6" s="43"/>
      <c r="W6" s="82">
        <f>AVERAGE(W2:W5)</f>
        <v>34450</v>
      </c>
      <c r="X6" s="83">
        <f>AVERAGE(X2:X5)</f>
        <v>574.5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39.114658925979676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4.495949895358053</v>
      </c>
      <c r="K8" s="48"/>
      <c r="L8" s="48"/>
      <c r="M8" s="48" t="s">
        <v>2880</v>
      </c>
      <c r="N8" s="80"/>
      <c r="O8" s="54">
        <f>L6/O6</f>
        <v>253.37854500616521</v>
      </c>
      <c r="P8" s="50"/>
      <c r="Q8" s="51" t="s">
        <v>2881</v>
      </c>
      <c r="R8" s="51">
        <f>L6/Q6</f>
        <v>56505.041246562789</v>
      </c>
      <c r="S8" s="48"/>
      <c r="T8" s="48" t="s">
        <v>2882</v>
      </c>
      <c r="U8" s="52">
        <f>L6/Q6/43560</f>
        <v>1.2971772554307344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5" t="s">
        <v>1563</v>
      </c>
      <c r="B18" s="19" t="s">
        <v>1564</v>
      </c>
      <c r="C18" s="19" t="s">
        <v>1565</v>
      </c>
      <c r="D18" s="20">
        <v>45100</v>
      </c>
      <c r="E18" s="21">
        <v>140000</v>
      </c>
      <c r="F18" s="19" t="s">
        <v>32</v>
      </c>
      <c r="G18" s="19" t="s">
        <v>33</v>
      </c>
      <c r="H18" s="21">
        <v>140000</v>
      </c>
      <c r="I18" s="21">
        <v>64200</v>
      </c>
      <c r="J18" s="22">
        <f t="shared" ref="J18:J19" si="7">I18/H18*100</f>
        <v>45.857142857142854</v>
      </c>
      <c r="K18" s="21">
        <v>170484</v>
      </c>
      <c r="L18" s="21">
        <f>H18-155954</f>
        <v>-15954</v>
      </c>
      <c r="M18" s="21">
        <v>14530</v>
      </c>
      <c r="N18" s="67">
        <f t="shared" ref="N18:N19" si="8">M18/E18</f>
        <v>0.10378571428571429</v>
      </c>
      <c r="O18" s="23">
        <v>94.35</v>
      </c>
      <c r="P18" s="24">
        <v>200</v>
      </c>
      <c r="Q18" s="25">
        <v>0.433</v>
      </c>
      <c r="R18" s="25">
        <v>0.433</v>
      </c>
      <c r="S18" s="21">
        <f t="shared" ref="S18:S19" si="9">L18/O18</f>
        <v>-169.09379968203498</v>
      </c>
      <c r="T18" s="21">
        <f t="shared" ref="T18:T19" si="10">L18/Q18</f>
        <v>-36845.265588914554</v>
      </c>
      <c r="U18" s="26">
        <f t="shared" ref="U18:U19" si="11">L18/Q18/43560</f>
        <v>-0.84585090883642222</v>
      </c>
      <c r="V18" s="25">
        <v>94.47</v>
      </c>
      <c r="W18" s="25">
        <f t="shared" ref="W18:W19" si="12">0.2*E18</f>
        <v>28000</v>
      </c>
      <c r="X18" s="25">
        <f t="shared" ref="X18:X19" si="13">W18/V18</f>
        <v>296.39038848311634</v>
      </c>
      <c r="Y18" s="27" t="s">
        <v>1562</v>
      </c>
      <c r="Z18" s="19" t="s">
        <v>35</v>
      </c>
      <c r="AA18" s="19" t="s">
        <v>35</v>
      </c>
      <c r="AB18" s="19" t="s">
        <v>1563</v>
      </c>
      <c r="AC18" s="19">
        <v>0</v>
      </c>
      <c r="AD18" s="19">
        <v>0</v>
      </c>
      <c r="AE18" s="19" t="s">
        <v>42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1563</v>
      </c>
      <c r="B19" s="10" t="s">
        <v>1566</v>
      </c>
      <c r="C19" s="10" t="s">
        <v>1567</v>
      </c>
      <c r="D19" s="11">
        <v>45510</v>
      </c>
      <c r="E19" s="12">
        <v>130500</v>
      </c>
      <c r="F19" s="10" t="s">
        <v>32</v>
      </c>
      <c r="G19" s="10" t="s">
        <v>33</v>
      </c>
      <c r="H19" s="12">
        <v>130500</v>
      </c>
      <c r="I19" s="12">
        <v>43500</v>
      </c>
      <c r="J19" s="13">
        <f t="shared" si="7"/>
        <v>33.333333333333329</v>
      </c>
      <c r="K19" s="12">
        <v>97720</v>
      </c>
      <c r="L19" s="12">
        <f>H19-90020</f>
        <v>40480</v>
      </c>
      <c r="M19" s="12">
        <v>7700</v>
      </c>
      <c r="N19" s="66">
        <f t="shared" si="8"/>
        <v>5.9003831417624518E-2</v>
      </c>
      <c r="O19" s="14">
        <v>50</v>
      </c>
      <c r="P19" s="15">
        <v>200</v>
      </c>
      <c r="Q19" s="16">
        <v>0.23</v>
      </c>
      <c r="R19" s="16">
        <v>0.23</v>
      </c>
      <c r="S19" s="12">
        <f t="shared" si="9"/>
        <v>809.6</v>
      </c>
      <c r="T19" s="12">
        <f t="shared" si="10"/>
        <v>176000</v>
      </c>
      <c r="U19" s="17">
        <f t="shared" si="11"/>
        <v>4.0404040404040407</v>
      </c>
      <c r="V19" s="16">
        <v>50</v>
      </c>
      <c r="W19" s="16">
        <f t="shared" si="12"/>
        <v>26100</v>
      </c>
      <c r="X19" s="16">
        <f t="shared" si="13"/>
        <v>522</v>
      </c>
      <c r="Y19" s="18" t="s">
        <v>1562</v>
      </c>
      <c r="Z19" s="10" t="s">
        <v>35</v>
      </c>
      <c r="AA19" s="10" t="s">
        <v>35</v>
      </c>
      <c r="AB19" s="10" t="s">
        <v>1563</v>
      </c>
      <c r="AC19" s="10">
        <v>0</v>
      </c>
      <c r="AD19" s="10">
        <v>0</v>
      </c>
      <c r="AE19" s="10" t="s">
        <v>42</v>
      </c>
      <c r="AF19" s="10" t="s">
        <v>43</v>
      </c>
      <c r="AG19" s="10" t="s">
        <v>38</v>
      </c>
      <c r="AH19" s="10" t="s">
        <v>92</v>
      </c>
    </row>
  </sheetData>
  <sortState xmlns:xlrd2="http://schemas.microsoft.com/office/spreadsheetml/2017/richdata2" ref="A2:AH7">
    <sortCondition ref="S2:S7"/>
  </sortState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3">
    <tabColor rgb="FF00B050"/>
  </sheetPr>
  <dimension ref="A1:AH15"/>
  <sheetViews>
    <sheetView workbookViewId="0">
      <selection activeCell="E7" sqref="E7:O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1555</v>
      </c>
      <c r="B2" s="19" t="s">
        <v>1552</v>
      </c>
      <c r="C2" s="19" t="s">
        <v>1553</v>
      </c>
      <c r="D2" s="20">
        <v>45590</v>
      </c>
      <c r="E2" s="21">
        <v>225500</v>
      </c>
      <c r="F2" s="19" t="s">
        <v>32</v>
      </c>
      <c r="G2" s="19" t="s">
        <v>33</v>
      </c>
      <c r="H2" s="21">
        <v>225500</v>
      </c>
      <c r="I2" s="21">
        <v>97200</v>
      </c>
      <c r="J2" s="22">
        <f>I2/H2*100</f>
        <v>43.104212860310419</v>
      </c>
      <c r="K2" s="21">
        <v>228515</v>
      </c>
      <c r="L2" s="21">
        <f>H2-215643</f>
        <v>9857</v>
      </c>
      <c r="M2" s="21">
        <v>12872</v>
      </c>
      <c r="N2" s="67">
        <f>M2/E2</f>
        <v>5.7082039911308204E-2</v>
      </c>
      <c r="O2" s="23">
        <v>66</v>
      </c>
      <c r="P2" s="24">
        <v>300.07</v>
      </c>
      <c r="Q2" s="25">
        <v>0.45500000000000002</v>
      </c>
      <c r="R2" s="25">
        <v>0.45500000000000002</v>
      </c>
      <c r="S2" s="21">
        <f>L2/O2</f>
        <v>149.34848484848484</v>
      </c>
      <c r="T2" s="21">
        <f>L2/Q2</f>
        <v>21663.736263736264</v>
      </c>
      <c r="U2" s="26">
        <f>L2/Q2/43560</f>
        <v>0.49733095187640641</v>
      </c>
      <c r="V2" s="25">
        <v>66</v>
      </c>
      <c r="W2" s="25">
        <f>0.2*E2</f>
        <v>45100</v>
      </c>
      <c r="X2" s="25">
        <f>W2/V2</f>
        <v>683.33333333333337</v>
      </c>
      <c r="Y2" s="27" t="s">
        <v>1554</v>
      </c>
      <c r="Z2" s="19" t="s">
        <v>35</v>
      </c>
      <c r="AA2" s="19" t="s">
        <v>35</v>
      </c>
      <c r="AB2" s="19" t="s">
        <v>1555</v>
      </c>
      <c r="AC2" s="19">
        <v>0</v>
      </c>
      <c r="AD2" s="19">
        <v>0</v>
      </c>
      <c r="AE2" s="19" t="s">
        <v>42</v>
      </c>
      <c r="AF2" s="19" t="s">
        <v>35</v>
      </c>
      <c r="AG2" s="19" t="s">
        <v>38</v>
      </c>
      <c r="AH2" s="19" t="s">
        <v>92</v>
      </c>
    </row>
    <row r="3" spans="1:34" ht="15" thickBot="1" x14ac:dyDescent="0.35">
      <c r="A3" s="74" t="s">
        <v>1555</v>
      </c>
      <c r="B3" s="10" t="s">
        <v>1754</v>
      </c>
      <c r="C3" s="10" t="s">
        <v>1755</v>
      </c>
      <c r="D3" s="11">
        <v>45744</v>
      </c>
      <c r="E3" s="12">
        <v>235000</v>
      </c>
      <c r="F3" s="10" t="s">
        <v>32</v>
      </c>
      <c r="G3" s="10" t="s">
        <v>33</v>
      </c>
      <c r="H3" s="12">
        <v>235000</v>
      </c>
      <c r="I3" s="12">
        <v>79000</v>
      </c>
      <c r="J3" s="13">
        <f>I3/H3*100</f>
        <v>33.617021276595743</v>
      </c>
      <c r="K3" s="12">
        <v>198038</v>
      </c>
      <c r="L3" s="12">
        <f>H3-189148</f>
        <v>45852</v>
      </c>
      <c r="M3" s="12">
        <v>8890</v>
      </c>
      <c r="N3" s="66">
        <f>M3/E3</f>
        <v>3.7829787234042553E-2</v>
      </c>
      <c r="O3" s="14">
        <v>45.58</v>
      </c>
      <c r="P3" s="15">
        <v>249.46</v>
      </c>
      <c r="Q3" s="16">
        <v>0.28599999999999998</v>
      </c>
      <c r="R3" s="16">
        <v>0.28599999999999998</v>
      </c>
      <c r="S3" s="12">
        <f>L3/O3</f>
        <v>1005.9675296182537</v>
      </c>
      <c r="T3" s="12">
        <f>L3/Q3</f>
        <v>160321.67832167834</v>
      </c>
      <c r="U3" s="17">
        <f>L3/Q3/43560</f>
        <v>3.6804793003140115</v>
      </c>
      <c r="V3" s="16">
        <v>50</v>
      </c>
      <c r="W3" s="16">
        <f>0.2*E3</f>
        <v>47000</v>
      </c>
      <c r="X3" s="16">
        <f>W3/V3</f>
        <v>940</v>
      </c>
      <c r="Y3" s="18" t="s">
        <v>1554</v>
      </c>
      <c r="Z3" s="10" t="s">
        <v>35</v>
      </c>
      <c r="AA3" s="10" t="s">
        <v>35</v>
      </c>
      <c r="AB3" s="10" t="s">
        <v>1555</v>
      </c>
      <c r="AC3" s="10">
        <v>0</v>
      </c>
      <c r="AD3" s="10">
        <v>1</v>
      </c>
      <c r="AE3" s="10" t="s">
        <v>37</v>
      </c>
      <c r="AF3" s="10" t="s">
        <v>35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460500</v>
      </c>
      <c r="F4" s="37"/>
      <c r="G4" s="37"/>
      <c r="H4" s="39">
        <f>+SUM(H2:H3)</f>
        <v>460500</v>
      </c>
      <c r="I4" s="39">
        <f>+SUM(I2:I3)</f>
        <v>176200</v>
      </c>
      <c r="J4" s="40"/>
      <c r="K4" s="39">
        <f>+SUM(K2:K3)</f>
        <v>426553</v>
      </c>
      <c r="L4" s="39">
        <f>+SUM(L2:L3)</f>
        <v>55709</v>
      </c>
      <c r="M4" s="39">
        <f>+SUM(M2:M3)</f>
        <v>21762</v>
      </c>
      <c r="N4" s="81">
        <f>AVERAGE(N2:N3)</f>
        <v>4.7455913572675382E-2</v>
      </c>
      <c r="O4" s="41">
        <f>+SUM(O2:O3)</f>
        <v>111.58</v>
      </c>
      <c r="P4" s="42"/>
      <c r="Q4" s="43">
        <f>+SUM(Q2:Q3)</f>
        <v>0.74099999999999999</v>
      </c>
      <c r="R4" s="43">
        <f>+SUM(R2:R3)</f>
        <v>0.74099999999999999</v>
      </c>
      <c r="S4" s="39"/>
      <c r="T4" s="39"/>
      <c r="U4" s="44"/>
      <c r="V4" s="43"/>
      <c r="W4" s="82">
        <f>AVERAGE(W2:W3)</f>
        <v>46050</v>
      </c>
      <c r="X4" s="83">
        <f>AVERAGE(X2:X3)</f>
        <v>811.66666666666674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38.262757871878392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6.7084575032605791</v>
      </c>
      <c r="K6" s="48"/>
      <c r="L6" s="48"/>
      <c r="M6" s="48" t="s">
        <v>2880</v>
      </c>
      <c r="N6" s="80"/>
      <c r="O6" s="54">
        <f>L4/O4</f>
        <v>499.27406345223159</v>
      </c>
      <c r="P6" s="50"/>
      <c r="Q6" s="51" t="s">
        <v>2881</v>
      </c>
      <c r="R6" s="51">
        <f>L4/Q4</f>
        <v>75180.836707152499</v>
      </c>
      <c r="S6" s="48"/>
      <c r="T6" s="48" t="s">
        <v>2882</v>
      </c>
      <c r="U6" s="52">
        <f>L4/Q4/43560</f>
        <v>1.7259145249575871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4">
    <tabColor rgb="FF00B050"/>
  </sheetPr>
  <dimension ref="A1:AH18"/>
  <sheetViews>
    <sheetView workbookViewId="0">
      <selection activeCell="D9" sqref="D9:N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1759</v>
      </c>
      <c r="B2" s="10" t="s">
        <v>1765</v>
      </c>
      <c r="C2" s="10" t="s">
        <v>1766</v>
      </c>
      <c r="D2" s="11">
        <v>45044</v>
      </c>
      <c r="E2" s="12">
        <v>230000</v>
      </c>
      <c r="F2" s="10" t="s">
        <v>32</v>
      </c>
      <c r="G2" s="10" t="s">
        <v>33</v>
      </c>
      <c r="H2" s="12">
        <v>230000</v>
      </c>
      <c r="I2" s="12">
        <v>107300</v>
      </c>
      <c r="J2" s="13">
        <f>I2/H2*100</f>
        <v>46.652173913043477</v>
      </c>
      <c r="K2" s="12">
        <v>254229</v>
      </c>
      <c r="L2" s="12">
        <f>H2-247173</f>
        <v>-17173</v>
      </c>
      <c r="M2" s="12">
        <v>7056</v>
      </c>
      <c r="N2" s="66">
        <f>M2/E2</f>
        <v>3.0678260869565217E-2</v>
      </c>
      <c r="O2" s="14">
        <v>54.27</v>
      </c>
      <c r="P2" s="15">
        <v>117.88</v>
      </c>
      <c r="Q2" s="16">
        <v>0.154</v>
      </c>
      <c r="R2" s="16">
        <v>0.154</v>
      </c>
      <c r="S2" s="12">
        <f>L2/O2</f>
        <v>-316.43633683434678</v>
      </c>
      <c r="T2" s="12">
        <f>L2/Q2</f>
        <v>-111512.98701298701</v>
      </c>
      <c r="U2" s="17">
        <f>L2/Q2/43560</f>
        <v>-2.5599859277545227</v>
      </c>
      <c r="V2" s="16">
        <v>57</v>
      </c>
      <c r="W2" s="16">
        <f>0.2*E2</f>
        <v>46000</v>
      </c>
      <c r="X2" s="16">
        <f>W2/V2</f>
        <v>807.01754385964909</v>
      </c>
      <c r="Y2" s="18" t="s">
        <v>1767</v>
      </c>
      <c r="Z2" s="10" t="s">
        <v>35</v>
      </c>
      <c r="AA2" s="10" t="s">
        <v>35</v>
      </c>
      <c r="AB2" s="10" t="s">
        <v>1759</v>
      </c>
      <c r="AC2" s="10">
        <v>0</v>
      </c>
      <c r="AD2" s="10">
        <v>1</v>
      </c>
      <c r="AE2" s="10" t="s">
        <v>1768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1759</v>
      </c>
      <c r="B3" s="19" t="s">
        <v>1756</v>
      </c>
      <c r="C3" s="19" t="s">
        <v>1757</v>
      </c>
      <c r="D3" s="20">
        <v>45412</v>
      </c>
      <c r="E3" s="21">
        <v>120000</v>
      </c>
      <c r="F3" s="19" t="s">
        <v>32</v>
      </c>
      <c r="G3" s="19" t="s">
        <v>33</v>
      </c>
      <c r="H3" s="21">
        <v>120000</v>
      </c>
      <c r="I3" s="21">
        <v>46400</v>
      </c>
      <c r="J3" s="22">
        <f>I3/H3*100</f>
        <v>38.666666666666664</v>
      </c>
      <c r="K3" s="21">
        <v>107659</v>
      </c>
      <c r="L3" s="21">
        <f>H3-102209</f>
        <v>17791</v>
      </c>
      <c r="M3" s="21">
        <v>5450</v>
      </c>
      <c r="N3" s="67">
        <f>M3/E3</f>
        <v>4.5416666666666668E-2</v>
      </c>
      <c r="O3" s="23">
        <v>41.92</v>
      </c>
      <c r="P3" s="24">
        <v>103.01</v>
      </c>
      <c r="Q3" s="25">
        <v>0.111</v>
      </c>
      <c r="R3" s="25">
        <v>0.111</v>
      </c>
      <c r="S3" s="21">
        <f>L3/O3</f>
        <v>424.40362595419845</v>
      </c>
      <c r="T3" s="21">
        <f>L3/Q3</f>
        <v>160279.27927927929</v>
      </c>
      <c r="U3" s="26">
        <f>L3/Q3/43560</f>
        <v>3.6795059522332254</v>
      </c>
      <c r="V3" s="25">
        <v>47.1</v>
      </c>
      <c r="W3" s="25">
        <f>0.2*E3</f>
        <v>24000</v>
      </c>
      <c r="X3" s="25">
        <f>W3/V3</f>
        <v>509.55414012738851</v>
      </c>
      <c r="Y3" s="27" t="s">
        <v>1758</v>
      </c>
      <c r="Z3" s="19" t="s">
        <v>35</v>
      </c>
      <c r="AA3" s="19" t="s">
        <v>35</v>
      </c>
      <c r="AB3" s="19" t="s">
        <v>1759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1759</v>
      </c>
      <c r="B4" s="10" t="s">
        <v>1762</v>
      </c>
      <c r="C4" s="10" t="s">
        <v>1763</v>
      </c>
      <c r="D4" s="11">
        <v>45196</v>
      </c>
      <c r="E4" s="12">
        <v>218000</v>
      </c>
      <c r="F4" s="10" t="s">
        <v>32</v>
      </c>
      <c r="G4" s="10" t="s">
        <v>33</v>
      </c>
      <c r="H4" s="12">
        <v>218000</v>
      </c>
      <c r="I4" s="12">
        <v>68700</v>
      </c>
      <c r="J4" s="13">
        <f>I4/H4*100</f>
        <v>31.513761467889907</v>
      </c>
      <c r="K4" s="12">
        <v>157574</v>
      </c>
      <c r="L4" s="12">
        <f>H4-142064</f>
        <v>75936</v>
      </c>
      <c r="M4" s="12">
        <v>15510</v>
      </c>
      <c r="N4" s="66">
        <f>M4/E4</f>
        <v>7.1146788990825688E-2</v>
      </c>
      <c r="O4" s="14">
        <v>119.3</v>
      </c>
      <c r="P4" s="15">
        <v>128.5</v>
      </c>
      <c r="Q4" s="16">
        <v>0.35399999999999998</v>
      </c>
      <c r="R4" s="16">
        <v>0.35399999999999998</v>
      </c>
      <c r="S4" s="12">
        <f>L4/O4</f>
        <v>636.5129924559933</v>
      </c>
      <c r="T4" s="12">
        <f>L4/Q4</f>
        <v>214508.4745762712</v>
      </c>
      <c r="U4" s="17">
        <f>L4/Q4/43560</f>
        <v>4.9244369737435996</v>
      </c>
      <c r="V4" s="16">
        <v>120</v>
      </c>
      <c r="W4" s="16">
        <f>0.2*E4</f>
        <v>43600</v>
      </c>
      <c r="X4" s="16">
        <f>W4/V4</f>
        <v>363.33333333333331</v>
      </c>
      <c r="Y4" s="18" t="s">
        <v>1758</v>
      </c>
      <c r="Z4" s="10" t="s">
        <v>35</v>
      </c>
      <c r="AA4" s="10" t="s">
        <v>35</v>
      </c>
      <c r="AB4" s="10" t="s">
        <v>1759</v>
      </c>
      <c r="AC4" s="10">
        <v>0</v>
      </c>
      <c r="AD4" s="10">
        <v>0</v>
      </c>
      <c r="AE4" s="10" t="s">
        <v>1764</v>
      </c>
      <c r="AF4" s="10" t="s">
        <v>43</v>
      </c>
      <c r="AG4" s="10" t="s">
        <v>38</v>
      </c>
      <c r="AH4" s="10" t="s">
        <v>92</v>
      </c>
    </row>
    <row r="5" spans="1:34" ht="15" thickBot="1" x14ac:dyDescent="0.35">
      <c r="A5" s="75" t="s">
        <v>1759</v>
      </c>
      <c r="B5" s="19" t="s">
        <v>1760</v>
      </c>
      <c r="C5" s="19" t="s">
        <v>1761</v>
      </c>
      <c r="D5" s="20">
        <v>45547</v>
      </c>
      <c r="E5" s="21">
        <v>160300</v>
      </c>
      <c r="F5" s="19" t="s">
        <v>32</v>
      </c>
      <c r="G5" s="19" t="s">
        <v>33</v>
      </c>
      <c r="H5" s="21">
        <v>160300</v>
      </c>
      <c r="I5" s="21">
        <v>47400</v>
      </c>
      <c r="J5" s="22">
        <f>I5/H5*100</f>
        <v>29.569557080474112</v>
      </c>
      <c r="K5" s="21">
        <v>109898</v>
      </c>
      <c r="L5" s="21">
        <f>H5-101949</f>
        <v>58351</v>
      </c>
      <c r="M5" s="21">
        <v>7949</v>
      </c>
      <c r="N5" s="67">
        <f>M5/E5</f>
        <v>4.9588271990018716E-2</v>
      </c>
      <c r="O5" s="23">
        <v>61.14</v>
      </c>
      <c r="P5" s="24">
        <v>135</v>
      </c>
      <c r="Q5" s="25">
        <v>0.186</v>
      </c>
      <c r="R5" s="25">
        <v>0.186</v>
      </c>
      <c r="S5" s="21">
        <f>L5/O5</f>
        <v>954.38338240104679</v>
      </c>
      <c r="T5" s="21">
        <f>L5/Q5</f>
        <v>313715.05376344087</v>
      </c>
      <c r="U5" s="26">
        <f>L5/Q5/43560</f>
        <v>7.20190665205328</v>
      </c>
      <c r="V5" s="25">
        <v>60</v>
      </c>
      <c r="W5" s="25">
        <f>0.2*E5</f>
        <v>32060</v>
      </c>
      <c r="X5" s="25">
        <f>W5/V5</f>
        <v>534.33333333333337</v>
      </c>
      <c r="Y5" s="27" t="s">
        <v>1758</v>
      </c>
      <c r="Z5" s="19" t="s">
        <v>35</v>
      </c>
      <c r="AA5" s="19" t="s">
        <v>35</v>
      </c>
      <c r="AB5" s="19" t="s">
        <v>1759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728300</v>
      </c>
      <c r="F6" s="37"/>
      <c r="G6" s="37"/>
      <c r="H6" s="39">
        <f>+SUM(H2:H5)</f>
        <v>728300</v>
      </c>
      <c r="I6" s="39">
        <f>+SUM(I2:I5)</f>
        <v>269800</v>
      </c>
      <c r="J6" s="40"/>
      <c r="K6" s="39">
        <f>+SUM(K2:K5)</f>
        <v>629360</v>
      </c>
      <c r="L6" s="39">
        <f>+SUM(L2:L5)</f>
        <v>134905</v>
      </c>
      <c r="M6" s="39">
        <f>+SUM(M2:M5)</f>
        <v>35965</v>
      </c>
      <c r="N6" s="81">
        <f>AVERAGE(N2:N5)</f>
        <v>4.9207497129269077E-2</v>
      </c>
      <c r="O6" s="41">
        <f>+SUM(O2:O5)</f>
        <v>276.63</v>
      </c>
      <c r="P6" s="42"/>
      <c r="Q6" s="43">
        <f>+SUM(Q2:Q5)</f>
        <v>0.80499999999999994</v>
      </c>
      <c r="R6" s="43">
        <f>+SUM(R2:R5)</f>
        <v>0.80499999999999994</v>
      </c>
      <c r="S6" s="39"/>
      <c r="T6" s="39"/>
      <c r="U6" s="44"/>
      <c r="V6" s="43"/>
      <c r="W6" s="82">
        <f>AVERAGE(W2:W5)</f>
        <v>36415</v>
      </c>
      <c r="X6" s="83">
        <f>AVERAGE(X2:X5)</f>
        <v>553.5595876634261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37.045173692159821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7.7591722147394977</v>
      </c>
      <c r="K8" s="48"/>
      <c r="L8" s="48"/>
      <c r="M8" s="48" t="s">
        <v>2880</v>
      </c>
      <c r="N8" s="80"/>
      <c r="O8" s="54">
        <f>L6/O6</f>
        <v>487.6730651050139</v>
      </c>
      <c r="P8" s="50"/>
      <c r="Q8" s="51" t="s">
        <v>2881</v>
      </c>
      <c r="R8" s="51">
        <f>L6/Q6</f>
        <v>167583.85093167704</v>
      </c>
      <c r="S8" s="48"/>
      <c r="T8" s="48" t="s">
        <v>2882</v>
      </c>
      <c r="U8" s="52">
        <f>L6/Q6/43560</f>
        <v>3.8471958432432745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5" t="s">
        <v>1759</v>
      </c>
      <c r="B18" s="19" t="s">
        <v>1769</v>
      </c>
      <c r="C18" s="19" t="s">
        <v>1770</v>
      </c>
      <c r="D18" s="20">
        <v>45191</v>
      </c>
      <c r="E18" s="21">
        <v>140000</v>
      </c>
      <c r="F18" s="19" t="s">
        <v>32</v>
      </c>
      <c r="G18" s="19" t="s">
        <v>33</v>
      </c>
      <c r="H18" s="21">
        <v>140000</v>
      </c>
      <c r="I18" s="21">
        <v>75400</v>
      </c>
      <c r="J18" s="22">
        <f>I18/H18*100</f>
        <v>53.857142857142861</v>
      </c>
      <c r="K18" s="21">
        <v>174524</v>
      </c>
      <c r="L18" s="21">
        <f>H18-167353</f>
        <v>-27353</v>
      </c>
      <c r="M18" s="21">
        <v>7171</v>
      </c>
      <c r="N18" s="67">
        <f>M18/E18</f>
        <v>5.1221428571428571E-2</v>
      </c>
      <c r="O18" s="23">
        <v>55.16</v>
      </c>
      <c r="P18" s="24">
        <v>117.43</v>
      </c>
      <c r="Q18" s="25">
        <v>0.157</v>
      </c>
      <c r="R18" s="25">
        <v>0.157</v>
      </c>
      <c r="S18" s="21">
        <f>L18/O18</f>
        <v>-495.88469905728795</v>
      </c>
      <c r="T18" s="21">
        <f>L18/Q18</f>
        <v>-174222.92993630574</v>
      </c>
      <c r="U18" s="26">
        <f>L18/Q18/43560</f>
        <v>-3.9996081252595439</v>
      </c>
      <c r="V18" s="25">
        <v>57.73</v>
      </c>
      <c r="W18" s="25">
        <f>0.2*E18</f>
        <v>28000</v>
      </c>
      <c r="X18" s="25">
        <f>W18/V18</f>
        <v>485.01645591546861</v>
      </c>
      <c r="Y18" s="27" t="s">
        <v>1767</v>
      </c>
      <c r="Z18" s="19" t="s">
        <v>35</v>
      </c>
      <c r="AA18" s="19" t="s">
        <v>35</v>
      </c>
      <c r="AB18" s="19" t="s">
        <v>1759</v>
      </c>
      <c r="AC18" s="19">
        <v>0</v>
      </c>
      <c r="AD18" s="19">
        <v>1</v>
      </c>
      <c r="AE18" s="19" t="s">
        <v>42</v>
      </c>
      <c r="AF18" s="19" t="s">
        <v>43</v>
      </c>
      <c r="AG18" s="19" t="s">
        <v>38</v>
      </c>
      <c r="AH18" s="19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4">
    <tabColor rgb="FF00B050"/>
  </sheetPr>
  <dimension ref="A1:AH108"/>
  <sheetViews>
    <sheetView topLeftCell="O57" workbookViewId="0">
      <selection activeCell="W77" activeCellId="5" sqref="N1 W1:X1 N54 W54:X54 N77 W77:X77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0.554687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20.109375" customWidth="1" collapsed="1"/>
    <col min="8" max="8" width="10.88671875" customWidth="1" collapsed="1"/>
    <col min="9" max="10" width="14.6640625" bestFit="1" customWidth="1" collapsed="1"/>
    <col min="11" max="11" width="15.66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8.6640625" bestFit="1" customWidth="1" collapsed="1"/>
    <col min="17" max="17" width="14.33203125" bestFit="1" customWidth="1" collapsed="1"/>
    <col min="18" max="18" width="10.6640625" bestFit="1" customWidth="1" collapsed="1"/>
    <col min="19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9" style="55" bestFit="1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3088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2703</v>
      </c>
      <c r="B2" s="19" t="s">
        <v>2700</v>
      </c>
      <c r="C2" s="19" t="s">
        <v>2701</v>
      </c>
      <c r="D2" s="20">
        <v>45686</v>
      </c>
      <c r="E2" s="21">
        <v>110000</v>
      </c>
      <c r="F2" s="19" t="s">
        <v>32</v>
      </c>
      <c r="G2" s="19" t="s">
        <v>33</v>
      </c>
      <c r="H2" s="21">
        <v>110000</v>
      </c>
      <c r="I2" s="21">
        <v>94000</v>
      </c>
      <c r="J2" s="22">
        <f t="shared" ref="J2:J37" si="0">I2/H2*100</f>
        <v>85.454545454545453</v>
      </c>
      <c r="K2" s="21">
        <v>217349</v>
      </c>
      <c r="L2" s="21">
        <f>H2-191249</f>
        <v>-81249</v>
      </c>
      <c r="M2" s="21">
        <v>26100</v>
      </c>
      <c r="N2" s="67">
        <f t="shared" ref="N2:N37" si="1">M2/E2</f>
        <v>0.23727272727272727</v>
      </c>
      <c r="O2" s="23">
        <v>0</v>
      </c>
      <c r="P2" s="24">
        <v>0</v>
      </c>
      <c r="Q2" s="25">
        <v>1.74</v>
      </c>
      <c r="R2" s="25">
        <v>1.74</v>
      </c>
      <c r="S2" s="21" t="e">
        <f t="shared" ref="S2:S37" si="2">L2/O2</f>
        <v>#DIV/0!</v>
      </c>
      <c r="T2" s="21">
        <f t="shared" ref="T2:T37" si="3">L2/Q2</f>
        <v>-46694.827586206899</v>
      </c>
      <c r="U2" s="26">
        <f t="shared" ref="U2:U37" si="4">L2/Q2/43560</f>
        <v>-1.0719657388936386</v>
      </c>
      <c r="V2" s="25">
        <v>0</v>
      </c>
      <c r="W2" s="25">
        <f t="shared" ref="W2:W37" si="5">0.2*E2</f>
        <v>22000</v>
      </c>
      <c r="X2" s="25">
        <f>W2/T2</f>
        <v>-0.47114426023704903</v>
      </c>
      <c r="Y2" s="27" t="s">
        <v>2702</v>
      </c>
      <c r="Z2" s="19" t="s">
        <v>35</v>
      </c>
      <c r="AA2" s="19" t="s">
        <v>35</v>
      </c>
      <c r="AB2" s="19" t="s">
        <v>2703</v>
      </c>
      <c r="AC2" s="19">
        <v>0</v>
      </c>
      <c r="AD2" s="19">
        <v>0</v>
      </c>
      <c r="AE2" s="19" t="s">
        <v>42</v>
      </c>
      <c r="AF2" s="19" t="s">
        <v>35</v>
      </c>
      <c r="AG2" s="19" t="s">
        <v>38</v>
      </c>
      <c r="AH2" s="19"/>
    </row>
    <row r="3" spans="1:34" x14ac:dyDescent="0.3">
      <c r="A3" s="75" t="s">
        <v>2594</v>
      </c>
      <c r="B3" s="19" t="s">
        <v>2603</v>
      </c>
      <c r="C3" s="19" t="s">
        <v>2604</v>
      </c>
      <c r="D3" s="20">
        <v>45638</v>
      </c>
      <c r="E3" s="21">
        <v>92000</v>
      </c>
      <c r="F3" s="19" t="s">
        <v>32</v>
      </c>
      <c r="G3" s="19" t="s">
        <v>33</v>
      </c>
      <c r="H3" s="21">
        <v>92000</v>
      </c>
      <c r="I3" s="21">
        <v>76000</v>
      </c>
      <c r="J3" s="22">
        <f t="shared" si="0"/>
        <v>82.608695652173907</v>
      </c>
      <c r="K3" s="21">
        <v>174148</v>
      </c>
      <c r="L3" s="21">
        <f>H3-130538</f>
        <v>-38538</v>
      </c>
      <c r="M3" s="21">
        <v>43610</v>
      </c>
      <c r="N3" s="67">
        <f t="shared" si="1"/>
        <v>0.47402173913043477</v>
      </c>
      <c r="O3" s="23">
        <v>192.96</v>
      </c>
      <c r="P3" s="24">
        <v>237.17</v>
      </c>
      <c r="Q3" s="25">
        <v>0.82099999999999995</v>
      </c>
      <c r="R3" s="25">
        <v>0.82099999999999995</v>
      </c>
      <c r="S3" s="21">
        <f t="shared" si="2"/>
        <v>-199.72014925373134</v>
      </c>
      <c r="T3" s="21">
        <f t="shared" si="3"/>
        <v>-46940.316686967119</v>
      </c>
      <c r="U3" s="26">
        <f t="shared" si="4"/>
        <v>-1.0776013931810633</v>
      </c>
      <c r="V3" s="25">
        <v>110.07</v>
      </c>
      <c r="W3" s="25">
        <f t="shared" si="5"/>
        <v>18400</v>
      </c>
      <c r="X3" s="25">
        <f t="shared" ref="X3:X37" si="6">W3/T3</f>
        <v>-0.39198712958638221</v>
      </c>
      <c r="Y3" s="27" t="s">
        <v>2593</v>
      </c>
      <c r="Z3" s="19" t="s">
        <v>35</v>
      </c>
      <c r="AA3" s="19" t="s">
        <v>35</v>
      </c>
      <c r="AB3" s="19" t="s">
        <v>2594</v>
      </c>
      <c r="AC3" s="19">
        <v>0</v>
      </c>
      <c r="AD3" s="19">
        <v>1</v>
      </c>
      <c r="AE3" s="19" t="s">
        <v>42</v>
      </c>
      <c r="AF3" s="19" t="s">
        <v>35</v>
      </c>
      <c r="AG3" s="19" t="s">
        <v>38</v>
      </c>
      <c r="AH3" s="19" t="s">
        <v>92</v>
      </c>
    </row>
    <row r="4" spans="1:34" x14ac:dyDescent="0.3">
      <c r="A4" s="74" t="s">
        <v>1194</v>
      </c>
      <c r="B4" s="10" t="s">
        <v>1529</v>
      </c>
      <c r="C4" s="10" t="s">
        <v>1530</v>
      </c>
      <c r="D4" s="11">
        <v>45308</v>
      </c>
      <c r="E4" s="12">
        <v>120000</v>
      </c>
      <c r="F4" s="10" t="s">
        <v>81</v>
      </c>
      <c r="G4" s="10" t="s">
        <v>33</v>
      </c>
      <c r="H4" s="12">
        <v>120000</v>
      </c>
      <c r="I4" s="12">
        <v>93600</v>
      </c>
      <c r="J4" s="13">
        <f t="shared" si="0"/>
        <v>78</v>
      </c>
      <c r="K4" s="12">
        <v>232138</v>
      </c>
      <c r="L4" s="12">
        <f>H4-206968</f>
        <v>-86968</v>
      </c>
      <c r="M4" s="12">
        <v>25170</v>
      </c>
      <c r="N4" s="66">
        <f t="shared" si="1"/>
        <v>0.20974999999999999</v>
      </c>
      <c r="O4" s="14">
        <v>139.83000000000001</v>
      </c>
      <c r="P4" s="15">
        <v>580.82000000000005</v>
      </c>
      <c r="Q4" s="16">
        <v>1.087</v>
      </c>
      <c r="R4" s="16">
        <v>1.087</v>
      </c>
      <c r="S4" s="12">
        <f t="shared" si="2"/>
        <v>-621.95523135235635</v>
      </c>
      <c r="T4" s="12">
        <f t="shared" si="3"/>
        <v>-80007.359705611772</v>
      </c>
      <c r="U4" s="17">
        <f t="shared" si="4"/>
        <v>-1.8367162466853024</v>
      </c>
      <c r="V4" s="16">
        <v>83.08</v>
      </c>
      <c r="W4" s="16">
        <f t="shared" si="5"/>
        <v>24000</v>
      </c>
      <c r="X4" s="25">
        <f t="shared" si="6"/>
        <v>-0.29997240364271915</v>
      </c>
      <c r="Y4" s="18" t="s">
        <v>1193</v>
      </c>
      <c r="Z4" s="10" t="s">
        <v>35</v>
      </c>
      <c r="AA4" s="10" t="s">
        <v>35</v>
      </c>
      <c r="AB4" s="10" t="s">
        <v>1194</v>
      </c>
      <c r="AC4" s="10">
        <v>0</v>
      </c>
      <c r="AD4" s="10">
        <v>1</v>
      </c>
      <c r="AE4" s="10" t="s">
        <v>42</v>
      </c>
      <c r="AF4" s="10" t="s">
        <v>35</v>
      </c>
      <c r="AG4" s="10" t="s">
        <v>38</v>
      </c>
      <c r="AH4" s="10" t="s">
        <v>92</v>
      </c>
    </row>
    <row r="5" spans="1:34" x14ac:dyDescent="0.3">
      <c r="A5" s="74" t="s">
        <v>2125</v>
      </c>
      <c r="B5" s="10" t="s">
        <v>2126</v>
      </c>
      <c r="C5" s="10" t="s">
        <v>2127</v>
      </c>
      <c r="D5" s="11">
        <v>45434</v>
      </c>
      <c r="E5" s="12">
        <v>80000</v>
      </c>
      <c r="F5" s="10" t="s">
        <v>81</v>
      </c>
      <c r="G5" s="10" t="s">
        <v>33</v>
      </c>
      <c r="H5" s="12">
        <v>80000</v>
      </c>
      <c r="I5" s="12">
        <v>80200</v>
      </c>
      <c r="J5" s="13">
        <f t="shared" si="0"/>
        <v>100.25</v>
      </c>
      <c r="K5" s="12">
        <v>180677</v>
      </c>
      <c r="L5" s="12">
        <f>H5-141124</f>
        <v>-61124</v>
      </c>
      <c r="M5" s="12">
        <v>39553</v>
      </c>
      <c r="N5" s="66">
        <f t="shared" si="1"/>
        <v>0.49441249999999998</v>
      </c>
      <c r="O5" s="14">
        <v>158.21</v>
      </c>
      <c r="P5" s="15">
        <v>264</v>
      </c>
      <c r="Q5" s="16">
        <v>0.97</v>
      </c>
      <c r="R5" s="16">
        <v>0.97</v>
      </c>
      <c r="S5" s="12">
        <f t="shared" si="2"/>
        <v>-386.34725997092471</v>
      </c>
      <c r="T5" s="12">
        <f t="shared" si="3"/>
        <v>-63014.432989690722</v>
      </c>
      <c r="U5" s="17">
        <f t="shared" si="4"/>
        <v>-1.4466123275870231</v>
      </c>
      <c r="V5" s="16">
        <v>160</v>
      </c>
      <c r="W5" s="16">
        <f t="shared" si="5"/>
        <v>16000</v>
      </c>
      <c r="X5" s="25">
        <f t="shared" si="6"/>
        <v>-0.253910084418559</v>
      </c>
      <c r="Y5" s="18" t="s">
        <v>2124</v>
      </c>
      <c r="Z5" s="10" t="s">
        <v>35</v>
      </c>
      <c r="AA5" s="10" t="s">
        <v>35</v>
      </c>
      <c r="AB5" s="10" t="s">
        <v>2125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966</v>
      </c>
      <c r="B6" s="19" t="s">
        <v>973</v>
      </c>
      <c r="C6" s="19" t="s">
        <v>974</v>
      </c>
      <c r="D6" s="20">
        <v>45649</v>
      </c>
      <c r="E6" s="21">
        <v>142500</v>
      </c>
      <c r="F6" s="19" t="s">
        <v>81</v>
      </c>
      <c r="G6" s="19" t="s">
        <v>33</v>
      </c>
      <c r="H6" s="21">
        <v>142500</v>
      </c>
      <c r="I6" s="21">
        <v>74800</v>
      </c>
      <c r="J6" s="22">
        <f t="shared" si="0"/>
        <v>52.491228070175445</v>
      </c>
      <c r="K6" s="21">
        <v>311983</v>
      </c>
      <c r="L6" s="21">
        <f>H6-278363</f>
        <v>-135863</v>
      </c>
      <c r="M6" s="21">
        <v>33620</v>
      </c>
      <c r="N6" s="67">
        <f t="shared" si="1"/>
        <v>0.23592982456140352</v>
      </c>
      <c r="O6" s="23">
        <v>138.91999999999999</v>
      </c>
      <c r="P6" s="24">
        <v>304</v>
      </c>
      <c r="Q6" s="25">
        <v>0.96299999999999997</v>
      </c>
      <c r="R6" s="25">
        <v>0.96299999999999997</v>
      </c>
      <c r="S6" s="21">
        <f t="shared" si="2"/>
        <v>-977.99452922545356</v>
      </c>
      <c r="T6" s="21">
        <f t="shared" si="3"/>
        <v>-141083.07372793354</v>
      </c>
      <c r="U6" s="26">
        <f t="shared" si="4"/>
        <v>-3.2388217109259307</v>
      </c>
      <c r="V6" s="25">
        <v>138.01</v>
      </c>
      <c r="W6" s="25">
        <f t="shared" si="5"/>
        <v>28500</v>
      </c>
      <c r="X6" s="25">
        <f t="shared" si="6"/>
        <v>-0.20200864105753588</v>
      </c>
      <c r="Y6" s="27" t="s">
        <v>965</v>
      </c>
      <c r="Z6" s="19" t="s">
        <v>35</v>
      </c>
      <c r="AA6" s="19" t="s">
        <v>35</v>
      </c>
      <c r="AB6" s="19" t="s">
        <v>966</v>
      </c>
      <c r="AC6" s="19">
        <v>0</v>
      </c>
      <c r="AD6" s="19">
        <v>1</v>
      </c>
      <c r="AE6" s="19" t="s">
        <v>42</v>
      </c>
      <c r="AF6" s="19" t="s">
        <v>35</v>
      </c>
      <c r="AG6" s="19" t="s">
        <v>38</v>
      </c>
      <c r="AH6" s="19" t="s">
        <v>92</v>
      </c>
    </row>
    <row r="7" spans="1:34" x14ac:dyDescent="0.3">
      <c r="A7" s="74" t="s">
        <v>2200</v>
      </c>
      <c r="B7" s="10" t="s">
        <v>2201</v>
      </c>
      <c r="C7" s="10" t="s">
        <v>2202</v>
      </c>
      <c r="D7" s="11">
        <v>45429</v>
      </c>
      <c r="E7" s="12">
        <v>110000</v>
      </c>
      <c r="F7" s="10" t="s">
        <v>32</v>
      </c>
      <c r="G7" s="10" t="s">
        <v>33</v>
      </c>
      <c r="H7" s="12">
        <v>110000</v>
      </c>
      <c r="I7" s="12">
        <v>114500</v>
      </c>
      <c r="J7" s="13">
        <f t="shared" si="0"/>
        <v>104.09090909090909</v>
      </c>
      <c r="K7" s="12">
        <v>275874</v>
      </c>
      <c r="L7" s="12">
        <f>H7-256555</f>
        <v>-146555</v>
      </c>
      <c r="M7" s="12">
        <v>19319</v>
      </c>
      <c r="N7" s="66">
        <f t="shared" si="1"/>
        <v>0.17562727272727272</v>
      </c>
      <c r="O7" s="14">
        <v>112.97</v>
      </c>
      <c r="P7" s="15">
        <v>462.34</v>
      </c>
      <c r="Q7" s="16">
        <v>0.96599999999999997</v>
      </c>
      <c r="R7" s="16">
        <v>0.96599999999999997</v>
      </c>
      <c r="S7" s="12">
        <f t="shared" si="2"/>
        <v>-1297.2913162786581</v>
      </c>
      <c r="T7" s="12">
        <f t="shared" si="3"/>
        <v>-151713.25051759835</v>
      </c>
      <c r="U7" s="17">
        <f t="shared" si="4"/>
        <v>-3.4828569907621292</v>
      </c>
      <c r="V7" s="16">
        <v>91.01</v>
      </c>
      <c r="W7" s="16">
        <f t="shared" si="5"/>
        <v>22000</v>
      </c>
      <c r="X7" s="25">
        <f t="shared" si="6"/>
        <v>-0.14501040564975606</v>
      </c>
      <c r="Y7" s="18" t="s">
        <v>2199</v>
      </c>
      <c r="Z7" s="10" t="s">
        <v>35</v>
      </c>
      <c r="AA7" s="10" t="s">
        <v>35</v>
      </c>
      <c r="AB7" s="10" t="s">
        <v>2200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1639</v>
      </c>
      <c r="B8" s="19" t="s">
        <v>1679</v>
      </c>
      <c r="C8" s="19" t="s">
        <v>1680</v>
      </c>
      <c r="D8" s="20">
        <v>45044</v>
      </c>
      <c r="E8" s="21">
        <v>35000</v>
      </c>
      <c r="F8" s="19" t="s">
        <v>32</v>
      </c>
      <c r="G8" s="19" t="s">
        <v>33</v>
      </c>
      <c r="H8" s="21">
        <v>35000</v>
      </c>
      <c r="I8" s="21">
        <v>12700</v>
      </c>
      <c r="J8" s="22">
        <f t="shared" si="0"/>
        <v>36.285714285714285</v>
      </c>
      <c r="K8" s="21">
        <v>26976</v>
      </c>
      <c r="L8" s="21">
        <f>H8-0</f>
        <v>35000</v>
      </c>
      <c r="M8" s="21">
        <v>26976</v>
      </c>
      <c r="N8" s="67">
        <f t="shared" si="1"/>
        <v>0.77074285714285717</v>
      </c>
      <c r="O8" s="23">
        <v>164.48</v>
      </c>
      <c r="P8" s="24">
        <v>264.54000000000002</v>
      </c>
      <c r="Q8" s="25">
        <v>0.91100000000000003</v>
      </c>
      <c r="R8" s="25">
        <v>0.91100000000000003</v>
      </c>
      <c r="S8" s="21">
        <f t="shared" si="2"/>
        <v>212.79182879377433</v>
      </c>
      <c r="T8" s="21">
        <f t="shared" si="3"/>
        <v>38419.31942919868</v>
      </c>
      <c r="U8" s="26">
        <f t="shared" si="4"/>
        <v>0.88198621279152156</v>
      </c>
      <c r="V8" s="25">
        <v>150</v>
      </c>
      <c r="W8" s="25">
        <f t="shared" si="5"/>
        <v>7000</v>
      </c>
      <c r="X8" s="25">
        <f t="shared" si="6"/>
        <v>0.1822</v>
      </c>
      <c r="Y8" s="27" t="s">
        <v>1638</v>
      </c>
      <c r="Z8" s="19" t="s">
        <v>35</v>
      </c>
      <c r="AA8" s="19" t="s">
        <v>35</v>
      </c>
      <c r="AB8" s="19" t="s">
        <v>1639</v>
      </c>
      <c r="AC8" s="19">
        <v>0</v>
      </c>
      <c r="AD8" s="19">
        <v>0</v>
      </c>
      <c r="AE8" s="19" t="s">
        <v>37</v>
      </c>
      <c r="AF8" s="19" t="s">
        <v>43</v>
      </c>
      <c r="AG8" s="19" t="s">
        <v>61</v>
      </c>
      <c r="AH8" s="19" t="s">
        <v>92</v>
      </c>
    </row>
    <row r="9" spans="1:34" x14ac:dyDescent="0.3">
      <c r="A9" s="74" t="s">
        <v>2840</v>
      </c>
      <c r="B9" s="10" t="s">
        <v>2837</v>
      </c>
      <c r="C9" s="10" t="s">
        <v>2838</v>
      </c>
      <c r="D9" s="11">
        <v>45636</v>
      </c>
      <c r="E9" s="12">
        <v>7500</v>
      </c>
      <c r="F9" s="10" t="s">
        <v>32</v>
      </c>
      <c r="G9" s="10" t="s">
        <v>33</v>
      </c>
      <c r="H9" s="12">
        <v>7500</v>
      </c>
      <c r="I9" s="12">
        <v>14100</v>
      </c>
      <c r="J9" s="13">
        <f t="shared" si="0"/>
        <v>188</v>
      </c>
      <c r="K9" s="12">
        <v>29961</v>
      </c>
      <c r="L9" s="12">
        <f>H9-0</f>
        <v>7500</v>
      </c>
      <c r="M9" s="12">
        <v>29961</v>
      </c>
      <c r="N9" s="66">
        <f t="shared" si="1"/>
        <v>3.9948000000000001</v>
      </c>
      <c r="O9" s="14">
        <v>152.86000000000001</v>
      </c>
      <c r="P9" s="15">
        <v>285</v>
      </c>
      <c r="Q9" s="16">
        <v>1</v>
      </c>
      <c r="R9" s="16">
        <v>1</v>
      </c>
      <c r="S9" s="12">
        <f t="shared" si="2"/>
        <v>49.06450346722491</v>
      </c>
      <c r="T9" s="12">
        <f t="shared" si="3"/>
        <v>7500</v>
      </c>
      <c r="U9" s="17">
        <f t="shared" si="4"/>
        <v>0.17217630853994489</v>
      </c>
      <c r="V9" s="16">
        <v>152.86000000000001</v>
      </c>
      <c r="W9" s="16">
        <f t="shared" si="5"/>
        <v>1500</v>
      </c>
      <c r="X9" s="25">
        <f t="shared" si="6"/>
        <v>0.2</v>
      </c>
      <c r="Y9" s="18" t="s">
        <v>2839</v>
      </c>
      <c r="Z9" s="10" t="s">
        <v>35</v>
      </c>
      <c r="AA9" s="10" t="s">
        <v>35</v>
      </c>
      <c r="AB9" s="10" t="s">
        <v>2840</v>
      </c>
      <c r="AC9" s="10">
        <v>0</v>
      </c>
      <c r="AD9" s="10">
        <v>1</v>
      </c>
      <c r="AE9" s="10" t="s">
        <v>37</v>
      </c>
      <c r="AF9" s="10" t="s">
        <v>35</v>
      </c>
      <c r="AG9" s="10" t="s">
        <v>61</v>
      </c>
      <c r="AH9" s="10" t="s">
        <v>92</v>
      </c>
    </row>
    <row r="10" spans="1:34" x14ac:dyDescent="0.3">
      <c r="A10" s="74" t="s">
        <v>1773</v>
      </c>
      <c r="B10" s="10" t="s">
        <v>2008</v>
      </c>
      <c r="C10" s="10" t="s">
        <v>2009</v>
      </c>
      <c r="D10" s="11">
        <v>45578</v>
      </c>
      <c r="E10" s="12">
        <v>160000</v>
      </c>
      <c r="F10" s="10" t="s">
        <v>81</v>
      </c>
      <c r="G10" s="10" t="s">
        <v>33</v>
      </c>
      <c r="H10" s="12">
        <v>160000</v>
      </c>
      <c r="I10" s="12">
        <v>31400</v>
      </c>
      <c r="J10" s="13">
        <f t="shared" si="0"/>
        <v>19.625</v>
      </c>
      <c r="K10" s="12">
        <v>63026</v>
      </c>
      <c r="L10" s="12">
        <f>H10-41026</f>
        <v>118974</v>
      </c>
      <c r="M10" s="12">
        <v>22000</v>
      </c>
      <c r="N10" s="66">
        <f t="shared" si="1"/>
        <v>0.13750000000000001</v>
      </c>
      <c r="O10" s="14">
        <v>0</v>
      </c>
      <c r="P10" s="15">
        <v>0</v>
      </c>
      <c r="Q10" s="16">
        <v>1.1000000000000001</v>
      </c>
      <c r="R10" s="16">
        <v>1.1000000000000001</v>
      </c>
      <c r="S10" s="12" t="e">
        <f t="shared" si="2"/>
        <v>#DIV/0!</v>
      </c>
      <c r="T10" s="12">
        <f t="shared" si="3"/>
        <v>108158.18181818181</v>
      </c>
      <c r="U10" s="17">
        <f t="shared" si="4"/>
        <v>2.4829701978462309</v>
      </c>
      <c r="V10" s="16">
        <v>0</v>
      </c>
      <c r="W10" s="16">
        <f t="shared" si="5"/>
        <v>32000</v>
      </c>
      <c r="X10" s="25">
        <f t="shared" si="6"/>
        <v>0.29586296165548776</v>
      </c>
      <c r="Y10" s="18" t="s">
        <v>1941</v>
      </c>
      <c r="Z10" s="10" t="s">
        <v>35</v>
      </c>
      <c r="AA10" s="10" t="s">
        <v>35</v>
      </c>
      <c r="AB10" s="10" t="s">
        <v>1773</v>
      </c>
      <c r="AC10" s="10">
        <v>0</v>
      </c>
      <c r="AD10" s="10">
        <v>0</v>
      </c>
      <c r="AE10" s="10" t="s">
        <v>42</v>
      </c>
      <c r="AF10" s="10" t="s">
        <v>35</v>
      </c>
      <c r="AG10" s="10" t="s">
        <v>38</v>
      </c>
      <c r="AH10" s="10"/>
    </row>
    <row r="11" spans="1:34" x14ac:dyDescent="0.3">
      <c r="A11" s="74" t="s">
        <v>2664</v>
      </c>
      <c r="B11" s="10" t="s">
        <v>2773</v>
      </c>
      <c r="C11" s="10" t="s">
        <v>2774</v>
      </c>
      <c r="D11" s="11">
        <v>45637</v>
      </c>
      <c r="E11" s="12">
        <v>135000</v>
      </c>
      <c r="F11" s="10" t="s">
        <v>32</v>
      </c>
      <c r="G11" s="10" t="s">
        <v>33</v>
      </c>
      <c r="H11" s="12">
        <v>135000</v>
      </c>
      <c r="I11" s="12">
        <v>45300</v>
      </c>
      <c r="J11" s="13">
        <f t="shared" si="0"/>
        <v>33.555555555555557</v>
      </c>
      <c r="K11" s="12">
        <v>80633</v>
      </c>
      <c r="L11" s="12">
        <f>H11-60233</f>
        <v>74767</v>
      </c>
      <c r="M11" s="12">
        <v>20400</v>
      </c>
      <c r="N11" s="66">
        <f t="shared" si="1"/>
        <v>0.15111111111111111</v>
      </c>
      <c r="O11" s="14">
        <v>100</v>
      </c>
      <c r="P11" s="15">
        <v>379</v>
      </c>
      <c r="Q11" s="16">
        <v>0.87</v>
      </c>
      <c r="R11" s="16">
        <v>0.87</v>
      </c>
      <c r="S11" s="12">
        <f t="shared" si="2"/>
        <v>747.67</v>
      </c>
      <c r="T11" s="12">
        <f t="shared" si="3"/>
        <v>85939.080459770121</v>
      </c>
      <c r="U11" s="17">
        <f t="shared" si="4"/>
        <v>1.9728898177174041</v>
      </c>
      <c r="V11" s="16">
        <v>100</v>
      </c>
      <c r="W11" s="16">
        <f t="shared" si="5"/>
        <v>27000</v>
      </c>
      <c r="X11" s="25">
        <f t="shared" si="6"/>
        <v>0.31417604023165296</v>
      </c>
      <c r="Y11" s="18" t="s">
        <v>2663</v>
      </c>
      <c r="Z11" s="10" t="s">
        <v>35</v>
      </c>
      <c r="AA11" s="10" t="s">
        <v>35</v>
      </c>
      <c r="AB11" s="10" t="s">
        <v>2664</v>
      </c>
      <c r="AC11" s="10">
        <v>0</v>
      </c>
      <c r="AD11" s="10">
        <v>0</v>
      </c>
      <c r="AE11" s="10" t="s">
        <v>37</v>
      </c>
      <c r="AF11" s="10" t="s">
        <v>35</v>
      </c>
      <c r="AG11" s="10" t="s">
        <v>38</v>
      </c>
      <c r="AH11" s="10" t="s">
        <v>1830</v>
      </c>
    </row>
    <row r="12" spans="1:34" x14ac:dyDescent="0.3">
      <c r="A12" s="75" t="s">
        <v>2664</v>
      </c>
      <c r="B12" s="19" t="s">
        <v>2780</v>
      </c>
      <c r="C12" s="19" t="s">
        <v>2781</v>
      </c>
      <c r="D12" s="20">
        <v>45401</v>
      </c>
      <c r="E12" s="21">
        <v>172000</v>
      </c>
      <c r="F12" s="19" t="s">
        <v>32</v>
      </c>
      <c r="G12" s="19" t="s">
        <v>33</v>
      </c>
      <c r="H12" s="21">
        <v>172000</v>
      </c>
      <c r="I12" s="21">
        <v>52100</v>
      </c>
      <c r="J12" s="22">
        <f t="shared" si="0"/>
        <v>30.290697674418603</v>
      </c>
      <c r="K12" s="21">
        <v>92869</v>
      </c>
      <c r="L12" s="21">
        <f>H12-72030</f>
        <v>99970</v>
      </c>
      <c r="M12" s="21">
        <v>20839</v>
      </c>
      <c r="N12" s="67">
        <f t="shared" si="1"/>
        <v>0.12115697674418605</v>
      </c>
      <c r="O12" s="23">
        <v>102.14</v>
      </c>
      <c r="P12" s="24">
        <v>403.5</v>
      </c>
      <c r="Q12" s="25">
        <v>0.91700000000000004</v>
      </c>
      <c r="R12" s="25">
        <v>0.91700000000000004</v>
      </c>
      <c r="S12" s="21">
        <f t="shared" si="2"/>
        <v>978.75465047973364</v>
      </c>
      <c r="T12" s="21">
        <f t="shared" si="3"/>
        <v>109018.5387131952</v>
      </c>
      <c r="U12" s="26">
        <f t="shared" si="4"/>
        <v>2.5027212744076035</v>
      </c>
      <c r="V12" s="25">
        <v>99</v>
      </c>
      <c r="W12" s="25">
        <f t="shared" si="5"/>
        <v>34400</v>
      </c>
      <c r="X12" s="25">
        <f t="shared" si="6"/>
        <v>0.31554266279883963</v>
      </c>
      <c r="Y12" s="27" t="s">
        <v>2663</v>
      </c>
      <c r="Z12" s="19" t="s">
        <v>35</v>
      </c>
      <c r="AA12" s="19" t="s">
        <v>35</v>
      </c>
      <c r="AB12" s="19" t="s">
        <v>2664</v>
      </c>
      <c r="AC12" s="19">
        <v>0</v>
      </c>
      <c r="AD12" s="19">
        <v>1</v>
      </c>
      <c r="AE12" s="19" t="s">
        <v>412</v>
      </c>
      <c r="AF12" s="19" t="s">
        <v>43</v>
      </c>
      <c r="AG12" s="19" t="s">
        <v>38</v>
      </c>
      <c r="AH12" s="19" t="s">
        <v>1830</v>
      </c>
    </row>
    <row r="13" spans="1:34" x14ac:dyDescent="0.3">
      <c r="A13" s="75" t="s">
        <v>1773</v>
      </c>
      <c r="B13" s="19" t="s">
        <v>2012</v>
      </c>
      <c r="C13" s="19" t="s">
        <v>2013</v>
      </c>
      <c r="D13" s="20">
        <v>45653</v>
      </c>
      <c r="E13" s="21">
        <v>200000</v>
      </c>
      <c r="F13" s="19" t="s">
        <v>32</v>
      </c>
      <c r="G13" s="19" t="s">
        <v>33</v>
      </c>
      <c r="H13" s="21">
        <v>200000</v>
      </c>
      <c r="I13" s="21">
        <v>53400</v>
      </c>
      <c r="J13" s="22">
        <f t="shared" si="0"/>
        <v>26.700000000000003</v>
      </c>
      <c r="K13" s="21">
        <v>113651</v>
      </c>
      <c r="L13" s="21">
        <f>H13-96051</f>
        <v>103949</v>
      </c>
      <c r="M13" s="21">
        <v>17600</v>
      </c>
      <c r="N13" s="67">
        <f t="shared" si="1"/>
        <v>8.7999999999999995E-2</v>
      </c>
      <c r="O13" s="23">
        <v>0</v>
      </c>
      <c r="P13" s="24">
        <v>0</v>
      </c>
      <c r="Q13" s="25">
        <v>0.88</v>
      </c>
      <c r="R13" s="25">
        <v>0.88</v>
      </c>
      <c r="S13" s="21" t="e">
        <f t="shared" si="2"/>
        <v>#DIV/0!</v>
      </c>
      <c r="T13" s="21">
        <f t="shared" si="3"/>
        <v>118123.86363636363</v>
      </c>
      <c r="U13" s="26">
        <f t="shared" si="4"/>
        <v>2.7117507721846565</v>
      </c>
      <c r="V13" s="25">
        <v>0</v>
      </c>
      <c r="W13" s="25">
        <f t="shared" si="5"/>
        <v>40000</v>
      </c>
      <c r="X13" s="25">
        <f t="shared" si="6"/>
        <v>0.33862759622507194</v>
      </c>
      <c r="Y13" s="27" t="s">
        <v>1941</v>
      </c>
      <c r="Z13" s="19" t="s">
        <v>35</v>
      </c>
      <c r="AA13" s="19" t="s">
        <v>35</v>
      </c>
      <c r="AB13" s="19" t="s">
        <v>1773</v>
      </c>
      <c r="AC13" s="19">
        <v>0</v>
      </c>
      <c r="AD13" s="19">
        <v>1</v>
      </c>
      <c r="AE13" s="19" t="s">
        <v>42</v>
      </c>
      <c r="AF13" s="19" t="s">
        <v>35</v>
      </c>
      <c r="AG13" s="19" t="s">
        <v>38</v>
      </c>
      <c r="AH13" s="19"/>
    </row>
    <row r="14" spans="1:34" x14ac:dyDescent="0.3">
      <c r="A14" s="74" t="s">
        <v>1773</v>
      </c>
      <c r="B14" s="10" t="s">
        <v>2008</v>
      </c>
      <c r="C14" s="10" t="s">
        <v>2009</v>
      </c>
      <c r="D14" s="11">
        <v>45578</v>
      </c>
      <c r="E14" s="12">
        <v>100000</v>
      </c>
      <c r="F14" s="10" t="s">
        <v>32</v>
      </c>
      <c r="G14" s="10" t="s">
        <v>33</v>
      </c>
      <c r="H14" s="12">
        <v>100000</v>
      </c>
      <c r="I14" s="12">
        <v>31400</v>
      </c>
      <c r="J14" s="13">
        <f t="shared" si="0"/>
        <v>31.4</v>
      </c>
      <c r="K14" s="12">
        <v>63026</v>
      </c>
      <c r="L14" s="12">
        <f>H14-41026</f>
        <v>58974</v>
      </c>
      <c r="M14" s="12">
        <v>22000</v>
      </c>
      <c r="N14" s="66">
        <f t="shared" si="1"/>
        <v>0.22</v>
      </c>
      <c r="O14" s="14">
        <v>0</v>
      </c>
      <c r="P14" s="15">
        <v>0</v>
      </c>
      <c r="Q14" s="16">
        <v>1.1000000000000001</v>
      </c>
      <c r="R14" s="16">
        <v>1.1000000000000001</v>
      </c>
      <c r="S14" s="12" t="e">
        <f t="shared" si="2"/>
        <v>#DIV/0!</v>
      </c>
      <c r="T14" s="12">
        <f t="shared" si="3"/>
        <v>53612.727272727265</v>
      </c>
      <c r="U14" s="17">
        <f t="shared" si="4"/>
        <v>1.2307788630102678</v>
      </c>
      <c r="V14" s="16">
        <v>0</v>
      </c>
      <c r="W14" s="16">
        <f t="shared" si="5"/>
        <v>20000</v>
      </c>
      <c r="X14" s="25">
        <f t="shared" si="6"/>
        <v>0.37304574897412424</v>
      </c>
      <c r="Y14" s="18" t="s">
        <v>1941</v>
      </c>
      <c r="Z14" s="10" t="s">
        <v>35</v>
      </c>
      <c r="AA14" s="10" t="s">
        <v>35</v>
      </c>
      <c r="AB14" s="10" t="s">
        <v>1773</v>
      </c>
      <c r="AC14" s="10">
        <v>0</v>
      </c>
      <c r="AD14" s="10">
        <v>0</v>
      </c>
      <c r="AE14" s="10" t="s">
        <v>42</v>
      </c>
      <c r="AF14" s="10" t="s">
        <v>35</v>
      </c>
      <c r="AG14" s="10" t="s">
        <v>38</v>
      </c>
      <c r="AH14" s="10"/>
    </row>
    <row r="15" spans="1:34" x14ac:dyDescent="0.3">
      <c r="A15" s="75" t="s">
        <v>1773</v>
      </c>
      <c r="B15" s="19" t="s">
        <v>2010</v>
      </c>
      <c r="C15" s="19" t="s">
        <v>2011</v>
      </c>
      <c r="D15" s="20">
        <v>45106</v>
      </c>
      <c r="E15" s="21">
        <v>150000</v>
      </c>
      <c r="F15" s="19" t="s">
        <v>32</v>
      </c>
      <c r="G15" s="19" t="s">
        <v>33</v>
      </c>
      <c r="H15" s="21">
        <v>150000</v>
      </c>
      <c r="I15" s="21">
        <v>36000</v>
      </c>
      <c r="J15" s="22">
        <f t="shared" si="0"/>
        <v>24</v>
      </c>
      <c r="K15" s="21">
        <v>101302</v>
      </c>
      <c r="L15" s="21">
        <f>H15-83702</f>
        <v>66298</v>
      </c>
      <c r="M15" s="21">
        <v>17600</v>
      </c>
      <c r="N15" s="67">
        <f t="shared" si="1"/>
        <v>0.11733333333333333</v>
      </c>
      <c r="O15" s="23">
        <v>0</v>
      </c>
      <c r="P15" s="24">
        <v>0</v>
      </c>
      <c r="Q15" s="25">
        <v>0.88</v>
      </c>
      <c r="R15" s="25">
        <v>0.88</v>
      </c>
      <c r="S15" s="21" t="e">
        <f t="shared" si="2"/>
        <v>#DIV/0!</v>
      </c>
      <c r="T15" s="21">
        <f t="shared" si="3"/>
        <v>75338.636363636368</v>
      </c>
      <c r="U15" s="26">
        <f t="shared" si="4"/>
        <v>1.7295371066032224</v>
      </c>
      <c r="V15" s="25">
        <v>0</v>
      </c>
      <c r="W15" s="25">
        <f t="shared" si="5"/>
        <v>30000</v>
      </c>
      <c r="X15" s="25">
        <f t="shared" si="6"/>
        <v>0.39820205737729641</v>
      </c>
      <c r="Y15" s="27" t="s">
        <v>1941</v>
      </c>
      <c r="Z15" s="19" t="s">
        <v>35</v>
      </c>
      <c r="AA15" s="19" t="s">
        <v>35</v>
      </c>
      <c r="AB15" s="19" t="s">
        <v>1773</v>
      </c>
      <c r="AC15" s="19">
        <v>0</v>
      </c>
      <c r="AD15" s="19">
        <v>1</v>
      </c>
      <c r="AE15" s="19" t="s">
        <v>42</v>
      </c>
      <c r="AF15" s="19" t="s">
        <v>43</v>
      </c>
      <c r="AG15" s="19" t="s">
        <v>38</v>
      </c>
      <c r="AH15" s="19"/>
    </row>
    <row r="16" spans="1:34" x14ac:dyDescent="0.3">
      <c r="A16" s="75" t="s">
        <v>1773</v>
      </c>
      <c r="B16" s="19" t="s">
        <v>2000</v>
      </c>
      <c r="C16" s="19" t="s">
        <v>2001</v>
      </c>
      <c r="D16" s="20">
        <v>45188</v>
      </c>
      <c r="E16" s="21">
        <v>285000</v>
      </c>
      <c r="F16" s="19" t="s">
        <v>81</v>
      </c>
      <c r="G16" s="19" t="s">
        <v>33</v>
      </c>
      <c r="H16" s="21">
        <v>285000</v>
      </c>
      <c r="I16" s="21">
        <v>61700</v>
      </c>
      <c r="J16" s="22">
        <f t="shared" si="0"/>
        <v>21.649122807017545</v>
      </c>
      <c r="K16" s="21">
        <v>179784</v>
      </c>
      <c r="L16" s="21">
        <f>H16-160784</f>
        <v>124216</v>
      </c>
      <c r="M16" s="21">
        <v>19000</v>
      </c>
      <c r="N16" s="67">
        <f t="shared" si="1"/>
        <v>6.6666666666666666E-2</v>
      </c>
      <c r="O16" s="23">
        <v>0</v>
      </c>
      <c r="P16" s="24">
        <v>0</v>
      </c>
      <c r="Q16" s="25">
        <v>0.95</v>
      </c>
      <c r="R16" s="25">
        <v>0.95</v>
      </c>
      <c r="S16" s="21" t="e">
        <f t="shared" si="2"/>
        <v>#DIV/0!</v>
      </c>
      <c r="T16" s="21">
        <f t="shared" si="3"/>
        <v>130753.68421052632</v>
      </c>
      <c r="U16" s="26">
        <f t="shared" si="4"/>
        <v>3.00169155671548</v>
      </c>
      <c r="V16" s="25">
        <v>0</v>
      </c>
      <c r="W16" s="25">
        <f t="shared" si="5"/>
        <v>57000</v>
      </c>
      <c r="X16" s="25">
        <f t="shared" si="6"/>
        <v>0.4359341791717653</v>
      </c>
      <c r="Y16" s="27" t="s">
        <v>1941</v>
      </c>
      <c r="Z16" s="19" t="s">
        <v>35</v>
      </c>
      <c r="AA16" s="19" t="s">
        <v>35</v>
      </c>
      <c r="AB16" s="19" t="s">
        <v>1773</v>
      </c>
      <c r="AC16" s="19">
        <v>0</v>
      </c>
      <c r="AD16" s="19">
        <v>1</v>
      </c>
      <c r="AE16" s="19" t="s">
        <v>37</v>
      </c>
      <c r="AF16" s="19" t="s">
        <v>43</v>
      </c>
      <c r="AG16" s="19" t="s">
        <v>38</v>
      </c>
      <c r="AH16" s="19"/>
    </row>
    <row r="17" spans="1:34" x14ac:dyDescent="0.3">
      <c r="A17" s="74" t="s">
        <v>2664</v>
      </c>
      <c r="B17" s="10" t="s">
        <v>2775</v>
      </c>
      <c r="C17" s="10" t="s">
        <v>2776</v>
      </c>
      <c r="D17" s="11">
        <v>45475</v>
      </c>
      <c r="E17" s="12">
        <v>315000</v>
      </c>
      <c r="F17" s="10" t="s">
        <v>32</v>
      </c>
      <c r="G17" s="10" t="s">
        <v>33</v>
      </c>
      <c r="H17" s="12">
        <v>315000</v>
      </c>
      <c r="I17" s="12">
        <v>57400</v>
      </c>
      <c r="J17" s="13">
        <f t="shared" si="0"/>
        <v>18.222222222222221</v>
      </c>
      <c r="K17" s="12">
        <v>153731</v>
      </c>
      <c r="L17" s="12">
        <f>H17-128566</f>
        <v>186434</v>
      </c>
      <c r="M17" s="12">
        <v>25165</v>
      </c>
      <c r="N17" s="66">
        <f t="shared" si="1"/>
        <v>7.9888888888888884E-2</v>
      </c>
      <c r="O17" s="14">
        <v>100.08</v>
      </c>
      <c r="P17" s="15">
        <v>379.62</v>
      </c>
      <c r="Q17" s="16">
        <v>1.31</v>
      </c>
      <c r="R17" s="16">
        <v>0.871</v>
      </c>
      <c r="S17" s="12">
        <f t="shared" si="2"/>
        <v>1862.8497202238209</v>
      </c>
      <c r="T17" s="12">
        <f t="shared" si="3"/>
        <v>142316.03053435113</v>
      </c>
      <c r="U17" s="17">
        <f t="shared" si="4"/>
        <v>3.2671265044616882</v>
      </c>
      <c r="V17" s="16">
        <v>100</v>
      </c>
      <c r="W17" s="16">
        <f t="shared" si="5"/>
        <v>63000</v>
      </c>
      <c r="X17" s="25">
        <f t="shared" si="6"/>
        <v>0.44267676496776343</v>
      </c>
      <c r="Y17" s="18" t="s">
        <v>2663</v>
      </c>
      <c r="Z17" s="10" t="s">
        <v>35</v>
      </c>
      <c r="AA17" s="10" t="s">
        <v>2777</v>
      </c>
      <c r="AB17" s="10" t="s">
        <v>2664</v>
      </c>
      <c r="AC17" s="10">
        <v>0</v>
      </c>
      <c r="AD17" s="10">
        <v>0</v>
      </c>
      <c r="AE17" s="10" t="s">
        <v>42</v>
      </c>
      <c r="AF17" s="10" t="s">
        <v>43</v>
      </c>
      <c r="AG17" s="10" t="s">
        <v>38</v>
      </c>
      <c r="AH17" s="10" t="s">
        <v>1830</v>
      </c>
    </row>
    <row r="18" spans="1:34" x14ac:dyDescent="0.3">
      <c r="A18" s="75" t="s">
        <v>2125</v>
      </c>
      <c r="B18" s="19" t="s">
        <v>2126</v>
      </c>
      <c r="C18" s="19" t="s">
        <v>2127</v>
      </c>
      <c r="D18" s="20">
        <v>45684</v>
      </c>
      <c r="E18" s="21">
        <v>215000</v>
      </c>
      <c r="F18" s="19" t="s">
        <v>32</v>
      </c>
      <c r="G18" s="19" t="s">
        <v>33</v>
      </c>
      <c r="H18" s="21">
        <v>215000</v>
      </c>
      <c r="I18" s="21">
        <v>80200</v>
      </c>
      <c r="J18" s="22">
        <f t="shared" si="0"/>
        <v>37.302325581395351</v>
      </c>
      <c r="K18" s="21">
        <v>180677</v>
      </c>
      <c r="L18" s="21">
        <f>H18-141124</f>
        <v>73876</v>
      </c>
      <c r="M18" s="21">
        <v>39553</v>
      </c>
      <c r="N18" s="67">
        <f t="shared" si="1"/>
        <v>0.18396744186046513</v>
      </c>
      <c r="O18" s="23">
        <v>158.21</v>
      </c>
      <c r="P18" s="24">
        <v>264</v>
      </c>
      <c r="Q18" s="25">
        <v>0.97</v>
      </c>
      <c r="R18" s="25">
        <v>0.97</v>
      </c>
      <c r="S18" s="21">
        <f t="shared" si="2"/>
        <v>466.94899184628025</v>
      </c>
      <c r="T18" s="21">
        <f t="shared" si="3"/>
        <v>76160.824742268043</v>
      </c>
      <c r="U18" s="26">
        <f t="shared" si="4"/>
        <v>1.7484119545975216</v>
      </c>
      <c r="V18" s="25">
        <v>160</v>
      </c>
      <c r="W18" s="25">
        <f t="shared" si="5"/>
        <v>43000</v>
      </c>
      <c r="X18" s="25">
        <f t="shared" si="6"/>
        <v>0.56459472629812113</v>
      </c>
      <c r="Y18" s="27" t="s">
        <v>2124</v>
      </c>
      <c r="Z18" s="19" t="s">
        <v>35</v>
      </c>
      <c r="AA18" s="19" t="s">
        <v>35</v>
      </c>
      <c r="AB18" s="19" t="s">
        <v>2125</v>
      </c>
      <c r="AC18" s="19">
        <v>0</v>
      </c>
      <c r="AD18" s="19">
        <v>1</v>
      </c>
      <c r="AE18" s="19" t="s">
        <v>42</v>
      </c>
      <c r="AF18" s="19" t="s">
        <v>35</v>
      </c>
      <c r="AG18" s="19" t="s">
        <v>38</v>
      </c>
      <c r="AH18" s="19" t="s">
        <v>92</v>
      </c>
    </row>
    <row r="19" spans="1:34" x14ac:dyDescent="0.3">
      <c r="A19" s="75" t="s">
        <v>2163</v>
      </c>
      <c r="B19" s="19" t="s">
        <v>2312</v>
      </c>
      <c r="C19" s="19" t="s">
        <v>2313</v>
      </c>
      <c r="D19" s="20">
        <v>45559</v>
      </c>
      <c r="E19" s="21">
        <v>296500</v>
      </c>
      <c r="F19" s="19" t="s">
        <v>32</v>
      </c>
      <c r="G19" s="19" t="s">
        <v>66</v>
      </c>
      <c r="H19" s="21">
        <v>296500</v>
      </c>
      <c r="I19" s="21">
        <v>80100</v>
      </c>
      <c r="J19" s="22">
        <f t="shared" si="0"/>
        <v>27.015177065767286</v>
      </c>
      <c r="K19" s="21">
        <v>175537</v>
      </c>
      <c r="L19" s="21">
        <f>H19-139567</f>
        <v>156933</v>
      </c>
      <c r="M19" s="21">
        <v>35970</v>
      </c>
      <c r="N19" s="67">
        <f t="shared" si="1"/>
        <v>0.12131534569983136</v>
      </c>
      <c r="O19" s="23">
        <v>74.55</v>
      </c>
      <c r="P19" s="24">
        <v>230.79</v>
      </c>
      <c r="Q19" s="25">
        <v>1.5</v>
      </c>
      <c r="R19" s="25">
        <v>1.05</v>
      </c>
      <c r="S19" s="21">
        <f t="shared" si="2"/>
        <v>2105.0704225352115</v>
      </c>
      <c r="T19" s="21">
        <f t="shared" si="3"/>
        <v>104622</v>
      </c>
      <c r="U19" s="26">
        <f t="shared" si="4"/>
        <v>2.4017906336088153</v>
      </c>
      <c r="V19" s="25">
        <v>85</v>
      </c>
      <c r="W19" s="25">
        <f t="shared" si="5"/>
        <v>59300</v>
      </c>
      <c r="X19" s="25">
        <f t="shared" si="6"/>
        <v>0.56680239337806582</v>
      </c>
      <c r="Y19" s="27" t="s">
        <v>2162</v>
      </c>
      <c r="Z19" s="19" t="s">
        <v>35</v>
      </c>
      <c r="AA19" s="19" t="s">
        <v>2314</v>
      </c>
      <c r="AB19" s="19" t="s">
        <v>2163</v>
      </c>
      <c r="AC19" s="19">
        <v>0</v>
      </c>
      <c r="AD19" s="19">
        <v>0</v>
      </c>
      <c r="AE19" s="19" t="s">
        <v>42</v>
      </c>
      <c r="AF19" s="19" t="s">
        <v>43</v>
      </c>
      <c r="AG19" s="19" t="s">
        <v>38</v>
      </c>
      <c r="AH19" s="19"/>
    </row>
    <row r="20" spans="1:34" x14ac:dyDescent="0.3">
      <c r="A20" s="74" t="s">
        <v>2664</v>
      </c>
      <c r="B20" s="10" t="s">
        <v>2665</v>
      </c>
      <c r="C20" s="10" t="s">
        <v>2666</v>
      </c>
      <c r="D20" s="11">
        <v>45181</v>
      </c>
      <c r="E20" s="12">
        <v>300000</v>
      </c>
      <c r="F20" s="10" t="s">
        <v>32</v>
      </c>
      <c r="G20" s="10" t="s">
        <v>33</v>
      </c>
      <c r="H20" s="12">
        <v>300000</v>
      </c>
      <c r="I20" s="12">
        <v>69500</v>
      </c>
      <c r="J20" s="13">
        <f t="shared" si="0"/>
        <v>23.166666666666664</v>
      </c>
      <c r="K20" s="12">
        <v>136661</v>
      </c>
      <c r="L20" s="12">
        <f>H20-96461</f>
        <v>203539</v>
      </c>
      <c r="M20" s="12">
        <v>40200</v>
      </c>
      <c r="N20" s="66">
        <f t="shared" si="1"/>
        <v>0.13400000000000001</v>
      </c>
      <c r="O20" s="14">
        <v>0</v>
      </c>
      <c r="P20" s="15">
        <v>0</v>
      </c>
      <c r="Q20" s="16">
        <v>2.0099999999999998</v>
      </c>
      <c r="R20" s="16">
        <v>2.0099999999999998</v>
      </c>
      <c r="S20" s="12" t="e">
        <f t="shared" si="2"/>
        <v>#DIV/0!</v>
      </c>
      <c r="T20" s="12">
        <f t="shared" si="3"/>
        <v>101263.184079602</v>
      </c>
      <c r="U20" s="17">
        <f t="shared" si="4"/>
        <v>2.3246828301102385</v>
      </c>
      <c r="V20" s="16">
        <v>0</v>
      </c>
      <c r="W20" s="16">
        <f t="shared" si="5"/>
        <v>60000</v>
      </c>
      <c r="X20" s="25">
        <f t="shared" si="6"/>
        <v>0.59251543930155892</v>
      </c>
      <c r="Y20" s="18" t="s">
        <v>2663</v>
      </c>
      <c r="Z20" s="10" t="s">
        <v>35</v>
      </c>
      <c r="AA20" s="10" t="s">
        <v>35</v>
      </c>
      <c r="AB20" s="10" t="s">
        <v>2664</v>
      </c>
      <c r="AC20" s="10">
        <v>0</v>
      </c>
      <c r="AD20" s="10">
        <v>0</v>
      </c>
      <c r="AE20" s="10" t="s">
        <v>42</v>
      </c>
      <c r="AF20" s="10" t="s">
        <v>43</v>
      </c>
      <c r="AG20" s="10" t="s">
        <v>38</v>
      </c>
      <c r="AH20" s="10"/>
    </row>
    <row r="21" spans="1:34" x14ac:dyDescent="0.3">
      <c r="A21" s="75" t="s">
        <v>2200</v>
      </c>
      <c r="B21" s="19" t="s">
        <v>2205</v>
      </c>
      <c r="C21" s="19" t="s">
        <v>2206</v>
      </c>
      <c r="D21" s="20">
        <v>45072</v>
      </c>
      <c r="E21" s="21">
        <v>170000</v>
      </c>
      <c r="F21" s="19" t="s">
        <v>32</v>
      </c>
      <c r="G21" s="19" t="s">
        <v>33</v>
      </c>
      <c r="H21" s="21">
        <v>170000</v>
      </c>
      <c r="I21" s="21">
        <v>58600</v>
      </c>
      <c r="J21" s="22">
        <f t="shared" si="0"/>
        <v>34.470588235294116</v>
      </c>
      <c r="K21" s="21">
        <v>146224</v>
      </c>
      <c r="L21" s="21">
        <f>H21-123465</f>
        <v>46535</v>
      </c>
      <c r="M21" s="21">
        <v>22759</v>
      </c>
      <c r="N21" s="67">
        <f t="shared" si="1"/>
        <v>0.13387647058823529</v>
      </c>
      <c r="O21" s="23">
        <v>133.09</v>
      </c>
      <c r="P21" s="24">
        <v>305</v>
      </c>
      <c r="Q21" s="25">
        <v>0.92400000000000004</v>
      </c>
      <c r="R21" s="25">
        <v>0.92400000000000004</v>
      </c>
      <c r="S21" s="21">
        <f t="shared" si="2"/>
        <v>349.65061236757083</v>
      </c>
      <c r="T21" s="21">
        <f t="shared" si="3"/>
        <v>50362.554112554113</v>
      </c>
      <c r="U21" s="26">
        <f t="shared" si="4"/>
        <v>1.1561651540990383</v>
      </c>
      <c r="V21" s="25">
        <v>132</v>
      </c>
      <c r="W21" s="25">
        <f t="shared" si="5"/>
        <v>34000</v>
      </c>
      <c r="X21" s="25">
        <f t="shared" si="6"/>
        <v>0.67510475985817131</v>
      </c>
      <c r="Y21" s="27" t="s">
        <v>2199</v>
      </c>
      <c r="Z21" s="19" t="s">
        <v>35</v>
      </c>
      <c r="AA21" s="19" t="s">
        <v>35</v>
      </c>
      <c r="AB21" s="19" t="s">
        <v>2200</v>
      </c>
      <c r="AC21" s="19">
        <v>0</v>
      </c>
      <c r="AD21" s="19">
        <v>1</v>
      </c>
      <c r="AE21" s="19" t="s">
        <v>42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4" t="s">
        <v>966</v>
      </c>
      <c r="B22" s="10" t="s">
        <v>969</v>
      </c>
      <c r="C22" s="10" t="s">
        <v>970</v>
      </c>
      <c r="D22" s="11">
        <v>45719</v>
      </c>
      <c r="E22" s="12">
        <v>285000</v>
      </c>
      <c r="F22" s="10" t="s">
        <v>32</v>
      </c>
      <c r="G22" s="10" t="s">
        <v>33</v>
      </c>
      <c r="H22" s="12">
        <v>285000</v>
      </c>
      <c r="I22" s="12">
        <v>104500</v>
      </c>
      <c r="J22" s="13">
        <f t="shared" si="0"/>
        <v>36.666666666666664</v>
      </c>
      <c r="K22" s="12">
        <v>238335</v>
      </c>
      <c r="L22" s="12">
        <f>H22-205769</f>
        <v>79231</v>
      </c>
      <c r="M22" s="12">
        <v>32566</v>
      </c>
      <c r="N22" s="66">
        <f t="shared" si="1"/>
        <v>0.11426666666666667</v>
      </c>
      <c r="O22" s="14">
        <v>134.56</v>
      </c>
      <c r="P22" s="15">
        <v>304</v>
      </c>
      <c r="Q22" s="16">
        <v>0.94599999999999995</v>
      </c>
      <c r="R22" s="16">
        <v>0.94599999999999995</v>
      </c>
      <c r="S22" s="12">
        <f t="shared" si="2"/>
        <v>588.81539833531508</v>
      </c>
      <c r="T22" s="12">
        <f t="shared" si="3"/>
        <v>83753.699788583515</v>
      </c>
      <c r="U22" s="17">
        <f t="shared" si="4"/>
        <v>1.9227203808214766</v>
      </c>
      <c r="V22" s="16">
        <v>129.81</v>
      </c>
      <c r="W22" s="16">
        <f t="shared" si="5"/>
        <v>57000</v>
      </c>
      <c r="X22" s="25">
        <f t="shared" si="6"/>
        <v>0.68056694980500054</v>
      </c>
      <c r="Y22" s="18" t="s">
        <v>965</v>
      </c>
      <c r="Z22" s="10" t="s">
        <v>35</v>
      </c>
      <c r="AA22" s="10" t="s">
        <v>35</v>
      </c>
      <c r="AB22" s="10" t="s">
        <v>966</v>
      </c>
      <c r="AC22" s="10">
        <v>0</v>
      </c>
      <c r="AD22" s="10">
        <v>1</v>
      </c>
      <c r="AE22" s="10" t="s">
        <v>42</v>
      </c>
      <c r="AF22" s="10" t="s">
        <v>35</v>
      </c>
      <c r="AG22" s="10" t="s">
        <v>38</v>
      </c>
      <c r="AH22" s="10" t="s">
        <v>92</v>
      </c>
    </row>
    <row r="23" spans="1:34" x14ac:dyDescent="0.3">
      <c r="A23" s="74" t="s">
        <v>2163</v>
      </c>
      <c r="B23" s="10" t="s">
        <v>2164</v>
      </c>
      <c r="C23" s="10" t="s">
        <v>2165</v>
      </c>
      <c r="D23" s="11">
        <v>45278</v>
      </c>
      <c r="E23" s="12">
        <v>260000</v>
      </c>
      <c r="F23" s="10" t="s">
        <v>32</v>
      </c>
      <c r="G23" s="10" t="s">
        <v>33</v>
      </c>
      <c r="H23" s="12">
        <v>260000</v>
      </c>
      <c r="I23" s="12">
        <v>67700</v>
      </c>
      <c r="J23" s="13">
        <f t="shared" si="0"/>
        <v>26.038461538461537</v>
      </c>
      <c r="K23" s="12">
        <v>204445</v>
      </c>
      <c r="L23" s="12">
        <f>H23-170475</f>
        <v>89525</v>
      </c>
      <c r="M23" s="12">
        <v>33970</v>
      </c>
      <c r="N23" s="66">
        <f t="shared" si="1"/>
        <v>0.13065384615384615</v>
      </c>
      <c r="O23" s="14">
        <v>143.93</v>
      </c>
      <c r="P23" s="15">
        <v>436.47</v>
      </c>
      <c r="Q23" s="16">
        <v>1.1970000000000001</v>
      </c>
      <c r="R23" s="16">
        <v>1.1970000000000001</v>
      </c>
      <c r="S23" s="12">
        <f t="shared" si="2"/>
        <v>622.00375182380321</v>
      </c>
      <c r="T23" s="12">
        <f t="shared" si="3"/>
        <v>74791.144527986631</v>
      </c>
      <c r="U23" s="17">
        <f t="shared" si="4"/>
        <v>1.7169684235074985</v>
      </c>
      <c r="V23" s="16">
        <v>119</v>
      </c>
      <c r="W23" s="16">
        <f t="shared" si="5"/>
        <v>52000</v>
      </c>
      <c r="X23" s="25">
        <f t="shared" si="6"/>
        <v>0.69526947779949733</v>
      </c>
      <c r="Y23" s="18" t="s">
        <v>2162</v>
      </c>
      <c r="Z23" s="10" t="s">
        <v>35</v>
      </c>
      <c r="AA23" s="10" t="s">
        <v>35</v>
      </c>
      <c r="AB23" s="10" t="s">
        <v>2163</v>
      </c>
      <c r="AC23" s="10">
        <v>0</v>
      </c>
      <c r="AD23" s="10">
        <v>1</v>
      </c>
      <c r="AE23" s="10" t="s">
        <v>42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4" t="s">
        <v>693</v>
      </c>
      <c r="B24" s="10" t="s">
        <v>746</v>
      </c>
      <c r="C24" s="10" t="s">
        <v>747</v>
      </c>
      <c r="D24" s="11">
        <v>45730</v>
      </c>
      <c r="E24" s="12">
        <v>285000</v>
      </c>
      <c r="F24" s="10" t="s">
        <v>32</v>
      </c>
      <c r="G24" s="10" t="s">
        <v>33</v>
      </c>
      <c r="H24" s="12">
        <v>285000</v>
      </c>
      <c r="I24" s="12">
        <v>102900</v>
      </c>
      <c r="J24" s="13">
        <f t="shared" si="0"/>
        <v>36.105263157894733</v>
      </c>
      <c r="K24" s="12">
        <v>208138</v>
      </c>
      <c r="L24" s="12">
        <f>H24-168737</f>
        <v>116263</v>
      </c>
      <c r="M24" s="12">
        <v>39401</v>
      </c>
      <c r="N24" s="66">
        <f t="shared" si="1"/>
        <v>0.13824912280701754</v>
      </c>
      <c r="O24" s="14">
        <v>225.15</v>
      </c>
      <c r="P24" s="15">
        <v>285</v>
      </c>
      <c r="Q24" s="16">
        <v>1.5109999999999999</v>
      </c>
      <c r="R24" s="16">
        <v>1.5109999999999999</v>
      </c>
      <c r="S24" s="12">
        <f t="shared" si="2"/>
        <v>516.38019098378857</v>
      </c>
      <c r="T24" s="12">
        <f t="shared" si="3"/>
        <v>76944.40767703508</v>
      </c>
      <c r="U24" s="17">
        <f t="shared" si="4"/>
        <v>1.766400543549933</v>
      </c>
      <c r="V24" s="16">
        <v>231</v>
      </c>
      <c r="W24" s="16">
        <f t="shared" si="5"/>
        <v>57000</v>
      </c>
      <c r="X24" s="25">
        <f t="shared" si="6"/>
        <v>0.74079457781065339</v>
      </c>
      <c r="Y24" s="18" t="s">
        <v>692</v>
      </c>
      <c r="Z24" s="10" t="s">
        <v>35</v>
      </c>
      <c r="AA24" s="10" t="s">
        <v>35</v>
      </c>
      <c r="AB24" s="10" t="s">
        <v>693</v>
      </c>
      <c r="AC24" s="10">
        <v>0</v>
      </c>
      <c r="AD24" s="10">
        <v>0</v>
      </c>
      <c r="AE24" s="10" t="s">
        <v>37</v>
      </c>
      <c r="AF24" s="10" t="s">
        <v>35</v>
      </c>
      <c r="AG24" s="10" t="s">
        <v>38</v>
      </c>
      <c r="AH24" s="10" t="s">
        <v>92</v>
      </c>
    </row>
    <row r="25" spans="1:34" x14ac:dyDescent="0.3">
      <c r="A25" s="74" t="s">
        <v>1194</v>
      </c>
      <c r="B25" s="10" t="s">
        <v>1531</v>
      </c>
      <c r="C25" s="10" t="s">
        <v>1532</v>
      </c>
      <c r="D25" s="11">
        <v>45231</v>
      </c>
      <c r="E25" s="12">
        <v>439000</v>
      </c>
      <c r="F25" s="10" t="s">
        <v>32</v>
      </c>
      <c r="G25" s="10" t="s">
        <v>33</v>
      </c>
      <c r="H25" s="12">
        <v>439000</v>
      </c>
      <c r="I25" s="12">
        <v>158900</v>
      </c>
      <c r="J25" s="13">
        <f t="shared" si="0"/>
        <v>36.195899772209565</v>
      </c>
      <c r="K25" s="12">
        <v>378148</v>
      </c>
      <c r="L25" s="12">
        <f>H25-355912</f>
        <v>83088</v>
      </c>
      <c r="M25" s="12">
        <v>22236</v>
      </c>
      <c r="N25" s="66">
        <f t="shared" si="1"/>
        <v>5.0651480637813211E-2</v>
      </c>
      <c r="O25" s="14">
        <v>123.53</v>
      </c>
      <c r="P25" s="15">
        <v>453.47</v>
      </c>
      <c r="Q25" s="16">
        <v>0.84899999999999998</v>
      </c>
      <c r="R25" s="16">
        <v>0.84899999999999998</v>
      </c>
      <c r="S25" s="12">
        <f t="shared" si="2"/>
        <v>672.61393993361935</v>
      </c>
      <c r="T25" s="12">
        <f t="shared" si="3"/>
        <v>97865.724381625449</v>
      </c>
      <c r="U25" s="17">
        <f t="shared" si="4"/>
        <v>2.2466878875487937</v>
      </c>
      <c r="V25" s="16">
        <v>83.06</v>
      </c>
      <c r="W25" s="16">
        <f t="shared" si="5"/>
        <v>87800</v>
      </c>
      <c r="X25" s="25">
        <f t="shared" si="6"/>
        <v>0.89714760254188319</v>
      </c>
      <c r="Y25" s="18" t="s">
        <v>1193</v>
      </c>
      <c r="Z25" s="10" t="s">
        <v>35</v>
      </c>
      <c r="AA25" s="10" t="s">
        <v>35</v>
      </c>
      <c r="AB25" s="10" t="s">
        <v>1194</v>
      </c>
      <c r="AC25" s="10">
        <v>0</v>
      </c>
      <c r="AD25" s="10">
        <v>1</v>
      </c>
      <c r="AE25" s="10" t="s">
        <v>1533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4" t="s">
        <v>1194</v>
      </c>
      <c r="B26" s="10" t="s">
        <v>1517</v>
      </c>
      <c r="C26" s="10" t="s">
        <v>1518</v>
      </c>
      <c r="D26" s="11">
        <v>45355</v>
      </c>
      <c r="E26" s="12">
        <v>338000</v>
      </c>
      <c r="F26" s="10" t="s">
        <v>32</v>
      </c>
      <c r="G26" s="10" t="s">
        <v>33</v>
      </c>
      <c r="H26" s="12">
        <v>338000</v>
      </c>
      <c r="I26" s="12">
        <v>122900</v>
      </c>
      <c r="J26" s="13">
        <f t="shared" si="0"/>
        <v>36.360946745562131</v>
      </c>
      <c r="K26" s="12">
        <v>284313</v>
      </c>
      <c r="L26" s="12">
        <f>H26-259721</f>
        <v>78279</v>
      </c>
      <c r="M26" s="12">
        <v>24592</v>
      </c>
      <c r="N26" s="66">
        <f t="shared" si="1"/>
        <v>7.2757396449704137E-2</v>
      </c>
      <c r="O26" s="14">
        <v>136.62</v>
      </c>
      <c r="P26" s="15">
        <v>582.54</v>
      </c>
      <c r="Q26" s="16">
        <v>1.0640000000000001</v>
      </c>
      <c r="R26" s="16">
        <v>1.0640000000000001</v>
      </c>
      <c r="S26" s="12">
        <f t="shared" si="2"/>
        <v>572.96881862099247</v>
      </c>
      <c r="T26" s="12">
        <f t="shared" si="3"/>
        <v>73570.488721804504</v>
      </c>
      <c r="U26" s="17">
        <f t="shared" si="4"/>
        <v>1.6889460220799932</v>
      </c>
      <c r="V26" s="16">
        <v>81.08</v>
      </c>
      <c r="W26" s="16">
        <f t="shared" si="5"/>
        <v>67600</v>
      </c>
      <c r="X26" s="25">
        <f t="shared" si="6"/>
        <v>0.91884668940584324</v>
      </c>
      <c r="Y26" s="18" t="s">
        <v>1193</v>
      </c>
      <c r="Z26" s="10" t="s">
        <v>35</v>
      </c>
      <c r="AA26" s="10" t="s">
        <v>35</v>
      </c>
      <c r="AB26" s="10" t="s">
        <v>1194</v>
      </c>
      <c r="AC26" s="10">
        <v>0</v>
      </c>
      <c r="AD26" s="10">
        <v>1</v>
      </c>
      <c r="AE26" s="10" t="s">
        <v>42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5" t="s">
        <v>2664</v>
      </c>
      <c r="B27" s="19" t="s">
        <v>2661</v>
      </c>
      <c r="C27" s="19" t="s">
        <v>2662</v>
      </c>
      <c r="D27" s="20">
        <v>45048</v>
      </c>
      <c r="E27" s="21">
        <v>65000</v>
      </c>
      <c r="F27" s="19" t="s">
        <v>32</v>
      </c>
      <c r="G27" s="19" t="s">
        <v>33</v>
      </c>
      <c r="H27" s="21">
        <v>65000</v>
      </c>
      <c r="I27" s="21">
        <v>35800</v>
      </c>
      <c r="J27" s="22">
        <f t="shared" si="0"/>
        <v>55.07692307692308</v>
      </c>
      <c r="K27" s="21">
        <v>95400</v>
      </c>
      <c r="L27" s="21">
        <f>H27-0</f>
        <v>65000</v>
      </c>
      <c r="M27" s="21">
        <v>95400</v>
      </c>
      <c r="N27" s="67">
        <f t="shared" si="1"/>
        <v>1.4676923076923076</v>
      </c>
      <c r="O27" s="23">
        <v>0</v>
      </c>
      <c r="P27" s="24">
        <v>0</v>
      </c>
      <c r="Q27" s="25">
        <v>4.7699999999999996</v>
      </c>
      <c r="R27" s="25">
        <v>4.7699999999999996</v>
      </c>
      <c r="S27" s="21" t="e">
        <f t="shared" si="2"/>
        <v>#DIV/0!</v>
      </c>
      <c r="T27" s="21">
        <f t="shared" si="3"/>
        <v>13626.834381551364</v>
      </c>
      <c r="U27" s="26">
        <f t="shared" si="4"/>
        <v>0.31282907212009559</v>
      </c>
      <c r="V27" s="25">
        <v>0</v>
      </c>
      <c r="W27" s="25">
        <f t="shared" si="5"/>
        <v>13000</v>
      </c>
      <c r="X27" s="25">
        <f t="shared" si="6"/>
        <v>0.95399999999999996</v>
      </c>
      <c r="Y27" s="27" t="s">
        <v>2663</v>
      </c>
      <c r="Z27" s="19" t="s">
        <v>35</v>
      </c>
      <c r="AA27" s="19" t="s">
        <v>35</v>
      </c>
      <c r="AB27" s="19" t="s">
        <v>2664</v>
      </c>
      <c r="AC27" s="19">
        <v>0</v>
      </c>
      <c r="AD27" s="19">
        <v>0</v>
      </c>
      <c r="AE27" s="19" t="s">
        <v>37</v>
      </c>
      <c r="AF27" s="19" t="s">
        <v>43</v>
      </c>
      <c r="AG27" s="19" t="s">
        <v>61</v>
      </c>
      <c r="AH27" s="19"/>
    </row>
    <row r="28" spans="1:34" x14ac:dyDescent="0.3">
      <c r="A28" s="74" t="s">
        <v>1773</v>
      </c>
      <c r="B28" s="10" t="s">
        <v>1998</v>
      </c>
      <c r="C28" s="10" t="s">
        <v>1999</v>
      </c>
      <c r="D28" s="11">
        <v>45177</v>
      </c>
      <c r="E28" s="12">
        <v>240000</v>
      </c>
      <c r="F28" s="10" t="s">
        <v>32</v>
      </c>
      <c r="G28" s="10" t="s">
        <v>33</v>
      </c>
      <c r="H28" s="12">
        <v>240000</v>
      </c>
      <c r="I28" s="12">
        <v>69800</v>
      </c>
      <c r="J28" s="13">
        <f t="shared" si="0"/>
        <v>29.083333333333332</v>
      </c>
      <c r="K28" s="12">
        <v>188691</v>
      </c>
      <c r="L28" s="12">
        <f>H28-148691</f>
        <v>91309</v>
      </c>
      <c r="M28" s="12">
        <v>40000</v>
      </c>
      <c r="N28" s="66">
        <f t="shared" si="1"/>
        <v>0.16666666666666666</v>
      </c>
      <c r="O28" s="14">
        <v>0</v>
      </c>
      <c r="P28" s="15">
        <v>0</v>
      </c>
      <c r="Q28" s="16">
        <v>2</v>
      </c>
      <c r="R28" s="16">
        <v>2</v>
      </c>
      <c r="S28" s="12" t="e">
        <f t="shared" si="2"/>
        <v>#DIV/0!</v>
      </c>
      <c r="T28" s="12">
        <f t="shared" si="3"/>
        <v>45654.5</v>
      </c>
      <c r="U28" s="17">
        <f t="shared" si="4"/>
        <v>1.0480831037649219</v>
      </c>
      <c r="V28" s="16">
        <v>0</v>
      </c>
      <c r="W28" s="16">
        <f t="shared" si="5"/>
        <v>48000</v>
      </c>
      <c r="X28" s="25">
        <f t="shared" si="6"/>
        <v>1.0513750013689778</v>
      </c>
      <c r="Y28" s="18" t="s">
        <v>1941</v>
      </c>
      <c r="Z28" s="10" t="s">
        <v>35</v>
      </c>
      <c r="AA28" s="10" t="s">
        <v>35</v>
      </c>
      <c r="AB28" s="10" t="s">
        <v>1773</v>
      </c>
      <c r="AC28" s="10">
        <v>0</v>
      </c>
      <c r="AD28" s="10">
        <v>1</v>
      </c>
      <c r="AE28" s="10" t="s">
        <v>42</v>
      </c>
      <c r="AF28" s="10" t="s">
        <v>43</v>
      </c>
      <c r="AG28" s="10" t="s">
        <v>38</v>
      </c>
      <c r="AH28" s="10"/>
    </row>
    <row r="29" spans="1:34" x14ac:dyDescent="0.3">
      <c r="A29" s="75" t="s">
        <v>267</v>
      </c>
      <c r="B29" s="19" t="s">
        <v>540</v>
      </c>
      <c r="C29" s="19" t="s">
        <v>541</v>
      </c>
      <c r="D29" s="20">
        <v>45520</v>
      </c>
      <c r="E29" s="21">
        <v>140500</v>
      </c>
      <c r="F29" s="19" t="s">
        <v>32</v>
      </c>
      <c r="G29" s="19" t="s">
        <v>33</v>
      </c>
      <c r="H29" s="21">
        <v>140500</v>
      </c>
      <c r="I29" s="21">
        <v>72100</v>
      </c>
      <c r="J29" s="22">
        <f t="shared" si="0"/>
        <v>51.316725978647682</v>
      </c>
      <c r="K29" s="21">
        <v>160488</v>
      </c>
      <c r="L29" s="21">
        <f>H29-117594</f>
        <v>22906</v>
      </c>
      <c r="M29" s="21">
        <v>42894</v>
      </c>
      <c r="N29" s="67">
        <f t="shared" si="1"/>
        <v>0.30529537366548043</v>
      </c>
      <c r="O29" s="23">
        <v>211.3</v>
      </c>
      <c r="P29" s="24">
        <v>286.26</v>
      </c>
      <c r="Q29" s="25">
        <v>0.91800000000000004</v>
      </c>
      <c r="R29" s="25">
        <v>0.91800000000000004</v>
      </c>
      <c r="S29" s="21">
        <f t="shared" si="2"/>
        <v>108.40511121628016</v>
      </c>
      <c r="T29" s="21">
        <f t="shared" si="3"/>
        <v>24952.069716775597</v>
      </c>
      <c r="U29" s="26">
        <f t="shared" si="4"/>
        <v>0.57282070056876944</v>
      </c>
      <c r="V29" s="25">
        <v>139.63</v>
      </c>
      <c r="W29" s="25">
        <f t="shared" si="5"/>
        <v>28100</v>
      </c>
      <c r="X29" s="25">
        <f t="shared" si="6"/>
        <v>1.1261590849559069</v>
      </c>
      <c r="Y29" s="27" t="s">
        <v>266</v>
      </c>
      <c r="Z29" s="19" t="s">
        <v>35</v>
      </c>
      <c r="AA29" s="19" t="s">
        <v>35</v>
      </c>
      <c r="AB29" s="19" t="s">
        <v>267</v>
      </c>
      <c r="AC29" s="19">
        <v>0</v>
      </c>
      <c r="AD29" s="19">
        <v>1</v>
      </c>
      <c r="AE29" s="19" t="s">
        <v>37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5" t="s">
        <v>2703</v>
      </c>
      <c r="B30" s="19" t="s">
        <v>2704</v>
      </c>
      <c r="C30" s="19" t="s">
        <v>2705</v>
      </c>
      <c r="D30" s="20">
        <v>45023</v>
      </c>
      <c r="E30" s="21">
        <v>259900</v>
      </c>
      <c r="F30" s="19" t="s">
        <v>32</v>
      </c>
      <c r="G30" s="19" t="s">
        <v>33</v>
      </c>
      <c r="H30" s="21">
        <v>259900</v>
      </c>
      <c r="I30" s="21">
        <v>67500</v>
      </c>
      <c r="J30" s="22">
        <f t="shared" si="0"/>
        <v>25.971527510580994</v>
      </c>
      <c r="K30" s="21">
        <v>165607</v>
      </c>
      <c r="L30" s="21">
        <f>H30-107407</f>
        <v>152493</v>
      </c>
      <c r="M30" s="21">
        <v>58200</v>
      </c>
      <c r="N30" s="67">
        <f t="shared" si="1"/>
        <v>0.22393228164678722</v>
      </c>
      <c r="O30" s="23">
        <v>0</v>
      </c>
      <c r="P30" s="24">
        <v>0</v>
      </c>
      <c r="Q30" s="25">
        <v>3.88</v>
      </c>
      <c r="R30" s="25">
        <v>3.88</v>
      </c>
      <c r="S30" s="21" t="e">
        <f t="shared" si="2"/>
        <v>#DIV/0!</v>
      </c>
      <c r="T30" s="21">
        <f t="shared" si="3"/>
        <v>39302.319587628866</v>
      </c>
      <c r="U30" s="26">
        <f t="shared" si="4"/>
        <v>0.90225710715401441</v>
      </c>
      <c r="V30" s="25">
        <v>0</v>
      </c>
      <c r="W30" s="25">
        <f t="shared" si="5"/>
        <v>51980</v>
      </c>
      <c r="X30" s="25">
        <f t="shared" si="6"/>
        <v>1.322568249034382</v>
      </c>
      <c r="Y30" s="27" t="s">
        <v>2702</v>
      </c>
      <c r="Z30" s="19" t="s">
        <v>35</v>
      </c>
      <c r="AA30" s="19" t="s">
        <v>35</v>
      </c>
      <c r="AB30" s="19" t="s">
        <v>2703</v>
      </c>
      <c r="AC30" s="19">
        <v>0</v>
      </c>
      <c r="AD30" s="19">
        <v>0</v>
      </c>
      <c r="AE30" s="19" t="s">
        <v>42</v>
      </c>
      <c r="AF30" s="19" t="s">
        <v>43</v>
      </c>
      <c r="AG30" s="19" t="s">
        <v>38</v>
      </c>
      <c r="AH30" s="19"/>
    </row>
    <row r="31" spans="1:34" x14ac:dyDescent="0.3">
      <c r="A31" s="75" t="s">
        <v>2249</v>
      </c>
      <c r="B31" s="19" t="s">
        <v>2258</v>
      </c>
      <c r="C31" s="19" t="s">
        <v>2259</v>
      </c>
      <c r="D31" s="20">
        <v>45170</v>
      </c>
      <c r="E31" s="21">
        <v>280000</v>
      </c>
      <c r="F31" s="19" t="s">
        <v>32</v>
      </c>
      <c r="G31" s="19" t="s">
        <v>33</v>
      </c>
      <c r="H31" s="21">
        <v>280000</v>
      </c>
      <c r="I31" s="21">
        <v>112300</v>
      </c>
      <c r="J31" s="22">
        <f t="shared" si="0"/>
        <v>40.107142857142861</v>
      </c>
      <c r="K31" s="21">
        <v>258538</v>
      </c>
      <c r="L31" s="21">
        <f>H31-227084</f>
        <v>52916</v>
      </c>
      <c r="M31" s="21">
        <v>31454</v>
      </c>
      <c r="N31" s="67">
        <f t="shared" si="1"/>
        <v>0.11233571428571429</v>
      </c>
      <c r="O31" s="23">
        <v>144.28</v>
      </c>
      <c r="P31" s="24">
        <v>722.27</v>
      </c>
      <c r="Q31" s="25">
        <v>1.665</v>
      </c>
      <c r="R31" s="25">
        <v>1.665</v>
      </c>
      <c r="S31" s="21">
        <f t="shared" si="2"/>
        <v>366.75907956750763</v>
      </c>
      <c r="T31" s="21">
        <f t="shared" si="3"/>
        <v>31781.381381381379</v>
      </c>
      <c r="U31" s="26">
        <f t="shared" si="4"/>
        <v>0.72960012353951742</v>
      </c>
      <c r="V31" s="25">
        <v>100.44</v>
      </c>
      <c r="W31" s="25">
        <f t="shared" si="5"/>
        <v>56000</v>
      </c>
      <c r="X31" s="25">
        <f t="shared" si="6"/>
        <v>1.7620379469347647</v>
      </c>
      <c r="Y31" s="27" t="s">
        <v>2248</v>
      </c>
      <c r="Z31" s="19" t="s">
        <v>35</v>
      </c>
      <c r="AA31" s="19" t="s">
        <v>35</v>
      </c>
      <c r="AB31" s="19" t="s">
        <v>2249</v>
      </c>
      <c r="AC31" s="19">
        <v>0</v>
      </c>
      <c r="AD31" s="19">
        <v>1</v>
      </c>
      <c r="AE31" s="19" t="s">
        <v>37</v>
      </c>
      <c r="AF31" s="19" t="s">
        <v>43</v>
      </c>
      <c r="AG31" s="19" t="s">
        <v>38</v>
      </c>
      <c r="AH31" s="19" t="s">
        <v>92</v>
      </c>
    </row>
    <row r="32" spans="1:34" x14ac:dyDescent="0.3">
      <c r="A32" s="74" t="s">
        <v>1773</v>
      </c>
      <c r="B32" s="10" t="s">
        <v>1996</v>
      </c>
      <c r="C32" s="10" t="s">
        <v>1997</v>
      </c>
      <c r="D32" s="11">
        <v>45660</v>
      </c>
      <c r="E32" s="12">
        <v>190000</v>
      </c>
      <c r="F32" s="10" t="s">
        <v>32</v>
      </c>
      <c r="G32" s="10" t="s">
        <v>33</v>
      </c>
      <c r="H32" s="12">
        <v>190000</v>
      </c>
      <c r="I32" s="12">
        <v>112100</v>
      </c>
      <c r="J32" s="13">
        <f t="shared" si="0"/>
        <v>59</v>
      </c>
      <c r="K32" s="12">
        <v>179400</v>
      </c>
      <c r="L32" s="12">
        <f>H32-0</f>
        <v>190000</v>
      </c>
      <c r="M32" s="12">
        <v>179400</v>
      </c>
      <c r="N32" s="66">
        <f t="shared" si="1"/>
        <v>0.9442105263157895</v>
      </c>
      <c r="O32" s="14">
        <v>0</v>
      </c>
      <c r="P32" s="15">
        <v>0</v>
      </c>
      <c r="Q32" s="16">
        <v>8.9700000000000006</v>
      </c>
      <c r="R32" s="16">
        <v>8.9700000000000006</v>
      </c>
      <c r="S32" s="12" t="e">
        <f t="shared" si="2"/>
        <v>#DIV/0!</v>
      </c>
      <c r="T32" s="12">
        <f t="shared" si="3"/>
        <v>21181.716833890747</v>
      </c>
      <c r="U32" s="17">
        <f t="shared" si="4"/>
        <v>0.48626530839969573</v>
      </c>
      <c r="V32" s="16">
        <v>0</v>
      </c>
      <c r="W32" s="16">
        <f t="shared" si="5"/>
        <v>38000</v>
      </c>
      <c r="X32" s="25">
        <f t="shared" si="6"/>
        <v>1.794</v>
      </c>
      <c r="Y32" s="18" t="s">
        <v>1941</v>
      </c>
      <c r="Z32" s="10" t="s">
        <v>35</v>
      </c>
      <c r="AA32" s="10" t="s">
        <v>35</v>
      </c>
      <c r="AB32" s="10" t="s">
        <v>1773</v>
      </c>
      <c r="AC32" s="10">
        <v>0</v>
      </c>
      <c r="AD32" s="10">
        <v>1</v>
      </c>
      <c r="AE32" s="10" t="s">
        <v>37</v>
      </c>
      <c r="AF32" s="10" t="s">
        <v>35</v>
      </c>
      <c r="AG32" s="10" t="s">
        <v>61</v>
      </c>
      <c r="AH32" s="10"/>
    </row>
    <row r="33" spans="1:34" x14ac:dyDescent="0.3">
      <c r="A33" s="74" t="s">
        <v>2787</v>
      </c>
      <c r="B33" s="10" t="s">
        <v>2784</v>
      </c>
      <c r="C33" s="10" t="s">
        <v>2785</v>
      </c>
      <c r="D33" s="11">
        <v>45530</v>
      </c>
      <c r="E33" s="12">
        <v>232000</v>
      </c>
      <c r="F33" s="10" t="s">
        <v>32</v>
      </c>
      <c r="G33" s="10" t="s">
        <v>33</v>
      </c>
      <c r="H33" s="12">
        <v>232000</v>
      </c>
      <c r="I33" s="12">
        <v>101400</v>
      </c>
      <c r="J33" s="13">
        <f t="shared" si="0"/>
        <v>43.706896551724142</v>
      </c>
      <c r="K33" s="12">
        <v>228773</v>
      </c>
      <c r="L33" s="12">
        <f>H33-190373</f>
        <v>41627</v>
      </c>
      <c r="M33" s="12">
        <v>38400</v>
      </c>
      <c r="N33" s="66">
        <f t="shared" si="1"/>
        <v>0.16551724137931034</v>
      </c>
      <c r="O33" s="14">
        <v>0</v>
      </c>
      <c r="P33" s="15">
        <v>0</v>
      </c>
      <c r="Q33" s="16">
        <v>1.92</v>
      </c>
      <c r="R33" s="16">
        <v>1.92</v>
      </c>
      <c r="S33" s="12" t="e">
        <f t="shared" si="2"/>
        <v>#DIV/0!</v>
      </c>
      <c r="T33" s="12">
        <f t="shared" si="3"/>
        <v>21680.729166666668</v>
      </c>
      <c r="U33" s="17">
        <f t="shared" si="4"/>
        <v>0.49772105524946436</v>
      </c>
      <c r="V33" s="16">
        <v>0</v>
      </c>
      <c r="W33" s="16">
        <f t="shared" si="5"/>
        <v>46400</v>
      </c>
      <c r="X33" s="25">
        <f t="shared" si="6"/>
        <v>2.1401494222499817</v>
      </c>
      <c r="Y33" s="18" t="s">
        <v>2786</v>
      </c>
      <c r="Z33" s="10" t="s">
        <v>35</v>
      </c>
      <c r="AA33" s="10" t="s">
        <v>35</v>
      </c>
      <c r="AB33" s="10" t="s">
        <v>2787</v>
      </c>
      <c r="AC33" s="10">
        <v>0</v>
      </c>
      <c r="AD33" s="10">
        <v>0</v>
      </c>
      <c r="AE33" s="10" t="s">
        <v>42</v>
      </c>
      <c r="AF33" s="10" t="s">
        <v>43</v>
      </c>
      <c r="AG33" s="10" t="s">
        <v>38</v>
      </c>
      <c r="AH33" s="10"/>
    </row>
    <row r="34" spans="1:34" x14ac:dyDescent="0.3">
      <c r="A34" s="75" t="s">
        <v>1194</v>
      </c>
      <c r="B34" s="19" t="s">
        <v>1519</v>
      </c>
      <c r="C34" s="19" t="s">
        <v>1520</v>
      </c>
      <c r="D34" s="20">
        <v>45351</v>
      </c>
      <c r="E34" s="21">
        <v>340000</v>
      </c>
      <c r="F34" s="19" t="s">
        <v>32</v>
      </c>
      <c r="G34" s="19" t="s">
        <v>33</v>
      </c>
      <c r="H34" s="21">
        <v>340000</v>
      </c>
      <c r="I34" s="21">
        <v>141900</v>
      </c>
      <c r="J34" s="22">
        <f t="shared" si="0"/>
        <v>41.735294117647058</v>
      </c>
      <c r="K34" s="21">
        <v>332811</v>
      </c>
      <c r="L34" s="21">
        <f>H34-306046</f>
        <v>33954</v>
      </c>
      <c r="M34" s="21">
        <v>26765</v>
      </c>
      <c r="N34" s="67">
        <f t="shared" si="1"/>
        <v>7.8720588235294112E-2</v>
      </c>
      <c r="O34" s="23">
        <v>148.69</v>
      </c>
      <c r="P34" s="24">
        <v>655.94</v>
      </c>
      <c r="Q34" s="25">
        <v>1.228</v>
      </c>
      <c r="R34" s="25">
        <v>1.228</v>
      </c>
      <c r="S34" s="21">
        <f t="shared" si="2"/>
        <v>228.35429416907661</v>
      </c>
      <c r="T34" s="21">
        <f t="shared" si="3"/>
        <v>27649.837133550489</v>
      </c>
      <c r="U34" s="26">
        <f t="shared" si="4"/>
        <v>0.63475291858472194</v>
      </c>
      <c r="V34" s="25">
        <v>83.16</v>
      </c>
      <c r="W34" s="25">
        <f t="shared" si="5"/>
        <v>68000</v>
      </c>
      <c r="X34" s="25">
        <f t="shared" si="6"/>
        <v>2.4593273252046886</v>
      </c>
      <c r="Y34" s="27" t="s">
        <v>1193</v>
      </c>
      <c r="Z34" s="19" t="s">
        <v>35</v>
      </c>
      <c r="AA34" s="19" t="s">
        <v>35</v>
      </c>
      <c r="AB34" s="19" t="s">
        <v>1194</v>
      </c>
      <c r="AC34" s="19">
        <v>0</v>
      </c>
      <c r="AD34" s="19">
        <v>1</v>
      </c>
      <c r="AE34" s="19" t="s">
        <v>42</v>
      </c>
      <c r="AF34" s="19" t="s">
        <v>43</v>
      </c>
      <c r="AG34" s="19" t="s">
        <v>38</v>
      </c>
      <c r="AH34" s="19" t="s">
        <v>92</v>
      </c>
    </row>
    <row r="35" spans="1:34" x14ac:dyDescent="0.3">
      <c r="A35" s="75" t="s">
        <v>652</v>
      </c>
      <c r="B35" s="19" t="s">
        <v>663</v>
      </c>
      <c r="C35" s="19" t="s">
        <v>664</v>
      </c>
      <c r="D35" s="20">
        <v>45471</v>
      </c>
      <c r="E35" s="21">
        <v>220000</v>
      </c>
      <c r="F35" s="19" t="s">
        <v>32</v>
      </c>
      <c r="G35" s="19" t="s">
        <v>33</v>
      </c>
      <c r="H35" s="21">
        <v>220000</v>
      </c>
      <c r="I35" s="21">
        <v>107400</v>
      </c>
      <c r="J35" s="22">
        <f t="shared" si="0"/>
        <v>48.818181818181813</v>
      </c>
      <c r="K35" s="21">
        <v>239988</v>
      </c>
      <c r="L35" s="21">
        <f>H35-193517</f>
        <v>26483</v>
      </c>
      <c r="M35" s="21">
        <v>46471</v>
      </c>
      <c r="N35" s="67">
        <f t="shared" si="1"/>
        <v>0.21123181818181819</v>
      </c>
      <c r="O35" s="23">
        <v>267.07</v>
      </c>
      <c r="P35" s="24">
        <v>397.99</v>
      </c>
      <c r="Q35" s="25">
        <v>1.6240000000000001</v>
      </c>
      <c r="R35" s="25">
        <v>1.6240000000000001</v>
      </c>
      <c r="S35" s="21">
        <f t="shared" si="2"/>
        <v>99.161268581270832</v>
      </c>
      <c r="T35" s="21">
        <f t="shared" si="3"/>
        <v>16307.266009852216</v>
      </c>
      <c r="U35" s="26">
        <f t="shared" si="4"/>
        <v>0.37436331519403615</v>
      </c>
      <c r="V35" s="25">
        <v>119.82</v>
      </c>
      <c r="W35" s="25">
        <f t="shared" si="5"/>
        <v>44000</v>
      </c>
      <c r="X35" s="25">
        <f t="shared" si="6"/>
        <v>2.698183740512782</v>
      </c>
      <c r="Y35" s="27" t="s">
        <v>651</v>
      </c>
      <c r="Z35" s="19" t="s">
        <v>35</v>
      </c>
      <c r="AA35" s="19" t="s">
        <v>35</v>
      </c>
      <c r="AB35" s="19" t="s">
        <v>652</v>
      </c>
      <c r="AC35" s="19">
        <v>0</v>
      </c>
      <c r="AD35" s="19">
        <v>0</v>
      </c>
      <c r="AE35" s="19" t="s">
        <v>42</v>
      </c>
      <c r="AF35" s="19" t="s">
        <v>43</v>
      </c>
      <c r="AG35" s="19" t="s">
        <v>38</v>
      </c>
      <c r="AH35" s="19" t="s">
        <v>92</v>
      </c>
    </row>
    <row r="36" spans="1:34" x14ac:dyDescent="0.3">
      <c r="A36" s="74" t="s">
        <v>2200</v>
      </c>
      <c r="B36" s="10" t="s">
        <v>2203</v>
      </c>
      <c r="C36" s="10" t="s">
        <v>2204</v>
      </c>
      <c r="D36" s="11">
        <v>45238</v>
      </c>
      <c r="E36" s="12">
        <v>215000</v>
      </c>
      <c r="F36" s="10" t="s">
        <v>32</v>
      </c>
      <c r="G36" s="10" t="s">
        <v>33</v>
      </c>
      <c r="H36" s="12">
        <v>215000</v>
      </c>
      <c r="I36" s="12">
        <v>95300</v>
      </c>
      <c r="J36" s="13">
        <f t="shared" si="0"/>
        <v>44.325581395348841</v>
      </c>
      <c r="K36" s="12">
        <v>225038</v>
      </c>
      <c r="L36" s="12">
        <f>H36-202279</f>
        <v>12721</v>
      </c>
      <c r="M36" s="12">
        <v>22759</v>
      </c>
      <c r="N36" s="66">
        <f t="shared" si="1"/>
        <v>0.10585581395348838</v>
      </c>
      <c r="O36" s="14">
        <v>133.09</v>
      </c>
      <c r="P36" s="15">
        <v>305</v>
      </c>
      <c r="Q36" s="16">
        <v>0.92400000000000004</v>
      </c>
      <c r="R36" s="16">
        <v>0.92400000000000004</v>
      </c>
      <c r="S36" s="12">
        <f t="shared" si="2"/>
        <v>95.581937035089041</v>
      </c>
      <c r="T36" s="12">
        <f t="shared" si="3"/>
        <v>13767.316017316016</v>
      </c>
      <c r="U36" s="17">
        <f t="shared" si="4"/>
        <v>0.31605408671524371</v>
      </c>
      <c r="V36" s="16">
        <v>132</v>
      </c>
      <c r="W36" s="16">
        <f t="shared" si="5"/>
        <v>43000</v>
      </c>
      <c r="X36" s="25">
        <f t="shared" si="6"/>
        <v>3.1233393601131989</v>
      </c>
      <c r="Y36" s="18" t="s">
        <v>2199</v>
      </c>
      <c r="Z36" s="10" t="s">
        <v>35</v>
      </c>
      <c r="AA36" s="10" t="s">
        <v>35</v>
      </c>
      <c r="AB36" s="10" t="s">
        <v>2200</v>
      </c>
      <c r="AC36" s="10">
        <v>0</v>
      </c>
      <c r="AD36" s="10">
        <v>1</v>
      </c>
      <c r="AE36" s="10" t="s">
        <v>42</v>
      </c>
      <c r="AF36" s="10" t="s">
        <v>43</v>
      </c>
      <c r="AG36" s="10" t="s">
        <v>38</v>
      </c>
      <c r="AH36" s="10" t="s">
        <v>92</v>
      </c>
    </row>
    <row r="37" spans="1:34" ht="15" thickBot="1" x14ac:dyDescent="0.35">
      <c r="A37" s="75" t="s">
        <v>267</v>
      </c>
      <c r="B37" s="19" t="s">
        <v>540</v>
      </c>
      <c r="C37" s="19" t="s">
        <v>541</v>
      </c>
      <c r="D37" s="20">
        <v>45058</v>
      </c>
      <c r="E37" s="21">
        <v>121900</v>
      </c>
      <c r="F37" s="19" t="s">
        <v>32</v>
      </c>
      <c r="G37" s="19" t="s">
        <v>33</v>
      </c>
      <c r="H37" s="21">
        <v>121900</v>
      </c>
      <c r="I37" s="21">
        <v>62500</v>
      </c>
      <c r="J37" s="22">
        <f t="shared" si="0"/>
        <v>51.271534044298605</v>
      </c>
      <c r="K37" s="21">
        <v>160488</v>
      </c>
      <c r="L37" s="21">
        <f>H37-117594</f>
        <v>4306</v>
      </c>
      <c r="M37" s="21">
        <v>42894</v>
      </c>
      <c r="N37" s="67">
        <f t="shared" si="1"/>
        <v>0.35187858900738311</v>
      </c>
      <c r="O37" s="23">
        <v>211.3</v>
      </c>
      <c r="P37" s="24">
        <v>286.26</v>
      </c>
      <c r="Q37" s="25">
        <v>0.91800000000000004</v>
      </c>
      <c r="R37" s="25">
        <v>0.91800000000000004</v>
      </c>
      <c r="S37" s="21">
        <f t="shared" si="2"/>
        <v>20.378608613345953</v>
      </c>
      <c r="T37" s="21">
        <f t="shared" si="3"/>
        <v>4690.6318082788666</v>
      </c>
      <c r="U37" s="26">
        <f t="shared" si="4"/>
        <v>0.10768208926260024</v>
      </c>
      <c r="V37" s="25">
        <v>139.63</v>
      </c>
      <c r="W37" s="25">
        <f t="shared" si="5"/>
        <v>24380</v>
      </c>
      <c r="X37" s="25">
        <f t="shared" si="6"/>
        <v>5.1975940548072463</v>
      </c>
      <c r="Y37" s="27" t="s">
        <v>266</v>
      </c>
      <c r="Z37" s="19" t="s">
        <v>35</v>
      </c>
      <c r="AA37" s="19" t="s">
        <v>35</v>
      </c>
      <c r="AB37" s="19" t="s">
        <v>267</v>
      </c>
      <c r="AC37" s="19">
        <v>0</v>
      </c>
      <c r="AD37" s="19">
        <v>1</v>
      </c>
      <c r="AE37" s="19" t="s">
        <v>37</v>
      </c>
      <c r="AF37" s="19" t="s">
        <v>43</v>
      </c>
      <c r="AG37" s="19" t="s">
        <v>38</v>
      </c>
      <c r="AH37" s="19" t="s">
        <v>92</v>
      </c>
    </row>
    <row r="38" spans="1:34" ht="15" thickTop="1" x14ac:dyDescent="0.3">
      <c r="A38" s="76"/>
      <c r="B38" s="37"/>
      <c r="C38" s="37"/>
      <c r="D38" s="38" t="s">
        <v>2876</v>
      </c>
      <c r="E38" s="39">
        <f>+SUM(E2:E37)</f>
        <v>7106800</v>
      </c>
      <c r="F38" s="37"/>
      <c r="G38" s="37"/>
      <c r="H38" s="39">
        <f>+SUM(H2:H37)</f>
        <v>7106800</v>
      </c>
      <c r="I38" s="39">
        <f>+SUM(I2:I37)</f>
        <v>2752000</v>
      </c>
      <c r="J38" s="40"/>
      <c r="K38" s="39">
        <f>+SUM(K2:K37)</f>
        <v>6484828</v>
      </c>
      <c r="L38" s="39">
        <f>+SUM(L2:L37)</f>
        <v>1946769</v>
      </c>
      <c r="M38" s="39">
        <f>+SUM(M2:M37)</f>
        <v>1324797</v>
      </c>
      <c r="N38" s="81">
        <f>AVERAGE(N2:N37)</f>
        <v>0.35520246081868057</v>
      </c>
      <c r="O38" s="41">
        <f>+SUM(O2:O37)</f>
        <v>3607.8200000000011</v>
      </c>
      <c r="P38" s="42"/>
      <c r="Q38" s="43">
        <f>+SUM(Q2:Q37)</f>
        <v>56.253000000000007</v>
      </c>
      <c r="R38" s="43">
        <f>+SUM(R2:R37)</f>
        <v>55.363999999999997</v>
      </c>
      <c r="S38" s="39"/>
      <c r="T38" s="39"/>
      <c r="U38" s="44"/>
      <c r="V38" s="43"/>
      <c r="W38" s="82">
        <f>AVERAGE(W2:W37)</f>
        <v>39482.222222222219</v>
      </c>
      <c r="X38" s="83">
        <f>AVERAGE(X2:X37)</f>
        <v>0.87479477467196476</v>
      </c>
      <c r="Y38" s="45"/>
      <c r="Z38" s="37"/>
      <c r="AA38" s="37"/>
      <c r="AB38" s="37"/>
      <c r="AC38" s="37"/>
      <c r="AD38" s="37"/>
      <c r="AE38" s="37"/>
      <c r="AF38" s="37"/>
      <c r="AG38" s="37"/>
      <c r="AH38" s="37"/>
    </row>
    <row r="39" spans="1:34" x14ac:dyDescent="0.3">
      <c r="A39" s="77"/>
      <c r="B39" s="28"/>
      <c r="C39" s="28"/>
      <c r="D39" s="29"/>
      <c r="E39" s="30"/>
      <c r="F39" s="28"/>
      <c r="G39" s="28"/>
      <c r="H39" s="30"/>
      <c r="I39" s="30" t="s">
        <v>2877</v>
      </c>
      <c r="J39" s="31">
        <f>I38/H38*100</f>
        <v>38.723476107390105</v>
      </c>
      <c r="K39" s="30"/>
      <c r="L39" s="30"/>
      <c r="M39" s="30" t="s">
        <v>2879</v>
      </c>
      <c r="N39" s="79"/>
      <c r="O39" s="32"/>
      <c r="P39" s="33"/>
      <c r="Q39" s="34" t="s">
        <v>2879</v>
      </c>
      <c r="R39" s="34"/>
      <c r="S39" s="30"/>
      <c r="T39" s="30" t="s">
        <v>2879</v>
      </c>
      <c r="U39" s="35"/>
      <c r="V39" s="34"/>
      <c r="W39" s="63"/>
      <c r="X39" s="68"/>
      <c r="Y39" s="36"/>
      <c r="Z39" s="28"/>
      <c r="AA39" s="28"/>
      <c r="AB39" s="28"/>
      <c r="AC39" s="28"/>
      <c r="AD39" s="28"/>
      <c r="AE39" s="28"/>
      <c r="AF39" s="28"/>
      <c r="AG39" s="28"/>
      <c r="AH39" s="28"/>
    </row>
    <row r="40" spans="1:34" x14ac:dyDescent="0.3">
      <c r="A40" s="78"/>
      <c r="B40" s="46"/>
      <c r="C40" s="46"/>
      <c r="D40" s="47"/>
      <c r="E40" s="48"/>
      <c r="F40" s="46"/>
      <c r="G40" s="46"/>
      <c r="H40" s="48"/>
      <c r="I40" s="48" t="s">
        <v>2878</v>
      </c>
      <c r="J40" s="49">
        <f>STDEV(J2:J37)</f>
        <v>32.467934138059142</v>
      </c>
      <c r="K40" s="48"/>
      <c r="L40" s="48"/>
      <c r="M40" s="48" t="s">
        <v>2880</v>
      </c>
      <c r="N40" s="80"/>
      <c r="O40" s="54">
        <f>L38/O38</f>
        <v>539.59704198102997</v>
      </c>
      <c r="P40" s="50"/>
      <c r="Q40" s="51" t="s">
        <v>2881</v>
      </c>
      <c r="R40" s="85">
        <f>L38/Q38</f>
        <v>34607.380939683215</v>
      </c>
      <c r="S40" s="48"/>
      <c r="T40" s="48" t="s">
        <v>2882</v>
      </c>
      <c r="U40" s="52">
        <f>L38/Q38/43560</f>
        <v>0.79447614645737408</v>
      </c>
      <c r="V40" s="51"/>
      <c r="W40" s="64"/>
      <c r="X40" s="69"/>
      <c r="Y40" s="53"/>
      <c r="Z40" s="46"/>
      <c r="AA40" s="46"/>
      <c r="AB40" s="46"/>
      <c r="AC40" s="46"/>
      <c r="AD40" s="46"/>
      <c r="AE40" s="46"/>
      <c r="AF40" s="46"/>
      <c r="AG40" s="46"/>
      <c r="AH40" s="46"/>
    </row>
    <row r="41" spans="1:34" x14ac:dyDescent="0.3">
      <c r="A41" s="86" t="s">
        <v>3089</v>
      </c>
      <c r="B41" s="87"/>
      <c r="C41" s="88"/>
      <c r="D41" s="89"/>
      <c r="E41" s="90"/>
    </row>
    <row r="42" spans="1:34" x14ac:dyDescent="0.3">
      <c r="A42" s="86" t="s">
        <v>3090</v>
      </c>
      <c r="B42" s="88"/>
      <c r="C42" s="88"/>
      <c r="D42" s="89"/>
      <c r="E42" s="90"/>
      <c r="F42" s="88"/>
    </row>
    <row r="43" spans="1:34" x14ac:dyDescent="0.3">
      <c r="A43" s="86" t="s">
        <v>3091</v>
      </c>
      <c r="B43" s="88"/>
      <c r="C43" s="88"/>
      <c r="D43" s="89"/>
      <c r="E43" s="90"/>
      <c r="F43" s="88"/>
    </row>
    <row r="45" spans="1:34" x14ac:dyDescent="0.3">
      <c r="A45" s="55" t="s">
        <v>3092</v>
      </c>
    </row>
    <row r="46" spans="1:34" x14ac:dyDescent="0.3">
      <c r="A46" s="75" t="s">
        <v>966</v>
      </c>
      <c r="B46" s="19" t="s">
        <v>971</v>
      </c>
      <c r="C46" s="19" t="s">
        <v>972</v>
      </c>
      <c r="D46" s="20">
        <v>45471</v>
      </c>
      <c r="E46" s="21">
        <v>70000</v>
      </c>
      <c r="F46" s="19" t="s">
        <v>32</v>
      </c>
      <c r="G46" s="19" t="s">
        <v>33</v>
      </c>
      <c r="H46" s="21">
        <v>70000</v>
      </c>
      <c r="I46" s="21">
        <v>75500</v>
      </c>
      <c r="J46" s="22">
        <f>I46/H46*100</f>
        <v>107.85714285714285</v>
      </c>
      <c r="K46" s="21">
        <v>112445</v>
      </c>
      <c r="L46" s="21">
        <f>H46-81100</f>
        <v>-11100</v>
      </c>
      <c r="M46" s="21">
        <v>31345</v>
      </c>
      <c r="N46" s="67">
        <f>M46/E46</f>
        <v>0.44778571428571429</v>
      </c>
      <c r="O46" s="23">
        <v>129.52000000000001</v>
      </c>
      <c r="P46" s="24">
        <v>304</v>
      </c>
      <c r="Q46" s="25">
        <v>0.97399999999999998</v>
      </c>
      <c r="R46" s="25">
        <v>0.96699999999999997</v>
      </c>
      <c r="S46" s="21">
        <f>L46/O46</f>
        <v>-85.701050030883252</v>
      </c>
      <c r="T46" s="21">
        <f>L46/Q46</f>
        <v>-11396.303901437372</v>
      </c>
      <c r="U46" s="26">
        <f>L46/Q46/43560</f>
        <v>-0.26162313823318117</v>
      </c>
      <c r="V46" s="25">
        <v>109</v>
      </c>
      <c r="W46" s="25">
        <f>0.2*E46</f>
        <v>14000</v>
      </c>
      <c r="X46" s="25">
        <f>W46/T46</f>
        <v>-1.2284684684684686</v>
      </c>
      <c r="Y46" s="27" t="s">
        <v>965</v>
      </c>
      <c r="Z46" s="19" t="s">
        <v>35</v>
      </c>
      <c r="AA46" s="19" t="s">
        <v>35</v>
      </c>
      <c r="AB46" s="19" t="s">
        <v>966</v>
      </c>
      <c r="AC46" s="19">
        <v>0</v>
      </c>
      <c r="AD46" s="19">
        <v>1</v>
      </c>
      <c r="AE46" s="19" t="s">
        <v>37</v>
      </c>
      <c r="AF46" s="19" t="s">
        <v>43</v>
      </c>
      <c r="AG46" s="19" t="s">
        <v>38</v>
      </c>
      <c r="AH46" s="19" t="s">
        <v>92</v>
      </c>
    </row>
    <row r="47" spans="1:34" x14ac:dyDescent="0.3">
      <c r="A47" s="74" t="s">
        <v>2200</v>
      </c>
      <c r="B47" s="10" t="s">
        <v>2203</v>
      </c>
      <c r="C47" s="10" t="s">
        <v>2204</v>
      </c>
      <c r="D47" s="11">
        <v>45238</v>
      </c>
      <c r="E47" s="12">
        <v>215000</v>
      </c>
      <c r="F47" s="10" t="s">
        <v>32</v>
      </c>
      <c r="G47" s="10" t="s">
        <v>33</v>
      </c>
      <c r="H47" s="12">
        <v>215000</v>
      </c>
      <c r="I47" s="12">
        <v>95300</v>
      </c>
      <c r="J47" s="13">
        <f>I47/H47*100</f>
        <v>44.325581395348841</v>
      </c>
      <c r="K47" s="12">
        <v>225038</v>
      </c>
      <c r="L47" s="12">
        <f>H47-202279</f>
        <v>12721</v>
      </c>
      <c r="M47" s="12">
        <v>22759</v>
      </c>
      <c r="N47" s="66">
        <f>M47/E47</f>
        <v>0.10585581395348838</v>
      </c>
      <c r="O47" s="14">
        <v>133.09</v>
      </c>
      <c r="P47" s="15">
        <v>305</v>
      </c>
      <c r="Q47" s="16">
        <v>0.92400000000000004</v>
      </c>
      <c r="R47" s="16">
        <v>0.92400000000000004</v>
      </c>
      <c r="S47" s="12">
        <f>L47/O47</f>
        <v>95.581937035089041</v>
      </c>
      <c r="T47" s="12">
        <f>L47/Q47</f>
        <v>13767.316017316016</v>
      </c>
      <c r="U47" s="17">
        <f>L47/Q47/43560</f>
        <v>0.31605408671524371</v>
      </c>
      <c r="V47" s="16">
        <v>132</v>
      </c>
      <c r="W47" s="16">
        <f>0.2*E47</f>
        <v>43000</v>
      </c>
      <c r="X47" s="25">
        <f>W47/T47</f>
        <v>3.1233393601131989</v>
      </c>
      <c r="Y47" s="18" t="s">
        <v>2199</v>
      </c>
      <c r="Z47" s="10" t="s">
        <v>35</v>
      </c>
      <c r="AA47" s="10" t="s">
        <v>35</v>
      </c>
      <c r="AB47" s="10" t="s">
        <v>2200</v>
      </c>
      <c r="AC47" s="10">
        <v>0</v>
      </c>
      <c r="AD47" s="10">
        <v>1</v>
      </c>
      <c r="AE47" s="10" t="s">
        <v>42</v>
      </c>
      <c r="AF47" s="10" t="s">
        <v>43</v>
      </c>
      <c r="AG47" s="10" t="s">
        <v>38</v>
      </c>
      <c r="AH47" s="10" t="s">
        <v>92</v>
      </c>
    </row>
    <row r="48" spans="1:34" x14ac:dyDescent="0.3">
      <c r="A48" s="75" t="s">
        <v>267</v>
      </c>
      <c r="B48" s="19" t="s">
        <v>540</v>
      </c>
      <c r="C48" s="19" t="s">
        <v>541</v>
      </c>
      <c r="D48" s="20">
        <v>45058</v>
      </c>
      <c r="E48" s="21">
        <v>121900</v>
      </c>
      <c r="F48" s="19" t="s">
        <v>32</v>
      </c>
      <c r="G48" s="19" t="s">
        <v>33</v>
      </c>
      <c r="H48" s="21">
        <v>121900</v>
      </c>
      <c r="I48" s="21">
        <v>62500</v>
      </c>
      <c r="J48" s="22">
        <f>I48/H48*100</f>
        <v>51.271534044298605</v>
      </c>
      <c r="K48" s="21">
        <v>160488</v>
      </c>
      <c r="L48" s="21">
        <f>H48-117594</f>
        <v>4306</v>
      </c>
      <c r="M48" s="21">
        <v>42894</v>
      </c>
      <c r="N48" s="67">
        <f>M48/E48</f>
        <v>0.35187858900738311</v>
      </c>
      <c r="O48" s="23">
        <v>211.3</v>
      </c>
      <c r="P48" s="24">
        <v>286.26</v>
      </c>
      <c r="Q48" s="25">
        <v>0.91800000000000004</v>
      </c>
      <c r="R48" s="25">
        <v>0.91800000000000004</v>
      </c>
      <c r="S48" s="21">
        <f>L48/O48</f>
        <v>20.378608613345953</v>
      </c>
      <c r="T48" s="21">
        <f>L48/Q48</f>
        <v>4690.6318082788666</v>
      </c>
      <c r="U48" s="26">
        <f>L48/Q48/43560</f>
        <v>0.10768208926260024</v>
      </c>
      <c r="V48" s="25">
        <v>139.63</v>
      </c>
      <c r="W48" s="25">
        <f>0.2*E48</f>
        <v>24380</v>
      </c>
      <c r="X48" s="25">
        <f>W48/T48</f>
        <v>5.1975940548072463</v>
      </c>
      <c r="Y48" s="27" t="s">
        <v>266</v>
      </c>
      <c r="Z48" s="19" t="s">
        <v>35</v>
      </c>
      <c r="AA48" s="19" t="s">
        <v>35</v>
      </c>
      <c r="AB48" s="19" t="s">
        <v>267</v>
      </c>
      <c r="AC48" s="19">
        <v>0</v>
      </c>
      <c r="AD48" s="19">
        <v>1</v>
      </c>
      <c r="AE48" s="19" t="s">
        <v>37</v>
      </c>
      <c r="AF48" s="19" t="s">
        <v>43</v>
      </c>
      <c r="AG48" s="19" t="s">
        <v>38</v>
      </c>
      <c r="AH48" s="19" t="s">
        <v>92</v>
      </c>
    </row>
    <row r="49" spans="1:34" x14ac:dyDescent="0.3">
      <c r="A49" s="75" t="s">
        <v>2249</v>
      </c>
      <c r="B49" s="19" t="s">
        <v>2246</v>
      </c>
      <c r="C49" s="19" t="s">
        <v>2247</v>
      </c>
      <c r="D49" s="20">
        <v>45105</v>
      </c>
      <c r="E49" s="21">
        <v>430000</v>
      </c>
      <c r="F49" s="19" t="s">
        <v>32</v>
      </c>
      <c r="G49" s="19" t="s">
        <v>33</v>
      </c>
      <c r="H49" s="21">
        <v>430000</v>
      </c>
      <c r="I49" s="21">
        <v>205400</v>
      </c>
      <c r="J49" s="22">
        <f>I49/H49*100</f>
        <v>47.767441860465112</v>
      </c>
      <c r="K49" s="21">
        <v>483960</v>
      </c>
      <c r="L49" s="21">
        <f>H49-417920</f>
        <v>12080</v>
      </c>
      <c r="M49" s="21">
        <v>66040</v>
      </c>
      <c r="N49" s="67">
        <f>M49/E49</f>
        <v>0.15358139534883722</v>
      </c>
      <c r="O49" s="23">
        <v>0</v>
      </c>
      <c r="P49" s="24">
        <v>0</v>
      </c>
      <c r="Q49" s="25">
        <v>3.302</v>
      </c>
      <c r="R49" s="25">
        <v>3.302</v>
      </c>
      <c r="S49" s="21" t="e">
        <f>L49/O49</f>
        <v>#DIV/0!</v>
      </c>
      <c r="T49" s="21">
        <f>L49/Q49</f>
        <v>3658.3888552392491</v>
      </c>
      <c r="U49" s="26">
        <f>L49/Q49/43560</f>
        <v>8.3985051773169173E-2</v>
      </c>
      <c r="V49" s="25">
        <v>0</v>
      </c>
      <c r="W49" s="25">
        <f>0.2*E49</f>
        <v>86000</v>
      </c>
      <c r="X49" s="25">
        <f>W49/T49</f>
        <v>23.507615894039734</v>
      </c>
      <c r="Y49" s="27" t="s">
        <v>2248</v>
      </c>
      <c r="Z49" s="19" t="s">
        <v>35</v>
      </c>
      <c r="AA49" s="19" t="s">
        <v>35</v>
      </c>
      <c r="AB49" s="19" t="s">
        <v>2249</v>
      </c>
      <c r="AC49" s="19">
        <v>0</v>
      </c>
      <c r="AD49" s="19">
        <v>1</v>
      </c>
      <c r="AE49" s="19" t="s">
        <v>37</v>
      </c>
      <c r="AF49" s="19" t="s">
        <v>43</v>
      </c>
      <c r="AG49" s="19" t="s">
        <v>38</v>
      </c>
      <c r="AH49" s="19"/>
    </row>
    <row r="50" spans="1:34" x14ac:dyDescent="0.3">
      <c r="A50" s="75"/>
      <c r="B50" s="19"/>
      <c r="C50" s="19"/>
      <c r="D50" s="20"/>
      <c r="E50" s="21"/>
      <c r="F50" s="19"/>
      <c r="G50" s="19"/>
      <c r="H50" s="21"/>
      <c r="I50" s="21"/>
      <c r="J50" s="22"/>
      <c r="K50" s="21"/>
      <c r="L50" s="21"/>
      <c r="M50" s="21"/>
      <c r="N50" s="67"/>
      <c r="O50" s="23"/>
      <c r="P50" s="24"/>
      <c r="Q50" s="25"/>
      <c r="R50" s="25"/>
      <c r="S50" s="21"/>
      <c r="T50" s="21"/>
      <c r="U50" s="26"/>
      <c r="V50" s="25"/>
      <c r="W50" s="25"/>
      <c r="X50" s="25"/>
      <c r="Y50" s="27"/>
      <c r="Z50" s="19"/>
      <c r="AA50" s="19"/>
      <c r="AB50" s="19"/>
      <c r="AC50" s="19"/>
      <c r="AD50" s="19"/>
      <c r="AE50" s="19"/>
      <c r="AF50" s="19"/>
      <c r="AG50" s="19"/>
      <c r="AH50" s="19"/>
    </row>
    <row r="51" spans="1:34" x14ac:dyDescent="0.3">
      <c r="A51" s="75"/>
      <c r="B51" s="19"/>
      <c r="C51" s="19"/>
      <c r="D51" s="20"/>
      <c r="E51" s="21"/>
      <c r="F51" s="19"/>
      <c r="G51" s="19"/>
      <c r="H51" s="21"/>
      <c r="I51" s="21"/>
      <c r="J51" s="22"/>
      <c r="K51" s="21"/>
      <c r="L51" s="21"/>
      <c r="M51" s="21"/>
      <c r="N51" s="67"/>
      <c r="O51" s="23"/>
      <c r="P51" s="24"/>
      <c r="Q51" s="25"/>
      <c r="R51" s="25"/>
      <c r="S51" s="21"/>
      <c r="T51" s="21"/>
      <c r="U51" s="26"/>
      <c r="V51" s="25"/>
      <c r="W51" s="25"/>
      <c r="X51" s="25"/>
      <c r="Y51" s="27"/>
      <c r="Z51" s="19"/>
      <c r="AA51" s="19"/>
      <c r="AB51" s="19"/>
      <c r="AC51" s="19"/>
      <c r="AD51" s="19"/>
      <c r="AE51" s="19"/>
      <c r="AF51" s="19"/>
      <c r="AG51" s="19"/>
      <c r="AH51" s="19"/>
    </row>
    <row r="53" spans="1:34" x14ac:dyDescent="0.3">
      <c r="A53" s="382" t="s">
        <v>3093</v>
      </c>
      <c r="B53" s="382"/>
    </row>
    <row r="54" spans="1:34" x14ac:dyDescent="0.3">
      <c r="A54" s="1" t="s">
        <v>23</v>
      </c>
      <c r="B54" s="1" t="s">
        <v>0</v>
      </c>
      <c r="C54" s="1" t="s">
        <v>1</v>
      </c>
      <c r="D54" s="2" t="s">
        <v>2</v>
      </c>
      <c r="E54" s="3" t="s">
        <v>3</v>
      </c>
      <c r="F54" s="1" t="s">
        <v>4</v>
      </c>
      <c r="G54" s="1" t="s">
        <v>5</v>
      </c>
      <c r="H54" s="3" t="s">
        <v>6</v>
      </c>
      <c r="I54" s="3" t="s">
        <v>7</v>
      </c>
      <c r="J54" s="4" t="s">
        <v>8</v>
      </c>
      <c r="K54" s="3" t="s">
        <v>9</v>
      </c>
      <c r="L54" s="3" t="s">
        <v>10</v>
      </c>
      <c r="M54" s="3" t="s">
        <v>11</v>
      </c>
      <c r="N54" s="339" t="s">
        <v>3066</v>
      </c>
      <c r="O54" s="5" t="s">
        <v>12</v>
      </c>
      <c r="P54" s="6" t="s">
        <v>13</v>
      </c>
      <c r="Q54" s="7" t="s">
        <v>14</v>
      </c>
      <c r="R54" s="7" t="s">
        <v>15</v>
      </c>
      <c r="S54" s="3" t="s">
        <v>16</v>
      </c>
      <c r="T54" s="3" t="s">
        <v>17</v>
      </c>
      <c r="U54" s="8" t="s">
        <v>18</v>
      </c>
      <c r="V54" s="7" t="s">
        <v>19</v>
      </c>
      <c r="W54" s="340" t="s">
        <v>3069</v>
      </c>
      <c r="X54" s="339" t="s">
        <v>3088</v>
      </c>
      <c r="Y54" s="9" t="s">
        <v>20</v>
      </c>
      <c r="Z54" s="1" t="s">
        <v>21</v>
      </c>
      <c r="AA54" s="1" t="s">
        <v>22</v>
      </c>
      <c r="AB54" s="1" t="s">
        <v>23</v>
      </c>
      <c r="AC54" s="1" t="s">
        <v>24</v>
      </c>
      <c r="AD54" s="1" t="s">
        <v>25</v>
      </c>
      <c r="AE54" s="1" t="s">
        <v>26</v>
      </c>
      <c r="AF54" s="1" t="s">
        <v>27</v>
      </c>
      <c r="AG54" s="1" t="s">
        <v>28</v>
      </c>
      <c r="AH54" s="1" t="s">
        <v>29</v>
      </c>
    </row>
    <row r="55" spans="1:34" x14ac:dyDescent="0.3">
      <c r="A55" s="74" t="s">
        <v>1194</v>
      </c>
      <c r="B55" s="10" t="s">
        <v>1529</v>
      </c>
      <c r="C55" s="10" t="s">
        <v>1530</v>
      </c>
      <c r="D55" s="11">
        <v>45308</v>
      </c>
      <c r="E55" s="12">
        <v>120000</v>
      </c>
      <c r="F55" s="10" t="s">
        <v>81</v>
      </c>
      <c r="G55" s="10" t="s">
        <v>33</v>
      </c>
      <c r="H55" s="12">
        <v>120000</v>
      </c>
      <c r="I55" s="12">
        <v>93600</v>
      </c>
      <c r="J55" s="13">
        <f t="shared" ref="J55:J64" si="7">I55/H55*100</f>
        <v>78</v>
      </c>
      <c r="K55" s="12">
        <v>232138</v>
      </c>
      <c r="L55" s="12">
        <f>H55-206968</f>
        <v>-86968</v>
      </c>
      <c r="M55" s="12">
        <v>25170</v>
      </c>
      <c r="N55" s="66">
        <f t="shared" ref="N55:N64" si="8">M55/E55</f>
        <v>0.20974999999999999</v>
      </c>
      <c r="O55" s="14">
        <v>139.83000000000001</v>
      </c>
      <c r="P55" s="15">
        <v>580.82000000000005</v>
      </c>
      <c r="Q55" s="16">
        <v>1.087</v>
      </c>
      <c r="R55" s="16">
        <v>1.087</v>
      </c>
      <c r="S55" s="12">
        <f t="shared" ref="S55:S64" si="9">L55/O55</f>
        <v>-621.95523135235635</v>
      </c>
      <c r="T55" s="12">
        <f t="shared" ref="T55:T64" si="10">L55/Q55</f>
        <v>-80007.359705611772</v>
      </c>
      <c r="U55" s="17">
        <f t="shared" ref="U55:U64" si="11">L55/Q55/43560</f>
        <v>-1.8367162466853024</v>
      </c>
      <c r="V55" s="16">
        <v>83.08</v>
      </c>
      <c r="W55" s="16">
        <f t="shared" ref="W55:W64" si="12">0.2*E55</f>
        <v>24000</v>
      </c>
      <c r="X55" s="25">
        <f t="shared" ref="X55:X64" si="13">W55/T55</f>
        <v>-0.29997240364271915</v>
      </c>
      <c r="Y55" s="18" t="s">
        <v>1193</v>
      </c>
      <c r="Z55" s="10" t="s">
        <v>35</v>
      </c>
      <c r="AA55" s="10" t="s">
        <v>35</v>
      </c>
      <c r="AB55" s="10" t="s">
        <v>1194</v>
      </c>
      <c r="AC55" s="10">
        <v>0</v>
      </c>
      <c r="AD55" s="10">
        <v>1</v>
      </c>
      <c r="AE55" s="10" t="s">
        <v>42</v>
      </c>
      <c r="AF55" s="10" t="s">
        <v>35</v>
      </c>
      <c r="AG55" s="10" t="s">
        <v>38</v>
      </c>
      <c r="AH55" s="10" t="s">
        <v>92</v>
      </c>
    </row>
    <row r="56" spans="1:34" x14ac:dyDescent="0.3">
      <c r="A56" s="75" t="s">
        <v>966</v>
      </c>
      <c r="B56" s="19" t="s">
        <v>973</v>
      </c>
      <c r="C56" s="19" t="s">
        <v>974</v>
      </c>
      <c r="D56" s="20">
        <v>45649</v>
      </c>
      <c r="E56" s="21">
        <v>142500</v>
      </c>
      <c r="F56" s="19" t="s">
        <v>81</v>
      </c>
      <c r="G56" s="19" t="s">
        <v>33</v>
      </c>
      <c r="H56" s="21">
        <v>142500</v>
      </c>
      <c r="I56" s="21">
        <v>74800</v>
      </c>
      <c r="J56" s="22">
        <f t="shared" si="7"/>
        <v>52.491228070175445</v>
      </c>
      <c r="K56" s="21">
        <v>311983</v>
      </c>
      <c r="L56" s="21">
        <f>H56-278363</f>
        <v>-135863</v>
      </c>
      <c r="M56" s="21">
        <v>33620</v>
      </c>
      <c r="N56" s="67">
        <f t="shared" si="8"/>
        <v>0.23592982456140352</v>
      </c>
      <c r="O56" s="23">
        <v>138.91999999999999</v>
      </c>
      <c r="P56" s="24">
        <v>304</v>
      </c>
      <c r="Q56" s="25">
        <v>0.96299999999999997</v>
      </c>
      <c r="R56" s="25">
        <v>0.96299999999999997</v>
      </c>
      <c r="S56" s="21">
        <f t="shared" si="9"/>
        <v>-977.99452922545356</v>
      </c>
      <c r="T56" s="21">
        <f t="shared" si="10"/>
        <v>-141083.07372793354</v>
      </c>
      <c r="U56" s="26">
        <f t="shared" si="11"/>
        <v>-3.2388217109259307</v>
      </c>
      <c r="V56" s="25">
        <v>138.01</v>
      </c>
      <c r="W56" s="25">
        <f t="shared" si="12"/>
        <v>28500</v>
      </c>
      <c r="X56" s="25">
        <f t="shared" si="13"/>
        <v>-0.20200864105753588</v>
      </c>
      <c r="Y56" s="27" t="s">
        <v>965</v>
      </c>
      <c r="Z56" s="19" t="s">
        <v>35</v>
      </c>
      <c r="AA56" s="19" t="s">
        <v>35</v>
      </c>
      <c r="AB56" s="19" t="s">
        <v>966</v>
      </c>
      <c r="AC56" s="19">
        <v>0</v>
      </c>
      <c r="AD56" s="19">
        <v>1</v>
      </c>
      <c r="AE56" s="19" t="s">
        <v>42</v>
      </c>
      <c r="AF56" s="19" t="s">
        <v>35</v>
      </c>
      <c r="AG56" s="19" t="s">
        <v>38</v>
      </c>
      <c r="AH56" s="19" t="s">
        <v>92</v>
      </c>
    </row>
    <row r="57" spans="1:34" x14ac:dyDescent="0.3">
      <c r="A57" s="75" t="s">
        <v>1639</v>
      </c>
      <c r="B57" s="19" t="s">
        <v>1679</v>
      </c>
      <c r="C57" s="19" t="s">
        <v>1680</v>
      </c>
      <c r="D57" s="20">
        <v>45044</v>
      </c>
      <c r="E57" s="21">
        <v>35000</v>
      </c>
      <c r="F57" s="19" t="s">
        <v>32</v>
      </c>
      <c r="G57" s="19" t="s">
        <v>33</v>
      </c>
      <c r="H57" s="21">
        <v>35000</v>
      </c>
      <c r="I57" s="21">
        <v>12700</v>
      </c>
      <c r="J57" s="22">
        <f t="shared" si="7"/>
        <v>36.285714285714285</v>
      </c>
      <c r="K57" s="21">
        <v>26976</v>
      </c>
      <c r="L57" s="21">
        <f>H57-0</f>
        <v>35000</v>
      </c>
      <c r="M57" s="21">
        <v>26976</v>
      </c>
      <c r="N57" s="67">
        <f t="shared" si="8"/>
        <v>0.77074285714285717</v>
      </c>
      <c r="O57" s="23">
        <v>164.48</v>
      </c>
      <c r="P57" s="24">
        <v>264.54000000000002</v>
      </c>
      <c r="Q57" s="25">
        <v>0.91100000000000003</v>
      </c>
      <c r="R57" s="25">
        <v>0.91100000000000003</v>
      </c>
      <c r="S57" s="21">
        <f t="shared" si="9"/>
        <v>212.79182879377433</v>
      </c>
      <c r="T57" s="21">
        <f t="shared" si="10"/>
        <v>38419.31942919868</v>
      </c>
      <c r="U57" s="26">
        <f t="shared" si="11"/>
        <v>0.88198621279152156</v>
      </c>
      <c r="V57" s="25">
        <v>150</v>
      </c>
      <c r="W57" s="25">
        <f t="shared" si="12"/>
        <v>7000</v>
      </c>
      <c r="X57" s="25">
        <f t="shared" si="13"/>
        <v>0.1822</v>
      </c>
      <c r="Y57" s="27" t="s">
        <v>1638</v>
      </c>
      <c r="Z57" s="19" t="s">
        <v>35</v>
      </c>
      <c r="AA57" s="19" t="s">
        <v>35</v>
      </c>
      <c r="AB57" s="19" t="s">
        <v>1639</v>
      </c>
      <c r="AC57" s="19">
        <v>0</v>
      </c>
      <c r="AD57" s="19">
        <v>0</v>
      </c>
      <c r="AE57" s="19" t="s">
        <v>37</v>
      </c>
      <c r="AF57" s="19" t="s">
        <v>43</v>
      </c>
      <c r="AG57" s="19" t="s">
        <v>61</v>
      </c>
      <c r="AH57" s="19" t="s">
        <v>92</v>
      </c>
    </row>
    <row r="58" spans="1:34" x14ac:dyDescent="0.3">
      <c r="A58" s="74" t="s">
        <v>966</v>
      </c>
      <c r="B58" s="10" t="s">
        <v>969</v>
      </c>
      <c r="C58" s="10" t="s">
        <v>970</v>
      </c>
      <c r="D58" s="11">
        <v>45719</v>
      </c>
      <c r="E58" s="12">
        <v>285000</v>
      </c>
      <c r="F58" s="10" t="s">
        <v>32</v>
      </c>
      <c r="G58" s="10" t="s">
        <v>33</v>
      </c>
      <c r="H58" s="12">
        <v>285000</v>
      </c>
      <c r="I58" s="12">
        <v>104500</v>
      </c>
      <c r="J58" s="13">
        <f t="shared" si="7"/>
        <v>36.666666666666664</v>
      </c>
      <c r="K58" s="12">
        <v>238335</v>
      </c>
      <c r="L58" s="12">
        <f>H58-205769</f>
        <v>79231</v>
      </c>
      <c r="M58" s="12">
        <v>32566</v>
      </c>
      <c r="N58" s="66">
        <f t="shared" si="8"/>
        <v>0.11426666666666667</v>
      </c>
      <c r="O58" s="14">
        <v>134.56</v>
      </c>
      <c r="P58" s="15">
        <v>304</v>
      </c>
      <c r="Q58" s="16">
        <v>0.94599999999999995</v>
      </c>
      <c r="R58" s="16">
        <v>0.94599999999999995</v>
      </c>
      <c r="S58" s="12">
        <f t="shared" si="9"/>
        <v>588.81539833531508</v>
      </c>
      <c r="T58" s="12">
        <f t="shared" si="10"/>
        <v>83753.699788583515</v>
      </c>
      <c r="U58" s="17">
        <f t="shared" si="11"/>
        <v>1.9227203808214766</v>
      </c>
      <c r="V58" s="16">
        <v>129.81</v>
      </c>
      <c r="W58" s="16">
        <f t="shared" si="12"/>
        <v>57000</v>
      </c>
      <c r="X58" s="25">
        <f t="shared" si="13"/>
        <v>0.68056694980500054</v>
      </c>
      <c r="Y58" s="18" t="s">
        <v>965</v>
      </c>
      <c r="Z58" s="10" t="s">
        <v>35</v>
      </c>
      <c r="AA58" s="10" t="s">
        <v>35</v>
      </c>
      <c r="AB58" s="10" t="s">
        <v>966</v>
      </c>
      <c r="AC58" s="10">
        <v>0</v>
      </c>
      <c r="AD58" s="10">
        <v>1</v>
      </c>
      <c r="AE58" s="10" t="s">
        <v>42</v>
      </c>
      <c r="AF58" s="10" t="s">
        <v>35</v>
      </c>
      <c r="AG58" s="10" t="s">
        <v>38</v>
      </c>
      <c r="AH58" s="10" t="s">
        <v>92</v>
      </c>
    </row>
    <row r="59" spans="1:34" x14ac:dyDescent="0.3">
      <c r="A59" s="74" t="s">
        <v>693</v>
      </c>
      <c r="B59" s="10" t="s">
        <v>746</v>
      </c>
      <c r="C59" s="10" t="s">
        <v>747</v>
      </c>
      <c r="D59" s="11">
        <v>45730</v>
      </c>
      <c r="E59" s="12">
        <v>285000</v>
      </c>
      <c r="F59" s="10" t="s">
        <v>32</v>
      </c>
      <c r="G59" s="10" t="s">
        <v>33</v>
      </c>
      <c r="H59" s="12">
        <v>285000</v>
      </c>
      <c r="I59" s="12">
        <v>102900</v>
      </c>
      <c r="J59" s="13">
        <f t="shared" si="7"/>
        <v>36.105263157894733</v>
      </c>
      <c r="K59" s="12">
        <v>208138</v>
      </c>
      <c r="L59" s="12">
        <f>H59-168737</f>
        <v>116263</v>
      </c>
      <c r="M59" s="12">
        <v>39401</v>
      </c>
      <c r="N59" s="66">
        <f t="shared" si="8"/>
        <v>0.13824912280701754</v>
      </c>
      <c r="O59" s="14">
        <v>225.15</v>
      </c>
      <c r="P59" s="15">
        <v>285</v>
      </c>
      <c r="Q59" s="16">
        <v>1.5109999999999999</v>
      </c>
      <c r="R59" s="16">
        <v>1.5109999999999999</v>
      </c>
      <c r="S59" s="12">
        <f t="shared" si="9"/>
        <v>516.38019098378857</v>
      </c>
      <c r="T59" s="12">
        <f t="shared" si="10"/>
        <v>76944.40767703508</v>
      </c>
      <c r="U59" s="17">
        <f t="shared" si="11"/>
        <v>1.766400543549933</v>
      </c>
      <c r="V59" s="16">
        <v>231</v>
      </c>
      <c r="W59" s="16">
        <f t="shared" si="12"/>
        <v>57000</v>
      </c>
      <c r="X59" s="25">
        <f t="shared" si="13"/>
        <v>0.74079457781065339</v>
      </c>
      <c r="Y59" s="18" t="s">
        <v>692</v>
      </c>
      <c r="Z59" s="10" t="s">
        <v>35</v>
      </c>
      <c r="AA59" s="10" t="s">
        <v>35</v>
      </c>
      <c r="AB59" s="10" t="s">
        <v>693</v>
      </c>
      <c r="AC59" s="10">
        <v>0</v>
      </c>
      <c r="AD59" s="10">
        <v>0</v>
      </c>
      <c r="AE59" s="10" t="s">
        <v>37</v>
      </c>
      <c r="AF59" s="10" t="s">
        <v>35</v>
      </c>
      <c r="AG59" s="10" t="s">
        <v>38</v>
      </c>
      <c r="AH59" s="10" t="s">
        <v>92</v>
      </c>
    </row>
    <row r="60" spans="1:34" x14ac:dyDescent="0.3">
      <c r="A60" s="74" t="s">
        <v>1194</v>
      </c>
      <c r="B60" s="10" t="s">
        <v>1531</v>
      </c>
      <c r="C60" s="10" t="s">
        <v>1532</v>
      </c>
      <c r="D60" s="11">
        <v>45231</v>
      </c>
      <c r="E60" s="12">
        <v>439000</v>
      </c>
      <c r="F60" s="10" t="s">
        <v>32</v>
      </c>
      <c r="G60" s="10" t="s">
        <v>33</v>
      </c>
      <c r="H60" s="12">
        <v>439000</v>
      </c>
      <c r="I60" s="12">
        <v>158900</v>
      </c>
      <c r="J60" s="13">
        <f t="shared" si="7"/>
        <v>36.195899772209565</v>
      </c>
      <c r="K60" s="12">
        <v>378148</v>
      </c>
      <c r="L60" s="12">
        <f>H60-355912</f>
        <v>83088</v>
      </c>
      <c r="M60" s="12">
        <v>22236</v>
      </c>
      <c r="N60" s="66">
        <f t="shared" si="8"/>
        <v>5.0651480637813211E-2</v>
      </c>
      <c r="O60" s="14">
        <v>123.53</v>
      </c>
      <c r="P60" s="15">
        <v>453.47</v>
      </c>
      <c r="Q60" s="16">
        <v>0.84899999999999998</v>
      </c>
      <c r="R60" s="16">
        <v>0.84899999999999998</v>
      </c>
      <c r="S60" s="12">
        <f t="shared" si="9"/>
        <v>672.61393993361935</v>
      </c>
      <c r="T60" s="12">
        <f t="shared" si="10"/>
        <v>97865.724381625449</v>
      </c>
      <c r="U60" s="17">
        <f t="shared" si="11"/>
        <v>2.2466878875487937</v>
      </c>
      <c r="V60" s="16">
        <v>83.06</v>
      </c>
      <c r="W60" s="16">
        <f t="shared" si="12"/>
        <v>87800</v>
      </c>
      <c r="X60" s="25">
        <f t="shared" si="13"/>
        <v>0.89714760254188319</v>
      </c>
      <c r="Y60" s="18" t="s">
        <v>1193</v>
      </c>
      <c r="Z60" s="10" t="s">
        <v>35</v>
      </c>
      <c r="AA60" s="10" t="s">
        <v>35</v>
      </c>
      <c r="AB60" s="10" t="s">
        <v>1194</v>
      </c>
      <c r="AC60" s="10">
        <v>0</v>
      </c>
      <c r="AD60" s="10">
        <v>1</v>
      </c>
      <c r="AE60" s="10" t="s">
        <v>1533</v>
      </c>
      <c r="AF60" s="10" t="s">
        <v>43</v>
      </c>
      <c r="AG60" s="10" t="s">
        <v>38</v>
      </c>
      <c r="AH60" s="10" t="s">
        <v>92</v>
      </c>
    </row>
    <row r="61" spans="1:34" x14ac:dyDescent="0.3">
      <c r="A61" s="74" t="s">
        <v>1194</v>
      </c>
      <c r="B61" s="10" t="s">
        <v>1517</v>
      </c>
      <c r="C61" s="10" t="s">
        <v>1518</v>
      </c>
      <c r="D61" s="11">
        <v>45355</v>
      </c>
      <c r="E61" s="12">
        <v>338000</v>
      </c>
      <c r="F61" s="10" t="s">
        <v>32</v>
      </c>
      <c r="G61" s="10" t="s">
        <v>33</v>
      </c>
      <c r="H61" s="12">
        <v>338000</v>
      </c>
      <c r="I61" s="12">
        <v>122900</v>
      </c>
      <c r="J61" s="13">
        <f t="shared" si="7"/>
        <v>36.360946745562131</v>
      </c>
      <c r="K61" s="12">
        <v>284313</v>
      </c>
      <c r="L61" s="12">
        <f>H61-259721</f>
        <v>78279</v>
      </c>
      <c r="M61" s="12">
        <v>24592</v>
      </c>
      <c r="N61" s="66">
        <f t="shared" si="8"/>
        <v>7.2757396449704137E-2</v>
      </c>
      <c r="O61" s="14">
        <v>136.62</v>
      </c>
      <c r="P61" s="15">
        <v>582.54</v>
      </c>
      <c r="Q61" s="16">
        <v>1.0640000000000001</v>
      </c>
      <c r="R61" s="16">
        <v>1.0640000000000001</v>
      </c>
      <c r="S61" s="12">
        <f t="shared" si="9"/>
        <v>572.96881862099247</v>
      </c>
      <c r="T61" s="12">
        <f t="shared" si="10"/>
        <v>73570.488721804504</v>
      </c>
      <c r="U61" s="17">
        <f t="shared" si="11"/>
        <v>1.6889460220799932</v>
      </c>
      <c r="V61" s="16">
        <v>81.08</v>
      </c>
      <c r="W61" s="16">
        <f t="shared" si="12"/>
        <v>67600</v>
      </c>
      <c r="X61" s="25">
        <f t="shared" si="13"/>
        <v>0.91884668940584324</v>
      </c>
      <c r="Y61" s="18" t="s">
        <v>1193</v>
      </c>
      <c r="Z61" s="10" t="s">
        <v>35</v>
      </c>
      <c r="AA61" s="10" t="s">
        <v>35</v>
      </c>
      <c r="AB61" s="10" t="s">
        <v>1194</v>
      </c>
      <c r="AC61" s="10">
        <v>0</v>
      </c>
      <c r="AD61" s="10">
        <v>1</v>
      </c>
      <c r="AE61" s="10" t="s">
        <v>42</v>
      </c>
      <c r="AF61" s="10" t="s">
        <v>43</v>
      </c>
      <c r="AG61" s="10" t="s">
        <v>38</v>
      </c>
      <c r="AH61" s="10" t="s">
        <v>92</v>
      </c>
    </row>
    <row r="62" spans="1:34" x14ac:dyDescent="0.3">
      <c r="A62" s="75" t="s">
        <v>267</v>
      </c>
      <c r="B62" s="19" t="s">
        <v>540</v>
      </c>
      <c r="C62" s="19" t="s">
        <v>541</v>
      </c>
      <c r="D62" s="20">
        <v>45520</v>
      </c>
      <c r="E62" s="21">
        <v>140500</v>
      </c>
      <c r="F62" s="19" t="s">
        <v>32</v>
      </c>
      <c r="G62" s="19" t="s">
        <v>33</v>
      </c>
      <c r="H62" s="21">
        <v>140500</v>
      </c>
      <c r="I62" s="21">
        <v>72100</v>
      </c>
      <c r="J62" s="22">
        <f t="shared" si="7"/>
        <v>51.316725978647682</v>
      </c>
      <c r="K62" s="21">
        <v>160488</v>
      </c>
      <c r="L62" s="21">
        <f>H62-117594</f>
        <v>22906</v>
      </c>
      <c r="M62" s="21">
        <v>42894</v>
      </c>
      <c r="N62" s="67">
        <f t="shared" si="8"/>
        <v>0.30529537366548043</v>
      </c>
      <c r="O62" s="23">
        <v>211.3</v>
      </c>
      <c r="P62" s="24">
        <v>286.26</v>
      </c>
      <c r="Q62" s="25">
        <v>0.91800000000000004</v>
      </c>
      <c r="R62" s="25">
        <v>0.91800000000000004</v>
      </c>
      <c r="S62" s="21">
        <f t="shared" si="9"/>
        <v>108.40511121628016</v>
      </c>
      <c r="T62" s="21">
        <f t="shared" si="10"/>
        <v>24952.069716775597</v>
      </c>
      <c r="U62" s="26">
        <f t="shared" si="11"/>
        <v>0.57282070056876944</v>
      </c>
      <c r="V62" s="25">
        <v>139.63</v>
      </c>
      <c r="W62" s="25">
        <f t="shared" si="12"/>
        <v>28100</v>
      </c>
      <c r="X62" s="25">
        <f t="shared" si="13"/>
        <v>1.1261590849559069</v>
      </c>
      <c r="Y62" s="27" t="s">
        <v>266</v>
      </c>
      <c r="Z62" s="19" t="s">
        <v>35</v>
      </c>
      <c r="AA62" s="19" t="s">
        <v>35</v>
      </c>
      <c r="AB62" s="19" t="s">
        <v>267</v>
      </c>
      <c r="AC62" s="19">
        <v>0</v>
      </c>
      <c r="AD62" s="19">
        <v>1</v>
      </c>
      <c r="AE62" s="19" t="s">
        <v>37</v>
      </c>
      <c r="AF62" s="19" t="s">
        <v>43</v>
      </c>
      <c r="AG62" s="19" t="s">
        <v>38</v>
      </c>
      <c r="AH62" s="19" t="s">
        <v>92</v>
      </c>
    </row>
    <row r="63" spans="1:34" x14ac:dyDescent="0.3">
      <c r="A63" s="75" t="s">
        <v>1194</v>
      </c>
      <c r="B63" s="19" t="s">
        <v>1519</v>
      </c>
      <c r="C63" s="19" t="s">
        <v>1520</v>
      </c>
      <c r="D63" s="20">
        <v>45351</v>
      </c>
      <c r="E63" s="21">
        <v>340000</v>
      </c>
      <c r="F63" s="19" t="s">
        <v>32</v>
      </c>
      <c r="G63" s="19" t="s">
        <v>33</v>
      </c>
      <c r="H63" s="21">
        <v>340000</v>
      </c>
      <c r="I63" s="21">
        <v>141900</v>
      </c>
      <c r="J63" s="22">
        <f t="shared" si="7"/>
        <v>41.735294117647058</v>
      </c>
      <c r="K63" s="21">
        <v>332811</v>
      </c>
      <c r="L63" s="21">
        <f>H63-306046</f>
        <v>33954</v>
      </c>
      <c r="M63" s="21">
        <v>26765</v>
      </c>
      <c r="N63" s="67">
        <f t="shared" si="8"/>
        <v>7.8720588235294112E-2</v>
      </c>
      <c r="O63" s="23">
        <v>148.69</v>
      </c>
      <c r="P63" s="24">
        <v>655.94</v>
      </c>
      <c r="Q63" s="25">
        <v>1.228</v>
      </c>
      <c r="R63" s="25">
        <v>1.228</v>
      </c>
      <c r="S63" s="21">
        <f t="shared" si="9"/>
        <v>228.35429416907661</v>
      </c>
      <c r="T63" s="21">
        <f t="shared" si="10"/>
        <v>27649.837133550489</v>
      </c>
      <c r="U63" s="26">
        <f t="shared" si="11"/>
        <v>0.63475291858472194</v>
      </c>
      <c r="V63" s="25">
        <v>83.16</v>
      </c>
      <c r="W63" s="25">
        <f t="shared" si="12"/>
        <v>68000</v>
      </c>
      <c r="X63" s="25">
        <f t="shared" si="13"/>
        <v>2.4593273252046886</v>
      </c>
      <c r="Y63" s="27" t="s">
        <v>1193</v>
      </c>
      <c r="Z63" s="19" t="s">
        <v>35</v>
      </c>
      <c r="AA63" s="19" t="s">
        <v>35</v>
      </c>
      <c r="AB63" s="19" t="s">
        <v>1194</v>
      </c>
      <c r="AC63" s="19">
        <v>0</v>
      </c>
      <c r="AD63" s="19">
        <v>1</v>
      </c>
      <c r="AE63" s="19" t="s">
        <v>42</v>
      </c>
      <c r="AF63" s="19" t="s">
        <v>43</v>
      </c>
      <c r="AG63" s="19" t="s">
        <v>38</v>
      </c>
      <c r="AH63" s="19" t="s">
        <v>92</v>
      </c>
    </row>
    <row r="64" spans="1:34" ht="15" thickBot="1" x14ac:dyDescent="0.35">
      <c r="A64" s="75" t="s">
        <v>652</v>
      </c>
      <c r="B64" s="19" t="s">
        <v>663</v>
      </c>
      <c r="C64" s="19" t="s">
        <v>664</v>
      </c>
      <c r="D64" s="20">
        <v>45471</v>
      </c>
      <c r="E64" s="21">
        <v>220000</v>
      </c>
      <c r="F64" s="19" t="s">
        <v>32</v>
      </c>
      <c r="G64" s="19" t="s">
        <v>33</v>
      </c>
      <c r="H64" s="21">
        <v>220000</v>
      </c>
      <c r="I64" s="21">
        <v>107400</v>
      </c>
      <c r="J64" s="22">
        <f t="shared" si="7"/>
        <v>48.818181818181813</v>
      </c>
      <c r="K64" s="21">
        <v>239988</v>
      </c>
      <c r="L64" s="21">
        <f>H64-193517</f>
        <v>26483</v>
      </c>
      <c r="M64" s="21">
        <v>46471</v>
      </c>
      <c r="N64" s="67">
        <f t="shared" si="8"/>
        <v>0.21123181818181819</v>
      </c>
      <c r="O64" s="23">
        <v>267.07</v>
      </c>
      <c r="P64" s="24">
        <v>397.99</v>
      </c>
      <c r="Q64" s="25">
        <v>1.6240000000000001</v>
      </c>
      <c r="R64" s="25">
        <v>1.6240000000000001</v>
      </c>
      <c r="S64" s="21">
        <f t="shared" si="9"/>
        <v>99.161268581270832</v>
      </c>
      <c r="T64" s="21">
        <f t="shared" si="10"/>
        <v>16307.266009852216</v>
      </c>
      <c r="U64" s="26">
        <f t="shared" si="11"/>
        <v>0.37436331519403615</v>
      </c>
      <c r="V64" s="25">
        <v>119.82</v>
      </c>
      <c r="W64" s="25">
        <f t="shared" si="12"/>
        <v>44000</v>
      </c>
      <c r="X64" s="25">
        <f t="shared" si="13"/>
        <v>2.698183740512782</v>
      </c>
      <c r="Y64" s="27" t="s">
        <v>651</v>
      </c>
      <c r="Z64" s="19" t="s">
        <v>35</v>
      </c>
      <c r="AA64" s="19" t="s">
        <v>35</v>
      </c>
      <c r="AB64" s="19" t="s">
        <v>652</v>
      </c>
      <c r="AC64" s="19">
        <v>0</v>
      </c>
      <c r="AD64" s="19">
        <v>0</v>
      </c>
      <c r="AE64" s="19" t="s">
        <v>42</v>
      </c>
      <c r="AF64" s="19" t="s">
        <v>43</v>
      </c>
      <c r="AG64" s="19" t="s">
        <v>38</v>
      </c>
      <c r="AH64" s="19" t="s">
        <v>92</v>
      </c>
    </row>
    <row r="65" spans="1:34" ht="15" thickTop="1" x14ac:dyDescent="0.3">
      <c r="A65" s="76"/>
      <c r="B65" s="37"/>
      <c r="C65" s="37"/>
      <c r="D65" s="38" t="s">
        <v>2876</v>
      </c>
      <c r="E65" s="39">
        <f>+SUM(E55:E64)</f>
        <v>2345000</v>
      </c>
      <c r="F65" s="37"/>
      <c r="G65" s="37"/>
      <c r="H65" s="39">
        <f>+SUM(H55:H64)</f>
        <v>2345000</v>
      </c>
      <c r="I65" s="39">
        <f>+SUM(I55:I64)</f>
        <v>991700</v>
      </c>
      <c r="J65" s="40"/>
      <c r="K65" s="39">
        <f>+SUM(K55:K64)</f>
        <v>2413318</v>
      </c>
      <c r="L65" s="39">
        <f>+SUM(L55:L64)</f>
        <v>252373</v>
      </c>
      <c r="M65" s="39">
        <f>+SUM(M55:M64)</f>
        <v>320691</v>
      </c>
      <c r="N65" s="81">
        <f>AVERAGE(N55:N64)</f>
        <v>0.21875951283480549</v>
      </c>
      <c r="O65" s="41">
        <f>+SUM(O55:O64)</f>
        <v>1690.1499999999999</v>
      </c>
      <c r="P65" s="42"/>
      <c r="Q65" s="43">
        <f>+SUM(Q55:Q64)</f>
        <v>11.101000000000001</v>
      </c>
      <c r="R65" s="43">
        <f>+SUM(R55:R64)</f>
        <v>11.101000000000001</v>
      </c>
      <c r="S65" s="39"/>
      <c r="T65" s="39"/>
      <c r="U65" s="44"/>
      <c r="V65" s="43"/>
      <c r="W65" s="82">
        <f>AVERAGE(W55:W64)</f>
        <v>46900</v>
      </c>
      <c r="X65" s="83">
        <f>AVERAGE(X55:X64)</f>
        <v>0.92012449255365036</v>
      </c>
      <c r="Y65" s="45"/>
      <c r="Z65" s="37"/>
      <c r="AA65" s="37"/>
      <c r="AB65" s="37"/>
      <c r="AC65" s="37"/>
      <c r="AD65" s="37"/>
      <c r="AE65" s="37"/>
      <c r="AF65" s="37"/>
      <c r="AG65" s="37"/>
      <c r="AH65" s="37"/>
    </row>
    <row r="66" spans="1:34" x14ac:dyDescent="0.3">
      <c r="A66" s="77"/>
      <c r="B66" s="28"/>
      <c r="C66" s="28"/>
      <c r="D66" s="29"/>
      <c r="E66" s="30"/>
      <c r="F66" s="28"/>
      <c r="G66" s="28"/>
      <c r="H66" s="30"/>
      <c r="I66" s="30" t="s">
        <v>2877</v>
      </c>
      <c r="J66" s="31">
        <f>I65/H65*100</f>
        <v>42.289978678038381</v>
      </c>
      <c r="K66" s="30"/>
      <c r="L66" s="30"/>
      <c r="M66" s="30" t="s">
        <v>2879</v>
      </c>
      <c r="N66" s="79"/>
      <c r="O66" s="32"/>
      <c r="P66" s="33"/>
      <c r="Q66" s="34" t="s">
        <v>2879</v>
      </c>
      <c r="R66" s="34"/>
      <c r="S66" s="30"/>
      <c r="T66" s="30" t="s">
        <v>2879</v>
      </c>
      <c r="U66" s="35"/>
      <c r="V66" s="34"/>
      <c r="W66" s="63"/>
      <c r="X66" s="68"/>
      <c r="Y66" s="36"/>
      <c r="Z66" s="28"/>
      <c r="AA66" s="28"/>
      <c r="AB66" s="28"/>
      <c r="AC66" s="28"/>
      <c r="AD66" s="28"/>
      <c r="AE66" s="28"/>
      <c r="AF66" s="28"/>
      <c r="AG66" s="28"/>
      <c r="AH66" s="28"/>
    </row>
    <row r="67" spans="1:34" x14ac:dyDescent="0.3">
      <c r="A67" s="78"/>
      <c r="B67" s="46"/>
      <c r="C67" s="46"/>
      <c r="D67" s="47"/>
      <c r="E67" s="48"/>
      <c r="F67" s="46"/>
      <c r="G67" s="46"/>
      <c r="H67" s="48"/>
      <c r="I67" s="48" t="s">
        <v>2878</v>
      </c>
      <c r="J67" s="49">
        <f>STDEV(J55:J64)</f>
        <v>13.272027948997605</v>
      </c>
      <c r="K67" s="48"/>
      <c r="L67" s="48"/>
      <c r="M67" s="48" t="s">
        <v>2880</v>
      </c>
      <c r="N67" s="80"/>
      <c r="O67" s="54">
        <f>L65/O65</f>
        <v>149.31988285063457</v>
      </c>
      <c r="P67" s="50"/>
      <c r="Q67" s="51" t="s">
        <v>2881</v>
      </c>
      <c r="R67" s="85">
        <f>L65/Q65</f>
        <v>22734.258174939194</v>
      </c>
      <c r="S67" s="48"/>
      <c r="T67" s="48" t="s">
        <v>2882</v>
      </c>
      <c r="U67" s="52">
        <f>L65/Q65/43560</f>
        <v>0.52190675332734604</v>
      </c>
      <c r="V67" s="51"/>
      <c r="W67" s="64"/>
      <c r="X67" s="69"/>
      <c r="Y67" s="53"/>
      <c r="Z67" s="46"/>
      <c r="AA67" s="46"/>
      <c r="AB67" s="46"/>
      <c r="AC67" s="46"/>
      <c r="AD67" s="46"/>
      <c r="AE67" s="46"/>
      <c r="AF67" s="46"/>
      <c r="AG67" s="46"/>
      <c r="AH67" s="46"/>
    </row>
    <row r="69" spans="1:34" x14ac:dyDescent="0.3">
      <c r="A69" s="55" t="s">
        <v>3092</v>
      </c>
    </row>
    <row r="70" spans="1:34" x14ac:dyDescent="0.3">
      <c r="A70" s="75" t="s">
        <v>966</v>
      </c>
      <c r="B70" s="19" t="s">
        <v>971</v>
      </c>
      <c r="C70" s="19" t="s">
        <v>972</v>
      </c>
      <c r="D70" s="20">
        <v>45471</v>
      </c>
      <c r="E70" s="21">
        <v>70000</v>
      </c>
      <c r="F70" s="19" t="s">
        <v>32</v>
      </c>
      <c r="G70" s="19" t="s">
        <v>33</v>
      </c>
      <c r="H70" s="21">
        <v>70000</v>
      </c>
      <c r="I70" s="21">
        <v>75500</v>
      </c>
      <c r="J70" s="22">
        <f>I70/H70*100</f>
        <v>107.85714285714285</v>
      </c>
      <c r="K70" s="21">
        <v>112445</v>
      </c>
      <c r="L70" s="21">
        <f>H70-81100</f>
        <v>-11100</v>
      </c>
      <c r="M70" s="21">
        <v>31345</v>
      </c>
      <c r="N70" s="67">
        <f>M70/E70</f>
        <v>0.44778571428571429</v>
      </c>
      <c r="O70" s="23">
        <v>129.52000000000001</v>
      </c>
      <c r="P70" s="24">
        <v>304</v>
      </c>
      <c r="Q70" s="25">
        <v>0.97399999999999998</v>
      </c>
      <c r="R70" s="25">
        <v>0.96699999999999997</v>
      </c>
      <c r="S70" s="21">
        <f>L70/O70</f>
        <v>-85.701050030883252</v>
      </c>
      <c r="T70" s="21">
        <f>L70/Q70</f>
        <v>-11396.303901437372</v>
      </c>
      <c r="U70" s="26">
        <f>L70/Q70/43560</f>
        <v>-0.26162313823318117</v>
      </c>
      <c r="V70" s="25">
        <v>109</v>
      </c>
      <c r="W70" s="25">
        <f>0.2*E70</f>
        <v>14000</v>
      </c>
      <c r="X70" s="25">
        <f>W70/T70</f>
        <v>-1.2284684684684686</v>
      </c>
      <c r="Y70" s="27" t="s">
        <v>965</v>
      </c>
      <c r="Z70" s="19" t="s">
        <v>35</v>
      </c>
      <c r="AA70" s="19" t="s">
        <v>35</v>
      </c>
      <c r="AB70" s="19" t="s">
        <v>966</v>
      </c>
      <c r="AC70" s="19">
        <v>0</v>
      </c>
      <c r="AD70" s="19">
        <v>1</v>
      </c>
      <c r="AE70" s="19" t="s">
        <v>37</v>
      </c>
      <c r="AF70" s="19" t="s">
        <v>43</v>
      </c>
      <c r="AG70" s="19" t="s">
        <v>38</v>
      </c>
      <c r="AH70" s="19" t="s">
        <v>92</v>
      </c>
    </row>
    <row r="71" spans="1:34" x14ac:dyDescent="0.3">
      <c r="A71" s="75" t="s">
        <v>267</v>
      </c>
      <c r="B71" s="19" t="s">
        <v>540</v>
      </c>
      <c r="C71" s="19" t="s">
        <v>541</v>
      </c>
      <c r="D71" s="20">
        <v>45058</v>
      </c>
      <c r="E71" s="21">
        <v>121900</v>
      </c>
      <c r="F71" s="19" t="s">
        <v>32</v>
      </c>
      <c r="G71" s="19" t="s">
        <v>33</v>
      </c>
      <c r="H71" s="21">
        <v>121900</v>
      </c>
      <c r="I71" s="21">
        <v>62500</v>
      </c>
      <c r="J71" s="22">
        <f>I71/H71*100</f>
        <v>51.271534044298605</v>
      </c>
      <c r="K71" s="21">
        <v>160488</v>
      </c>
      <c r="L71" s="21">
        <f>H71-117594</f>
        <v>4306</v>
      </c>
      <c r="M71" s="21">
        <v>42894</v>
      </c>
      <c r="N71" s="67">
        <f>M71/E71</f>
        <v>0.35187858900738311</v>
      </c>
      <c r="O71" s="23">
        <v>211.3</v>
      </c>
      <c r="P71" s="24">
        <v>286.26</v>
      </c>
      <c r="Q71" s="25">
        <v>0.91800000000000004</v>
      </c>
      <c r="R71" s="25">
        <v>0.91800000000000004</v>
      </c>
      <c r="S71" s="21">
        <f>L71/O71</f>
        <v>20.378608613345953</v>
      </c>
      <c r="T71" s="21">
        <f>L71/Q71</f>
        <v>4690.6318082788666</v>
      </c>
      <c r="U71" s="26">
        <f>L71/Q71/43560</f>
        <v>0.10768208926260024</v>
      </c>
      <c r="V71" s="25">
        <v>139.63</v>
      </c>
      <c r="W71" s="25">
        <f>0.2*E71</f>
        <v>24380</v>
      </c>
      <c r="X71" s="25">
        <f>W71/T71</f>
        <v>5.1975940548072463</v>
      </c>
      <c r="Y71" s="27" t="s">
        <v>266</v>
      </c>
      <c r="Z71" s="19" t="s">
        <v>35</v>
      </c>
      <c r="AA71" s="19" t="s">
        <v>35</v>
      </c>
      <c r="AB71" s="19" t="s">
        <v>267</v>
      </c>
      <c r="AC71" s="19">
        <v>0</v>
      </c>
      <c r="AD71" s="19">
        <v>1</v>
      </c>
      <c r="AE71" s="19" t="s">
        <v>37</v>
      </c>
      <c r="AF71" s="19" t="s">
        <v>43</v>
      </c>
      <c r="AG71" s="19" t="s">
        <v>38</v>
      </c>
      <c r="AH71" s="19" t="s">
        <v>92</v>
      </c>
    </row>
    <row r="76" spans="1:34" x14ac:dyDescent="0.3">
      <c r="A76" s="382" t="s">
        <v>3094</v>
      </c>
      <c r="B76" s="382"/>
    </row>
    <row r="77" spans="1:34" x14ac:dyDescent="0.3">
      <c r="A77" s="1" t="s">
        <v>23</v>
      </c>
      <c r="B77" s="1" t="s">
        <v>0</v>
      </c>
      <c r="C77" s="1" t="s">
        <v>1</v>
      </c>
      <c r="D77" s="2" t="s">
        <v>2</v>
      </c>
      <c r="E77" s="3" t="s">
        <v>3</v>
      </c>
      <c r="F77" s="1" t="s">
        <v>4</v>
      </c>
      <c r="G77" s="1" t="s">
        <v>5</v>
      </c>
      <c r="H77" s="3" t="s">
        <v>6</v>
      </c>
      <c r="I77" s="3" t="s">
        <v>7</v>
      </c>
      <c r="J77" s="4" t="s">
        <v>8</v>
      </c>
      <c r="K77" s="3" t="s">
        <v>9</v>
      </c>
      <c r="L77" s="3" t="s">
        <v>10</v>
      </c>
      <c r="M77" s="3" t="s">
        <v>11</v>
      </c>
      <c r="N77" s="339" t="s">
        <v>3066</v>
      </c>
      <c r="O77" s="5" t="s">
        <v>12</v>
      </c>
      <c r="P77" s="6" t="s">
        <v>13</v>
      </c>
      <c r="Q77" s="7" t="s">
        <v>14</v>
      </c>
      <c r="R77" s="7" t="s">
        <v>15</v>
      </c>
      <c r="S77" s="3" t="s">
        <v>16</v>
      </c>
      <c r="T77" s="3" t="s">
        <v>17</v>
      </c>
      <c r="U77" s="8" t="s">
        <v>18</v>
      </c>
      <c r="V77" s="7" t="s">
        <v>19</v>
      </c>
      <c r="W77" s="340" t="s">
        <v>3069</v>
      </c>
      <c r="X77" s="339" t="s">
        <v>3088</v>
      </c>
      <c r="Y77" s="9" t="s">
        <v>20</v>
      </c>
      <c r="Z77" s="1" t="s">
        <v>21</v>
      </c>
      <c r="AA77" s="1" t="s">
        <v>22</v>
      </c>
      <c r="AB77" s="1" t="s">
        <v>23</v>
      </c>
      <c r="AC77" s="1" t="s">
        <v>24</v>
      </c>
      <c r="AD77" s="1" t="s">
        <v>25</v>
      </c>
      <c r="AE77" s="1" t="s">
        <v>26</v>
      </c>
      <c r="AF77" s="1" t="s">
        <v>27</v>
      </c>
      <c r="AG77" s="1" t="s">
        <v>28</v>
      </c>
      <c r="AH77" s="1" t="s">
        <v>29</v>
      </c>
    </row>
    <row r="78" spans="1:34" x14ac:dyDescent="0.3">
      <c r="A78" s="75" t="s">
        <v>2703</v>
      </c>
      <c r="B78" s="19" t="s">
        <v>2700</v>
      </c>
      <c r="C78" s="19" t="s">
        <v>2701</v>
      </c>
      <c r="D78" s="20">
        <v>45686</v>
      </c>
      <c r="E78" s="21">
        <v>110000</v>
      </c>
      <c r="F78" s="19" t="s">
        <v>32</v>
      </c>
      <c r="G78" s="19" t="s">
        <v>33</v>
      </c>
      <c r="H78" s="21">
        <v>110000</v>
      </c>
      <c r="I78" s="21">
        <v>94000</v>
      </c>
      <c r="J78" s="22">
        <f t="shared" ref="J78:J100" si="14">I78/H78*100</f>
        <v>85.454545454545453</v>
      </c>
      <c r="K78" s="21">
        <v>217349</v>
      </c>
      <c r="L78" s="21">
        <f>H78-191249</f>
        <v>-81249</v>
      </c>
      <c r="M78" s="21">
        <v>26100</v>
      </c>
      <c r="N78" s="67">
        <f t="shared" ref="N78:N100" si="15">M78/E78</f>
        <v>0.23727272727272727</v>
      </c>
      <c r="O78" s="23">
        <v>0</v>
      </c>
      <c r="P78" s="24">
        <v>0</v>
      </c>
      <c r="Q78" s="25">
        <v>1.74</v>
      </c>
      <c r="R78" s="25">
        <v>1.74</v>
      </c>
      <c r="S78" s="21" t="e">
        <f t="shared" ref="S78:S100" si="16">L78/O78</f>
        <v>#DIV/0!</v>
      </c>
      <c r="T78" s="21">
        <f t="shared" ref="T78:T100" si="17">L78/Q78</f>
        <v>-46694.827586206899</v>
      </c>
      <c r="U78" s="26">
        <f t="shared" ref="U78:U100" si="18">L78/Q78/43560</f>
        <v>-1.0719657388936386</v>
      </c>
      <c r="V78" s="25">
        <v>0</v>
      </c>
      <c r="W78" s="25">
        <f t="shared" ref="W78:W100" si="19">0.2*E78</f>
        <v>22000</v>
      </c>
      <c r="X78" s="16">
        <f t="shared" ref="X78:X100" si="20">W78/T78</f>
        <v>-0.47114426023704903</v>
      </c>
      <c r="Y78" s="27" t="s">
        <v>2702</v>
      </c>
      <c r="Z78" s="19" t="s">
        <v>35</v>
      </c>
      <c r="AA78" s="19" t="s">
        <v>35</v>
      </c>
      <c r="AB78" s="19" t="s">
        <v>2703</v>
      </c>
      <c r="AC78" s="19">
        <v>0</v>
      </c>
      <c r="AD78" s="19">
        <v>0</v>
      </c>
      <c r="AE78" s="19" t="s">
        <v>42</v>
      </c>
      <c r="AF78" s="19" t="s">
        <v>35</v>
      </c>
      <c r="AG78" s="19" t="s">
        <v>38</v>
      </c>
      <c r="AH78" s="19"/>
    </row>
    <row r="79" spans="1:34" x14ac:dyDescent="0.3">
      <c r="A79" s="75" t="s">
        <v>2594</v>
      </c>
      <c r="B79" s="19" t="s">
        <v>2603</v>
      </c>
      <c r="C79" s="19" t="s">
        <v>2604</v>
      </c>
      <c r="D79" s="20">
        <v>45638</v>
      </c>
      <c r="E79" s="21">
        <v>92000</v>
      </c>
      <c r="F79" s="19" t="s">
        <v>32</v>
      </c>
      <c r="G79" s="19" t="s">
        <v>33</v>
      </c>
      <c r="H79" s="21">
        <v>92000</v>
      </c>
      <c r="I79" s="21">
        <v>76000</v>
      </c>
      <c r="J79" s="22">
        <f t="shared" si="14"/>
        <v>82.608695652173907</v>
      </c>
      <c r="K79" s="21">
        <v>174148</v>
      </c>
      <c r="L79" s="21">
        <f>H79-130538</f>
        <v>-38538</v>
      </c>
      <c r="M79" s="21">
        <v>43610</v>
      </c>
      <c r="N79" s="67">
        <f t="shared" si="15"/>
        <v>0.47402173913043477</v>
      </c>
      <c r="O79" s="23">
        <v>192.96</v>
      </c>
      <c r="P79" s="24">
        <v>237.17</v>
      </c>
      <c r="Q79" s="25">
        <v>0.82099999999999995</v>
      </c>
      <c r="R79" s="25">
        <v>0.82099999999999995</v>
      </c>
      <c r="S79" s="21">
        <f t="shared" si="16"/>
        <v>-199.72014925373134</v>
      </c>
      <c r="T79" s="21">
        <f t="shared" si="17"/>
        <v>-46940.316686967119</v>
      </c>
      <c r="U79" s="26">
        <f t="shared" si="18"/>
        <v>-1.0776013931810633</v>
      </c>
      <c r="V79" s="25">
        <v>110.07</v>
      </c>
      <c r="W79" s="25">
        <f t="shared" si="19"/>
        <v>18400</v>
      </c>
      <c r="X79" s="16">
        <f t="shared" si="20"/>
        <v>-0.39198712958638221</v>
      </c>
      <c r="Y79" s="27" t="s">
        <v>2593</v>
      </c>
      <c r="Z79" s="19" t="s">
        <v>35</v>
      </c>
      <c r="AA79" s="19" t="s">
        <v>35</v>
      </c>
      <c r="AB79" s="19" t="s">
        <v>2594</v>
      </c>
      <c r="AC79" s="19">
        <v>0</v>
      </c>
      <c r="AD79" s="19">
        <v>1</v>
      </c>
      <c r="AE79" s="19" t="s">
        <v>42</v>
      </c>
      <c r="AF79" s="19" t="s">
        <v>35</v>
      </c>
      <c r="AG79" s="19" t="s">
        <v>38</v>
      </c>
      <c r="AH79" s="19" t="s">
        <v>92</v>
      </c>
    </row>
    <row r="80" spans="1:34" x14ac:dyDescent="0.3">
      <c r="A80" s="74" t="s">
        <v>2125</v>
      </c>
      <c r="B80" s="10" t="s">
        <v>2126</v>
      </c>
      <c r="C80" s="10" t="s">
        <v>2127</v>
      </c>
      <c r="D80" s="11">
        <v>45434</v>
      </c>
      <c r="E80" s="12">
        <v>80000</v>
      </c>
      <c r="F80" s="10" t="s">
        <v>81</v>
      </c>
      <c r="G80" s="10" t="s">
        <v>33</v>
      </c>
      <c r="H80" s="12">
        <v>80000</v>
      </c>
      <c r="I80" s="12">
        <v>80200</v>
      </c>
      <c r="J80" s="13">
        <f t="shared" si="14"/>
        <v>100.25</v>
      </c>
      <c r="K80" s="12">
        <v>180677</v>
      </c>
      <c r="L80" s="12">
        <f>H80-141124</f>
        <v>-61124</v>
      </c>
      <c r="M80" s="12">
        <v>39553</v>
      </c>
      <c r="N80" s="66">
        <f t="shared" si="15"/>
        <v>0.49441249999999998</v>
      </c>
      <c r="O80" s="14">
        <v>158.21</v>
      </c>
      <c r="P80" s="15">
        <v>264</v>
      </c>
      <c r="Q80" s="16">
        <v>0.97</v>
      </c>
      <c r="R80" s="16">
        <v>0.97</v>
      </c>
      <c r="S80" s="12">
        <f t="shared" si="16"/>
        <v>-386.34725997092471</v>
      </c>
      <c r="T80" s="12">
        <f t="shared" si="17"/>
        <v>-63014.432989690722</v>
      </c>
      <c r="U80" s="17">
        <f t="shared" si="18"/>
        <v>-1.4466123275870231</v>
      </c>
      <c r="V80" s="16">
        <v>160</v>
      </c>
      <c r="W80" s="16">
        <f t="shared" si="19"/>
        <v>16000</v>
      </c>
      <c r="X80" s="16">
        <f t="shared" si="20"/>
        <v>-0.253910084418559</v>
      </c>
      <c r="Y80" s="18" t="s">
        <v>2124</v>
      </c>
      <c r="Z80" s="10" t="s">
        <v>35</v>
      </c>
      <c r="AA80" s="10" t="s">
        <v>35</v>
      </c>
      <c r="AB80" s="10" t="s">
        <v>2125</v>
      </c>
      <c r="AC80" s="10">
        <v>0</v>
      </c>
      <c r="AD80" s="10">
        <v>1</v>
      </c>
      <c r="AE80" s="10" t="s">
        <v>42</v>
      </c>
      <c r="AF80" s="10" t="s">
        <v>43</v>
      </c>
      <c r="AG80" s="10" t="s">
        <v>38</v>
      </c>
      <c r="AH80" s="10" t="s">
        <v>92</v>
      </c>
    </row>
    <row r="81" spans="1:34" x14ac:dyDescent="0.3">
      <c r="A81" s="74" t="s">
        <v>2200</v>
      </c>
      <c r="B81" s="10" t="s">
        <v>2201</v>
      </c>
      <c r="C81" s="10" t="s">
        <v>2202</v>
      </c>
      <c r="D81" s="11">
        <v>45429</v>
      </c>
      <c r="E81" s="12">
        <v>110000</v>
      </c>
      <c r="F81" s="10" t="s">
        <v>32</v>
      </c>
      <c r="G81" s="10" t="s">
        <v>33</v>
      </c>
      <c r="H81" s="12">
        <v>110000</v>
      </c>
      <c r="I81" s="12">
        <v>114500</v>
      </c>
      <c r="J81" s="13">
        <f t="shared" si="14"/>
        <v>104.09090909090909</v>
      </c>
      <c r="K81" s="12">
        <v>275874</v>
      </c>
      <c r="L81" s="12">
        <f>H81-256555</f>
        <v>-146555</v>
      </c>
      <c r="M81" s="12">
        <v>19319</v>
      </c>
      <c r="N81" s="66">
        <f t="shared" si="15"/>
        <v>0.17562727272727272</v>
      </c>
      <c r="O81" s="14">
        <v>112.97</v>
      </c>
      <c r="P81" s="15">
        <v>462.34</v>
      </c>
      <c r="Q81" s="16">
        <v>0.96599999999999997</v>
      </c>
      <c r="R81" s="16">
        <v>0.96599999999999997</v>
      </c>
      <c r="S81" s="12">
        <f t="shared" si="16"/>
        <v>-1297.2913162786581</v>
      </c>
      <c r="T81" s="12">
        <f t="shared" si="17"/>
        <v>-151713.25051759835</v>
      </c>
      <c r="U81" s="17">
        <f t="shared" si="18"/>
        <v>-3.4828569907621292</v>
      </c>
      <c r="V81" s="16">
        <v>91.01</v>
      </c>
      <c r="W81" s="16">
        <f t="shared" si="19"/>
        <v>22000</v>
      </c>
      <c r="X81" s="16">
        <f t="shared" si="20"/>
        <v>-0.14501040564975606</v>
      </c>
      <c r="Y81" s="18" t="s">
        <v>2199</v>
      </c>
      <c r="Z81" s="10" t="s">
        <v>35</v>
      </c>
      <c r="AA81" s="10" t="s">
        <v>35</v>
      </c>
      <c r="AB81" s="10" t="s">
        <v>2200</v>
      </c>
      <c r="AC81" s="10">
        <v>0</v>
      </c>
      <c r="AD81" s="10">
        <v>1</v>
      </c>
      <c r="AE81" s="10" t="s">
        <v>42</v>
      </c>
      <c r="AF81" s="10" t="s">
        <v>43</v>
      </c>
      <c r="AG81" s="10" t="s">
        <v>38</v>
      </c>
      <c r="AH81" s="10" t="s">
        <v>92</v>
      </c>
    </row>
    <row r="82" spans="1:34" x14ac:dyDescent="0.3">
      <c r="A82" s="74" t="s">
        <v>2840</v>
      </c>
      <c r="B82" s="10" t="s">
        <v>2837</v>
      </c>
      <c r="C82" s="10" t="s">
        <v>2838</v>
      </c>
      <c r="D82" s="11">
        <v>45636</v>
      </c>
      <c r="E82" s="12">
        <v>7500</v>
      </c>
      <c r="F82" s="10" t="s">
        <v>32</v>
      </c>
      <c r="G82" s="10" t="s">
        <v>33</v>
      </c>
      <c r="H82" s="12">
        <v>7500</v>
      </c>
      <c r="I82" s="12">
        <v>14100</v>
      </c>
      <c r="J82" s="13">
        <f t="shared" si="14"/>
        <v>188</v>
      </c>
      <c r="K82" s="12">
        <v>29961</v>
      </c>
      <c r="L82" s="12">
        <f>H82-0</f>
        <v>7500</v>
      </c>
      <c r="M82" s="12">
        <v>29961</v>
      </c>
      <c r="N82" s="66">
        <f t="shared" si="15"/>
        <v>3.9948000000000001</v>
      </c>
      <c r="O82" s="14">
        <v>152.86000000000001</v>
      </c>
      <c r="P82" s="15">
        <v>285</v>
      </c>
      <c r="Q82" s="16">
        <v>1</v>
      </c>
      <c r="R82" s="16">
        <v>1</v>
      </c>
      <c r="S82" s="12">
        <f t="shared" si="16"/>
        <v>49.06450346722491</v>
      </c>
      <c r="T82" s="12">
        <f t="shared" si="17"/>
        <v>7500</v>
      </c>
      <c r="U82" s="17">
        <f t="shared" si="18"/>
        <v>0.17217630853994489</v>
      </c>
      <c r="V82" s="16">
        <v>152.86000000000001</v>
      </c>
      <c r="W82" s="16">
        <f t="shared" si="19"/>
        <v>1500</v>
      </c>
      <c r="X82" s="16">
        <f t="shared" si="20"/>
        <v>0.2</v>
      </c>
      <c r="Y82" s="18" t="s">
        <v>2839</v>
      </c>
      <c r="Z82" s="10" t="s">
        <v>35</v>
      </c>
      <c r="AA82" s="10" t="s">
        <v>35</v>
      </c>
      <c r="AB82" s="10" t="s">
        <v>2840</v>
      </c>
      <c r="AC82" s="10">
        <v>0</v>
      </c>
      <c r="AD82" s="10">
        <v>1</v>
      </c>
      <c r="AE82" s="10" t="s">
        <v>37</v>
      </c>
      <c r="AF82" s="10" t="s">
        <v>35</v>
      </c>
      <c r="AG82" s="10" t="s">
        <v>61</v>
      </c>
      <c r="AH82" s="10" t="s">
        <v>92</v>
      </c>
    </row>
    <row r="83" spans="1:34" x14ac:dyDescent="0.3">
      <c r="A83" s="74" t="s">
        <v>1773</v>
      </c>
      <c r="B83" s="10" t="s">
        <v>2008</v>
      </c>
      <c r="C83" s="10" t="s">
        <v>2009</v>
      </c>
      <c r="D83" s="11">
        <v>45578</v>
      </c>
      <c r="E83" s="12">
        <v>160000</v>
      </c>
      <c r="F83" s="10" t="s">
        <v>81</v>
      </c>
      <c r="G83" s="10" t="s">
        <v>33</v>
      </c>
      <c r="H83" s="12">
        <v>160000</v>
      </c>
      <c r="I83" s="12">
        <v>31400</v>
      </c>
      <c r="J83" s="13">
        <f t="shared" si="14"/>
        <v>19.625</v>
      </c>
      <c r="K83" s="12">
        <v>63026</v>
      </c>
      <c r="L83" s="12">
        <f>H83-41026</f>
        <v>118974</v>
      </c>
      <c r="M83" s="12">
        <v>22000</v>
      </c>
      <c r="N83" s="66">
        <f t="shared" si="15"/>
        <v>0.13750000000000001</v>
      </c>
      <c r="O83" s="14">
        <v>0</v>
      </c>
      <c r="P83" s="15">
        <v>0</v>
      </c>
      <c r="Q83" s="16">
        <v>1.1000000000000001</v>
      </c>
      <c r="R83" s="16">
        <v>1.1000000000000001</v>
      </c>
      <c r="S83" s="12" t="e">
        <f t="shared" si="16"/>
        <v>#DIV/0!</v>
      </c>
      <c r="T83" s="12">
        <f t="shared" si="17"/>
        <v>108158.18181818181</v>
      </c>
      <c r="U83" s="17">
        <f t="shared" si="18"/>
        <v>2.4829701978462309</v>
      </c>
      <c r="V83" s="16">
        <v>0</v>
      </c>
      <c r="W83" s="16">
        <f t="shared" si="19"/>
        <v>32000</v>
      </c>
      <c r="X83" s="16">
        <f t="shared" si="20"/>
        <v>0.29586296165548776</v>
      </c>
      <c r="Y83" s="18" t="s">
        <v>1941</v>
      </c>
      <c r="Z83" s="10" t="s">
        <v>35</v>
      </c>
      <c r="AA83" s="10" t="s">
        <v>35</v>
      </c>
      <c r="AB83" s="10" t="s">
        <v>1773</v>
      </c>
      <c r="AC83" s="10">
        <v>0</v>
      </c>
      <c r="AD83" s="10">
        <v>0</v>
      </c>
      <c r="AE83" s="10" t="s">
        <v>42</v>
      </c>
      <c r="AF83" s="10" t="s">
        <v>35</v>
      </c>
      <c r="AG83" s="10" t="s">
        <v>38</v>
      </c>
      <c r="AH83" s="10"/>
    </row>
    <row r="84" spans="1:34" x14ac:dyDescent="0.3">
      <c r="A84" s="74" t="s">
        <v>2664</v>
      </c>
      <c r="B84" s="10" t="s">
        <v>2773</v>
      </c>
      <c r="C84" s="10" t="s">
        <v>2774</v>
      </c>
      <c r="D84" s="11">
        <v>45637</v>
      </c>
      <c r="E84" s="12">
        <v>135000</v>
      </c>
      <c r="F84" s="10" t="s">
        <v>32</v>
      </c>
      <c r="G84" s="10" t="s">
        <v>33</v>
      </c>
      <c r="H84" s="12">
        <v>135000</v>
      </c>
      <c r="I84" s="12">
        <v>45300</v>
      </c>
      <c r="J84" s="13">
        <f t="shared" si="14"/>
        <v>33.555555555555557</v>
      </c>
      <c r="K84" s="12">
        <v>80633</v>
      </c>
      <c r="L84" s="12">
        <f>H84-60233</f>
        <v>74767</v>
      </c>
      <c r="M84" s="12">
        <v>20400</v>
      </c>
      <c r="N84" s="66">
        <f t="shared" si="15"/>
        <v>0.15111111111111111</v>
      </c>
      <c r="O84" s="14">
        <v>100</v>
      </c>
      <c r="P84" s="15">
        <v>379</v>
      </c>
      <c r="Q84" s="16">
        <v>0.87</v>
      </c>
      <c r="R84" s="16">
        <v>0.87</v>
      </c>
      <c r="S84" s="12">
        <f t="shared" si="16"/>
        <v>747.67</v>
      </c>
      <c r="T84" s="12">
        <f t="shared" si="17"/>
        <v>85939.080459770121</v>
      </c>
      <c r="U84" s="17">
        <f t="shared" si="18"/>
        <v>1.9728898177174041</v>
      </c>
      <c r="V84" s="16">
        <v>100</v>
      </c>
      <c r="W84" s="16">
        <f t="shared" si="19"/>
        <v>27000</v>
      </c>
      <c r="X84" s="16">
        <f t="shared" si="20"/>
        <v>0.31417604023165296</v>
      </c>
      <c r="Y84" s="18" t="s">
        <v>2663</v>
      </c>
      <c r="Z84" s="10" t="s">
        <v>35</v>
      </c>
      <c r="AA84" s="10" t="s">
        <v>35</v>
      </c>
      <c r="AB84" s="10" t="s">
        <v>2664</v>
      </c>
      <c r="AC84" s="10">
        <v>0</v>
      </c>
      <c r="AD84" s="10">
        <v>0</v>
      </c>
      <c r="AE84" s="10" t="s">
        <v>37</v>
      </c>
      <c r="AF84" s="10" t="s">
        <v>35</v>
      </c>
      <c r="AG84" s="10" t="s">
        <v>38</v>
      </c>
      <c r="AH84" s="10" t="s">
        <v>1830</v>
      </c>
    </row>
    <row r="85" spans="1:34" x14ac:dyDescent="0.3">
      <c r="A85" s="75" t="s">
        <v>2664</v>
      </c>
      <c r="B85" s="19" t="s">
        <v>2780</v>
      </c>
      <c r="C85" s="19" t="s">
        <v>2781</v>
      </c>
      <c r="D85" s="20">
        <v>45401</v>
      </c>
      <c r="E85" s="21">
        <v>172000</v>
      </c>
      <c r="F85" s="19" t="s">
        <v>32</v>
      </c>
      <c r="G85" s="19" t="s">
        <v>33</v>
      </c>
      <c r="H85" s="21">
        <v>172000</v>
      </c>
      <c r="I85" s="21">
        <v>52100</v>
      </c>
      <c r="J85" s="22">
        <f t="shared" si="14"/>
        <v>30.290697674418603</v>
      </c>
      <c r="K85" s="21">
        <v>92869</v>
      </c>
      <c r="L85" s="21">
        <f>H85-72030</f>
        <v>99970</v>
      </c>
      <c r="M85" s="21">
        <v>20839</v>
      </c>
      <c r="N85" s="67">
        <f t="shared" si="15"/>
        <v>0.12115697674418605</v>
      </c>
      <c r="O85" s="23">
        <v>102.14</v>
      </c>
      <c r="P85" s="24">
        <v>403.5</v>
      </c>
      <c r="Q85" s="25">
        <v>0.91700000000000004</v>
      </c>
      <c r="R85" s="25">
        <v>0.91700000000000004</v>
      </c>
      <c r="S85" s="21">
        <f t="shared" si="16"/>
        <v>978.75465047973364</v>
      </c>
      <c r="T85" s="21">
        <f t="shared" si="17"/>
        <v>109018.5387131952</v>
      </c>
      <c r="U85" s="26">
        <f t="shared" si="18"/>
        <v>2.5027212744076035</v>
      </c>
      <c r="V85" s="25">
        <v>99</v>
      </c>
      <c r="W85" s="25">
        <f t="shared" si="19"/>
        <v>34400</v>
      </c>
      <c r="X85" s="16">
        <f t="shared" si="20"/>
        <v>0.31554266279883963</v>
      </c>
      <c r="Y85" s="27" t="s">
        <v>2663</v>
      </c>
      <c r="Z85" s="19" t="s">
        <v>35</v>
      </c>
      <c r="AA85" s="19" t="s">
        <v>35</v>
      </c>
      <c r="AB85" s="19" t="s">
        <v>2664</v>
      </c>
      <c r="AC85" s="19">
        <v>0</v>
      </c>
      <c r="AD85" s="19">
        <v>1</v>
      </c>
      <c r="AE85" s="19" t="s">
        <v>412</v>
      </c>
      <c r="AF85" s="19" t="s">
        <v>43</v>
      </c>
      <c r="AG85" s="19" t="s">
        <v>38</v>
      </c>
      <c r="AH85" s="19" t="s">
        <v>1830</v>
      </c>
    </row>
    <row r="86" spans="1:34" x14ac:dyDescent="0.3">
      <c r="A86" s="75" t="s">
        <v>1773</v>
      </c>
      <c r="B86" s="19" t="s">
        <v>2012</v>
      </c>
      <c r="C86" s="19" t="s">
        <v>2013</v>
      </c>
      <c r="D86" s="20">
        <v>45653</v>
      </c>
      <c r="E86" s="21">
        <v>200000</v>
      </c>
      <c r="F86" s="19" t="s">
        <v>32</v>
      </c>
      <c r="G86" s="19" t="s">
        <v>33</v>
      </c>
      <c r="H86" s="21">
        <v>200000</v>
      </c>
      <c r="I86" s="21">
        <v>53400</v>
      </c>
      <c r="J86" s="22">
        <f t="shared" si="14"/>
        <v>26.700000000000003</v>
      </c>
      <c r="K86" s="21">
        <v>113651</v>
      </c>
      <c r="L86" s="21">
        <f>H86-96051</f>
        <v>103949</v>
      </c>
      <c r="M86" s="21">
        <v>17600</v>
      </c>
      <c r="N86" s="67">
        <f t="shared" si="15"/>
        <v>8.7999999999999995E-2</v>
      </c>
      <c r="O86" s="23">
        <v>0</v>
      </c>
      <c r="P86" s="24">
        <v>0</v>
      </c>
      <c r="Q86" s="25">
        <v>0.88</v>
      </c>
      <c r="R86" s="25">
        <v>0.88</v>
      </c>
      <c r="S86" s="21" t="e">
        <f t="shared" si="16"/>
        <v>#DIV/0!</v>
      </c>
      <c r="T86" s="21">
        <f t="shared" si="17"/>
        <v>118123.86363636363</v>
      </c>
      <c r="U86" s="26">
        <f t="shared" si="18"/>
        <v>2.7117507721846565</v>
      </c>
      <c r="V86" s="25">
        <v>0</v>
      </c>
      <c r="W86" s="25">
        <f t="shared" si="19"/>
        <v>40000</v>
      </c>
      <c r="X86" s="16">
        <f t="shared" si="20"/>
        <v>0.33862759622507194</v>
      </c>
      <c r="Y86" s="27" t="s">
        <v>1941</v>
      </c>
      <c r="Z86" s="19" t="s">
        <v>35</v>
      </c>
      <c r="AA86" s="19" t="s">
        <v>35</v>
      </c>
      <c r="AB86" s="19" t="s">
        <v>1773</v>
      </c>
      <c r="AC86" s="19">
        <v>0</v>
      </c>
      <c r="AD86" s="19">
        <v>1</v>
      </c>
      <c r="AE86" s="19" t="s">
        <v>42</v>
      </c>
      <c r="AF86" s="19" t="s">
        <v>35</v>
      </c>
      <c r="AG86" s="19" t="s">
        <v>38</v>
      </c>
      <c r="AH86" s="19"/>
    </row>
    <row r="87" spans="1:34" x14ac:dyDescent="0.3">
      <c r="A87" s="74" t="s">
        <v>1773</v>
      </c>
      <c r="B87" s="10" t="s">
        <v>2008</v>
      </c>
      <c r="C87" s="10" t="s">
        <v>2009</v>
      </c>
      <c r="D87" s="11">
        <v>45578</v>
      </c>
      <c r="E87" s="12">
        <v>100000</v>
      </c>
      <c r="F87" s="10" t="s">
        <v>32</v>
      </c>
      <c r="G87" s="10" t="s">
        <v>33</v>
      </c>
      <c r="H87" s="12">
        <v>100000</v>
      </c>
      <c r="I87" s="12">
        <v>31400</v>
      </c>
      <c r="J87" s="13">
        <f t="shared" si="14"/>
        <v>31.4</v>
      </c>
      <c r="K87" s="12">
        <v>63026</v>
      </c>
      <c r="L87" s="12">
        <f>H87-41026</f>
        <v>58974</v>
      </c>
      <c r="M87" s="12">
        <v>22000</v>
      </c>
      <c r="N87" s="66">
        <f t="shared" si="15"/>
        <v>0.22</v>
      </c>
      <c r="O87" s="14">
        <v>0</v>
      </c>
      <c r="P87" s="15">
        <v>0</v>
      </c>
      <c r="Q87" s="16">
        <v>1.1000000000000001</v>
      </c>
      <c r="R87" s="16">
        <v>1.1000000000000001</v>
      </c>
      <c r="S87" s="12" t="e">
        <f t="shared" si="16"/>
        <v>#DIV/0!</v>
      </c>
      <c r="T87" s="12">
        <f t="shared" si="17"/>
        <v>53612.727272727265</v>
      </c>
      <c r="U87" s="17">
        <f t="shared" si="18"/>
        <v>1.2307788630102678</v>
      </c>
      <c r="V87" s="16">
        <v>0</v>
      </c>
      <c r="W87" s="16">
        <f t="shared" si="19"/>
        <v>20000</v>
      </c>
      <c r="X87" s="16">
        <f t="shared" si="20"/>
        <v>0.37304574897412424</v>
      </c>
      <c r="Y87" s="18" t="s">
        <v>1941</v>
      </c>
      <c r="Z87" s="10" t="s">
        <v>35</v>
      </c>
      <c r="AA87" s="10" t="s">
        <v>35</v>
      </c>
      <c r="AB87" s="10" t="s">
        <v>1773</v>
      </c>
      <c r="AC87" s="10">
        <v>0</v>
      </c>
      <c r="AD87" s="10">
        <v>0</v>
      </c>
      <c r="AE87" s="10" t="s">
        <v>42</v>
      </c>
      <c r="AF87" s="10" t="s">
        <v>35</v>
      </c>
      <c r="AG87" s="10" t="s">
        <v>38</v>
      </c>
      <c r="AH87" s="10"/>
    </row>
    <row r="88" spans="1:34" x14ac:dyDescent="0.3">
      <c r="A88" s="75" t="s">
        <v>1773</v>
      </c>
      <c r="B88" s="19" t="s">
        <v>2010</v>
      </c>
      <c r="C88" s="19" t="s">
        <v>2011</v>
      </c>
      <c r="D88" s="20">
        <v>45106</v>
      </c>
      <c r="E88" s="21">
        <v>150000</v>
      </c>
      <c r="F88" s="19" t="s">
        <v>32</v>
      </c>
      <c r="G88" s="19" t="s">
        <v>33</v>
      </c>
      <c r="H88" s="21">
        <v>150000</v>
      </c>
      <c r="I88" s="21">
        <v>36000</v>
      </c>
      <c r="J88" s="22">
        <f t="shared" si="14"/>
        <v>24</v>
      </c>
      <c r="K88" s="21">
        <v>101302</v>
      </c>
      <c r="L88" s="21">
        <f>H88-83702</f>
        <v>66298</v>
      </c>
      <c r="M88" s="21">
        <v>17600</v>
      </c>
      <c r="N88" s="67">
        <f t="shared" si="15"/>
        <v>0.11733333333333333</v>
      </c>
      <c r="O88" s="23">
        <v>0</v>
      </c>
      <c r="P88" s="24">
        <v>0</v>
      </c>
      <c r="Q88" s="25">
        <v>0.88</v>
      </c>
      <c r="R88" s="25">
        <v>0.88</v>
      </c>
      <c r="S88" s="21" t="e">
        <f t="shared" si="16"/>
        <v>#DIV/0!</v>
      </c>
      <c r="T88" s="21">
        <f t="shared" si="17"/>
        <v>75338.636363636368</v>
      </c>
      <c r="U88" s="26">
        <f t="shared" si="18"/>
        <v>1.7295371066032224</v>
      </c>
      <c r="V88" s="25">
        <v>0</v>
      </c>
      <c r="W88" s="25">
        <f t="shared" si="19"/>
        <v>30000</v>
      </c>
      <c r="X88" s="16">
        <f t="shared" si="20"/>
        <v>0.39820205737729641</v>
      </c>
      <c r="Y88" s="27" t="s">
        <v>1941</v>
      </c>
      <c r="Z88" s="19" t="s">
        <v>35</v>
      </c>
      <c r="AA88" s="19" t="s">
        <v>35</v>
      </c>
      <c r="AB88" s="19" t="s">
        <v>1773</v>
      </c>
      <c r="AC88" s="19">
        <v>0</v>
      </c>
      <c r="AD88" s="19">
        <v>1</v>
      </c>
      <c r="AE88" s="19" t="s">
        <v>42</v>
      </c>
      <c r="AF88" s="19" t="s">
        <v>43</v>
      </c>
      <c r="AG88" s="19" t="s">
        <v>38</v>
      </c>
      <c r="AH88" s="19"/>
    </row>
    <row r="89" spans="1:34" x14ac:dyDescent="0.3">
      <c r="A89" s="75" t="s">
        <v>1773</v>
      </c>
      <c r="B89" s="19" t="s">
        <v>2000</v>
      </c>
      <c r="C89" s="19" t="s">
        <v>2001</v>
      </c>
      <c r="D89" s="20">
        <v>45188</v>
      </c>
      <c r="E89" s="21">
        <v>285000</v>
      </c>
      <c r="F89" s="19" t="s">
        <v>81</v>
      </c>
      <c r="G89" s="19" t="s">
        <v>33</v>
      </c>
      <c r="H89" s="21">
        <v>285000</v>
      </c>
      <c r="I89" s="21">
        <v>61700</v>
      </c>
      <c r="J89" s="22">
        <f t="shared" si="14"/>
        <v>21.649122807017545</v>
      </c>
      <c r="K89" s="21">
        <v>179784</v>
      </c>
      <c r="L89" s="21">
        <f>H89-160784</f>
        <v>124216</v>
      </c>
      <c r="M89" s="21">
        <v>19000</v>
      </c>
      <c r="N89" s="67">
        <f t="shared" si="15"/>
        <v>6.6666666666666666E-2</v>
      </c>
      <c r="O89" s="23">
        <v>0</v>
      </c>
      <c r="P89" s="24">
        <v>0</v>
      </c>
      <c r="Q89" s="25">
        <v>0.95</v>
      </c>
      <c r="R89" s="25">
        <v>0.95</v>
      </c>
      <c r="S89" s="21" t="e">
        <f t="shared" si="16"/>
        <v>#DIV/0!</v>
      </c>
      <c r="T89" s="21">
        <f t="shared" si="17"/>
        <v>130753.68421052632</v>
      </c>
      <c r="U89" s="26">
        <f t="shared" si="18"/>
        <v>3.00169155671548</v>
      </c>
      <c r="V89" s="25">
        <v>0</v>
      </c>
      <c r="W89" s="25">
        <f t="shared" si="19"/>
        <v>57000</v>
      </c>
      <c r="X89" s="16">
        <f t="shared" si="20"/>
        <v>0.4359341791717653</v>
      </c>
      <c r="Y89" s="27" t="s">
        <v>1941</v>
      </c>
      <c r="Z89" s="19" t="s">
        <v>35</v>
      </c>
      <c r="AA89" s="19" t="s">
        <v>35</v>
      </c>
      <c r="AB89" s="19" t="s">
        <v>1773</v>
      </c>
      <c r="AC89" s="19">
        <v>0</v>
      </c>
      <c r="AD89" s="19">
        <v>1</v>
      </c>
      <c r="AE89" s="19" t="s">
        <v>37</v>
      </c>
      <c r="AF89" s="19" t="s">
        <v>43</v>
      </c>
      <c r="AG89" s="19" t="s">
        <v>38</v>
      </c>
      <c r="AH89" s="19"/>
    </row>
    <row r="90" spans="1:34" x14ac:dyDescent="0.3">
      <c r="A90" s="74" t="s">
        <v>2664</v>
      </c>
      <c r="B90" s="10" t="s">
        <v>2775</v>
      </c>
      <c r="C90" s="10" t="s">
        <v>2776</v>
      </c>
      <c r="D90" s="11">
        <v>45475</v>
      </c>
      <c r="E90" s="12">
        <v>315000</v>
      </c>
      <c r="F90" s="10" t="s">
        <v>32</v>
      </c>
      <c r="G90" s="10" t="s">
        <v>33</v>
      </c>
      <c r="H90" s="12">
        <v>315000</v>
      </c>
      <c r="I90" s="12">
        <v>57400</v>
      </c>
      <c r="J90" s="13">
        <f t="shared" si="14"/>
        <v>18.222222222222221</v>
      </c>
      <c r="K90" s="12">
        <v>153731</v>
      </c>
      <c r="L90" s="12">
        <f>H90-128566</f>
        <v>186434</v>
      </c>
      <c r="M90" s="12">
        <v>25165</v>
      </c>
      <c r="N90" s="66">
        <f t="shared" si="15"/>
        <v>7.9888888888888884E-2</v>
      </c>
      <c r="O90" s="14">
        <v>100.08</v>
      </c>
      <c r="P90" s="15">
        <v>379.62</v>
      </c>
      <c r="Q90" s="16">
        <v>1.31</v>
      </c>
      <c r="R90" s="16">
        <v>0.871</v>
      </c>
      <c r="S90" s="12">
        <f t="shared" si="16"/>
        <v>1862.8497202238209</v>
      </c>
      <c r="T90" s="12">
        <f t="shared" si="17"/>
        <v>142316.03053435113</v>
      </c>
      <c r="U90" s="17">
        <f t="shared" si="18"/>
        <v>3.2671265044616882</v>
      </c>
      <c r="V90" s="16">
        <v>100</v>
      </c>
      <c r="W90" s="16">
        <f t="shared" si="19"/>
        <v>63000</v>
      </c>
      <c r="X90" s="16">
        <f t="shared" si="20"/>
        <v>0.44267676496776343</v>
      </c>
      <c r="Y90" s="18" t="s">
        <v>2663</v>
      </c>
      <c r="Z90" s="10" t="s">
        <v>35</v>
      </c>
      <c r="AA90" s="10" t="s">
        <v>2777</v>
      </c>
      <c r="AB90" s="10" t="s">
        <v>2664</v>
      </c>
      <c r="AC90" s="10">
        <v>0</v>
      </c>
      <c r="AD90" s="10">
        <v>0</v>
      </c>
      <c r="AE90" s="10" t="s">
        <v>42</v>
      </c>
      <c r="AF90" s="10" t="s">
        <v>43</v>
      </c>
      <c r="AG90" s="10" t="s">
        <v>38</v>
      </c>
      <c r="AH90" s="10" t="s">
        <v>1830</v>
      </c>
    </row>
    <row r="91" spans="1:34" x14ac:dyDescent="0.3">
      <c r="A91" s="75" t="s">
        <v>2125</v>
      </c>
      <c r="B91" s="19" t="s">
        <v>2126</v>
      </c>
      <c r="C91" s="19" t="s">
        <v>2127</v>
      </c>
      <c r="D91" s="20">
        <v>45684</v>
      </c>
      <c r="E91" s="21">
        <v>215000</v>
      </c>
      <c r="F91" s="19" t="s">
        <v>32</v>
      </c>
      <c r="G91" s="19" t="s">
        <v>33</v>
      </c>
      <c r="H91" s="21">
        <v>215000</v>
      </c>
      <c r="I91" s="21">
        <v>80200</v>
      </c>
      <c r="J91" s="22">
        <f t="shared" si="14"/>
        <v>37.302325581395351</v>
      </c>
      <c r="K91" s="21">
        <v>180677</v>
      </c>
      <c r="L91" s="21">
        <f>H91-141124</f>
        <v>73876</v>
      </c>
      <c r="M91" s="21">
        <v>39553</v>
      </c>
      <c r="N91" s="67">
        <f t="shared" si="15"/>
        <v>0.18396744186046513</v>
      </c>
      <c r="O91" s="23">
        <v>158.21</v>
      </c>
      <c r="P91" s="24">
        <v>264</v>
      </c>
      <c r="Q91" s="25">
        <v>0.97</v>
      </c>
      <c r="R91" s="25">
        <v>0.97</v>
      </c>
      <c r="S91" s="21">
        <f t="shared" si="16"/>
        <v>466.94899184628025</v>
      </c>
      <c r="T91" s="21">
        <f t="shared" si="17"/>
        <v>76160.824742268043</v>
      </c>
      <c r="U91" s="26">
        <f t="shared" si="18"/>
        <v>1.7484119545975216</v>
      </c>
      <c r="V91" s="25">
        <v>160</v>
      </c>
      <c r="W91" s="25">
        <f t="shared" si="19"/>
        <v>43000</v>
      </c>
      <c r="X91" s="16">
        <f t="shared" si="20"/>
        <v>0.56459472629812113</v>
      </c>
      <c r="Y91" s="27" t="s">
        <v>2124</v>
      </c>
      <c r="Z91" s="19" t="s">
        <v>35</v>
      </c>
      <c r="AA91" s="19" t="s">
        <v>35</v>
      </c>
      <c r="AB91" s="19" t="s">
        <v>2125</v>
      </c>
      <c r="AC91" s="19">
        <v>0</v>
      </c>
      <c r="AD91" s="19">
        <v>1</v>
      </c>
      <c r="AE91" s="19" t="s">
        <v>42</v>
      </c>
      <c r="AF91" s="19" t="s">
        <v>35</v>
      </c>
      <c r="AG91" s="19" t="s">
        <v>38</v>
      </c>
      <c r="AH91" s="19" t="s">
        <v>92</v>
      </c>
    </row>
    <row r="92" spans="1:34" x14ac:dyDescent="0.3">
      <c r="A92" s="75" t="s">
        <v>2163</v>
      </c>
      <c r="B92" s="19" t="s">
        <v>2312</v>
      </c>
      <c r="C92" s="19" t="s">
        <v>2313</v>
      </c>
      <c r="D92" s="20">
        <v>45559</v>
      </c>
      <c r="E92" s="21">
        <v>296500</v>
      </c>
      <c r="F92" s="19" t="s">
        <v>32</v>
      </c>
      <c r="G92" s="19" t="s">
        <v>66</v>
      </c>
      <c r="H92" s="21">
        <v>296500</v>
      </c>
      <c r="I92" s="21">
        <v>80100</v>
      </c>
      <c r="J92" s="22">
        <f t="shared" si="14"/>
        <v>27.015177065767286</v>
      </c>
      <c r="K92" s="21">
        <v>175537</v>
      </c>
      <c r="L92" s="21">
        <f>H92-139567</f>
        <v>156933</v>
      </c>
      <c r="M92" s="21">
        <v>35970</v>
      </c>
      <c r="N92" s="67">
        <f t="shared" si="15"/>
        <v>0.12131534569983136</v>
      </c>
      <c r="O92" s="23">
        <v>74.55</v>
      </c>
      <c r="P92" s="24">
        <v>230.79</v>
      </c>
      <c r="Q92" s="25">
        <v>1.5</v>
      </c>
      <c r="R92" s="25">
        <v>1.05</v>
      </c>
      <c r="S92" s="21">
        <f t="shared" si="16"/>
        <v>2105.0704225352115</v>
      </c>
      <c r="T92" s="21">
        <f t="shared" si="17"/>
        <v>104622</v>
      </c>
      <c r="U92" s="26">
        <f t="shared" si="18"/>
        <v>2.4017906336088153</v>
      </c>
      <c r="V92" s="25">
        <v>85</v>
      </c>
      <c r="W92" s="25">
        <f t="shared" si="19"/>
        <v>59300</v>
      </c>
      <c r="X92" s="16">
        <f t="shared" si="20"/>
        <v>0.56680239337806582</v>
      </c>
      <c r="Y92" s="27" t="s">
        <v>2162</v>
      </c>
      <c r="Z92" s="19" t="s">
        <v>35</v>
      </c>
      <c r="AA92" s="19" t="s">
        <v>2314</v>
      </c>
      <c r="AB92" s="19" t="s">
        <v>2163</v>
      </c>
      <c r="AC92" s="19">
        <v>0</v>
      </c>
      <c r="AD92" s="19">
        <v>0</v>
      </c>
      <c r="AE92" s="19" t="s">
        <v>42</v>
      </c>
      <c r="AF92" s="19" t="s">
        <v>43</v>
      </c>
      <c r="AG92" s="19" t="s">
        <v>38</v>
      </c>
      <c r="AH92" s="19"/>
    </row>
    <row r="93" spans="1:34" x14ac:dyDescent="0.3">
      <c r="A93" s="74" t="s">
        <v>2664</v>
      </c>
      <c r="B93" s="10" t="s">
        <v>2665</v>
      </c>
      <c r="C93" s="10" t="s">
        <v>2666</v>
      </c>
      <c r="D93" s="11">
        <v>45181</v>
      </c>
      <c r="E93" s="12">
        <v>300000</v>
      </c>
      <c r="F93" s="10" t="s">
        <v>32</v>
      </c>
      <c r="G93" s="10" t="s">
        <v>33</v>
      </c>
      <c r="H93" s="12">
        <v>300000</v>
      </c>
      <c r="I93" s="12">
        <v>69500</v>
      </c>
      <c r="J93" s="13">
        <f t="shared" si="14"/>
        <v>23.166666666666664</v>
      </c>
      <c r="K93" s="12">
        <v>136661</v>
      </c>
      <c r="L93" s="12">
        <f>H93-96461</f>
        <v>203539</v>
      </c>
      <c r="M93" s="12">
        <v>40200</v>
      </c>
      <c r="N93" s="66">
        <f t="shared" si="15"/>
        <v>0.13400000000000001</v>
      </c>
      <c r="O93" s="14">
        <v>0</v>
      </c>
      <c r="P93" s="15">
        <v>0</v>
      </c>
      <c r="Q93" s="16">
        <v>2.0099999999999998</v>
      </c>
      <c r="R93" s="16">
        <v>2.0099999999999998</v>
      </c>
      <c r="S93" s="12" t="e">
        <f t="shared" si="16"/>
        <v>#DIV/0!</v>
      </c>
      <c r="T93" s="12">
        <f t="shared" si="17"/>
        <v>101263.184079602</v>
      </c>
      <c r="U93" s="17">
        <f t="shared" si="18"/>
        <v>2.3246828301102385</v>
      </c>
      <c r="V93" s="16">
        <v>0</v>
      </c>
      <c r="W93" s="16">
        <f t="shared" si="19"/>
        <v>60000</v>
      </c>
      <c r="X93" s="16">
        <f t="shared" si="20"/>
        <v>0.59251543930155892</v>
      </c>
      <c r="Y93" s="18" t="s">
        <v>2663</v>
      </c>
      <c r="Z93" s="10" t="s">
        <v>35</v>
      </c>
      <c r="AA93" s="10" t="s">
        <v>35</v>
      </c>
      <c r="AB93" s="10" t="s">
        <v>2664</v>
      </c>
      <c r="AC93" s="10">
        <v>0</v>
      </c>
      <c r="AD93" s="10">
        <v>0</v>
      </c>
      <c r="AE93" s="10" t="s">
        <v>42</v>
      </c>
      <c r="AF93" s="10" t="s">
        <v>43</v>
      </c>
      <c r="AG93" s="10" t="s">
        <v>38</v>
      </c>
      <c r="AH93" s="10"/>
    </row>
    <row r="94" spans="1:34" x14ac:dyDescent="0.3">
      <c r="A94" s="75" t="s">
        <v>2200</v>
      </c>
      <c r="B94" s="19" t="s">
        <v>2205</v>
      </c>
      <c r="C94" s="19" t="s">
        <v>2206</v>
      </c>
      <c r="D94" s="20">
        <v>45072</v>
      </c>
      <c r="E94" s="21">
        <v>170000</v>
      </c>
      <c r="F94" s="19" t="s">
        <v>32</v>
      </c>
      <c r="G94" s="19" t="s">
        <v>33</v>
      </c>
      <c r="H94" s="21">
        <v>170000</v>
      </c>
      <c r="I94" s="21">
        <v>58600</v>
      </c>
      <c r="J94" s="22">
        <f t="shared" si="14"/>
        <v>34.470588235294116</v>
      </c>
      <c r="K94" s="21">
        <v>146224</v>
      </c>
      <c r="L94" s="21">
        <f>H94-123465</f>
        <v>46535</v>
      </c>
      <c r="M94" s="21">
        <v>22759</v>
      </c>
      <c r="N94" s="67">
        <f t="shared" si="15"/>
        <v>0.13387647058823529</v>
      </c>
      <c r="O94" s="23">
        <v>133.09</v>
      </c>
      <c r="P94" s="24">
        <v>305</v>
      </c>
      <c r="Q94" s="25">
        <v>0.92400000000000004</v>
      </c>
      <c r="R94" s="25">
        <v>0.92400000000000004</v>
      </c>
      <c r="S94" s="21">
        <f t="shared" si="16"/>
        <v>349.65061236757083</v>
      </c>
      <c r="T94" s="21">
        <f t="shared" si="17"/>
        <v>50362.554112554113</v>
      </c>
      <c r="U94" s="26">
        <f t="shared" si="18"/>
        <v>1.1561651540990383</v>
      </c>
      <c r="V94" s="25">
        <v>132</v>
      </c>
      <c r="W94" s="25">
        <f t="shared" si="19"/>
        <v>34000</v>
      </c>
      <c r="X94" s="16">
        <f t="shared" si="20"/>
        <v>0.67510475985817131</v>
      </c>
      <c r="Y94" s="27" t="s">
        <v>2199</v>
      </c>
      <c r="Z94" s="19" t="s">
        <v>35</v>
      </c>
      <c r="AA94" s="19" t="s">
        <v>35</v>
      </c>
      <c r="AB94" s="19" t="s">
        <v>2200</v>
      </c>
      <c r="AC94" s="19">
        <v>0</v>
      </c>
      <c r="AD94" s="19">
        <v>1</v>
      </c>
      <c r="AE94" s="19" t="s">
        <v>42</v>
      </c>
      <c r="AF94" s="19" t="s">
        <v>43</v>
      </c>
      <c r="AG94" s="19" t="s">
        <v>38</v>
      </c>
      <c r="AH94" s="19" t="s">
        <v>92</v>
      </c>
    </row>
    <row r="95" spans="1:34" x14ac:dyDescent="0.3">
      <c r="A95" s="74" t="s">
        <v>2163</v>
      </c>
      <c r="B95" s="10" t="s">
        <v>2164</v>
      </c>
      <c r="C95" s="10" t="s">
        <v>2165</v>
      </c>
      <c r="D95" s="11">
        <v>45278</v>
      </c>
      <c r="E95" s="12">
        <v>260000</v>
      </c>
      <c r="F95" s="10" t="s">
        <v>32</v>
      </c>
      <c r="G95" s="10" t="s">
        <v>33</v>
      </c>
      <c r="H95" s="12">
        <v>260000</v>
      </c>
      <c r="I95" s="12">
        <v>67700</v>
      </c>
      <c r="J95" s="13">
        <f t="shared" si="14"/>
        <v>26.038461538461537</v>
      </c>
      <c r="K95" s="12">
        <v>204445</v>
      </c>
      <c r="L95" s="12">
        <f>H95-170475</f>
        <v>89525</v>
      </c>
      <c r="M95" s="12">
        <v>33970</v>
      </c>
      <c r="N95" s="66">
        <f t="shared" si="15"/>
        <v>0.13065384615384615</v>
      </c>
      <c r="O95" s="14">
        <v>143.93</v>
      </c>
      <c r="P95" s="15">
        <v>436.47</v>
      </c>
      <c r="Q95" s="16">
        <v>1.1970000000000001</v>
      </c>
      <c r="R95" s="16">
        <v>1.1970000000000001</v>
      </c>
      <c r="S95" s="12">
        <f t="shared" si="16"/>
        <v>622.00375182380321</v>
      </c>
      <c r="T95" s="12">
        <f t="shared" si="17"/>
        <v>74791.144527986631</v>
      </c>
      <c r="U95" s="17">
        <f t="shared" si="18"/>
        <v>1.7169684235074985</v>
      </c>
      <c r="V95" s="16">
        <v>119</v>
      </c>
      <c r="W95" s="16">
        <f t="shared" si="19"/>
        <v>52000</v>
      </c>
      <c r="X95" s="16">
        <f t="shared" si="20"/>
        <v>0.69526947779949733</v>
      </c>
      <c r="Y95" s="18" t="s">
        <v>2162</v>
      </c>
      <c r="Z95" s="10" t="s">
        <v>35</v>
      </c>
      <c r="AA95" s="10" t="s">
        <v>35</v>
      </c>
      <c r="AB95" s="10" t="s">
        <v>2163</v>
      </c>
      <c r="AC95" s="10">
        <v>0</v>
      </c>
      <c r="AD95" s="10">
        <v>1</v>
      </c>
      <c r="AE95" s="10" t="s">
        <v>42</v>
      </c>
      <c r="AF95" s="10" t="s">
        <v>43</v>
      </c>
      <c r="AG95" s="10" t="s">
        <v>38</v>
      </c>
      <c r="AH95" s="10" t="s">
        <v>92</v>
      </c>
    </row>
    <row r="96" spans="1:34" x14ac:dyDescent="0.3">
      <c r="A96" s="75" t="s">
        <v>2664</v>
      </c>
      <c r="B96" s="19" t="s">
        <v>2661</v>
      </c>
      <c r="C96" s="19" t="s">
        <v>2662</v>
      </c>
      <c r="D96" s="20">
        <v>45048</v>
      </c>
      <c r="E96" s="21">
        <v>65000</v>
      </c>
      <c r="F96" s="19" t="s">
        <v>32</v>
      </c>
      <c r="G96" s="19" t="s">
        <v>33</v>
      </c>
      <c r="H96" s="21">
        <v>65000</v>
      </c>
      <c r="I96" s="21">
        <v>35800</v>
      </c>
      <c r="J96" s="22">
        <f t="shared" si="14"/>
        <v>55.07692307692308</v>
      </c>
      <c r="K96" s="21">
        <v>95400</v>
      </c>
      <c r="L96" s="21">
        <f>H96-0</f>
        <v>65000</v>
      </c>
      <c r="M96" s="21">
        <v>95400</v>
      </c>
      <c r="N96" s="67">
        <f t="shared" si="15"/>
        <v>1.4676923076923076</v>
      </c>
      <c r="O96" s="23">
        <v>0</v>
      </c>
      <c r="P96" s="24">
        <v>0</v>
      </c>
      <c r="Q96" s="25">
        <v>4.7699999999999996</v>
      </c>
      <c r="R96" s="25">
        <v>4.7699999999999996</v>
      </c>
      <c r="S96" s="21" t="e">
        <f t="shared" si="16"/>
        <v>#DIV/0!</v>
      </c>
      <c r="T96" s="21">
        <f t="shared" si="17"/>
        <v>13626.834381551364</v>
      </c>
      <c r="U96" s="26">
        <f t="shared" si="18"/>
        <v>0.31282907212009559</v>
      </c>
      <c r="V96" s="25">
        <v>0</v>
      </c>
      <c r="W96" s="25">
        <f t="shared" si="19"/>
        <v>13000</v>
      </c>
      <c r="X96" s="16">
        <f t="shared" si="20"/>
        <v>0.95399999999999996</v>
      </c>
      <c r="Y96" s="27" t="s">
        <v>2663</v>
      </c>
      <c r="Z96" s="19" t="s">
        <v>35</v>
      </c>
      <c r="AA96" s="19" t="s">
        <v>35</v>
      </c>
      <c r="AB96" s="19" t="s">
        <v>2664</v>
      </c>
      <c r="AC96" s="19">
        <v>0</v>
      </c>
      <c r="AD96" s="19">
        <v>0</v>
      </c>
      <c r="AE96" s="19" t="s">
        <v>37</v>
      </c>
      <c r="AF96" s="19" t="s">
        <v>43</v>
      </c>
      <c r="AG96" s="19" t="s">
        <v>61</v>
      </c>
      <c r="AH96" s="19"/>
    </row>
    <row r="97" spans="1:34" x14ac:dyDescent="0.3">
      <c r="A97" s="74" t="s">
        <v>1773</v>
      </c>
      <c r="B97" s="10" t="s">
        <v>1998</v>
      </c>
      <c r="C97" s="10" t="s">
        <v>1999</v>
      </c>
      <c r="D97" s="11">
        <v>45177</v>
      </c>
      <c r="E97" s="12">
        <v>240000</v>
      </c>
      <c r="F97" s="10" t="s">
        <v>32</v>
      </c>
      <c r="G97" s="10" t="s">
        <v>33</v>
      </c>
      <c r="H97" s="12">
        <v>240000</v>
      </c>
      <c r="I97" s="12">
        <v>69800</v>
      </c>
      <c r="J97" s="13">
        <f t="shared" si="14"/>
        <v>29.083333333333332</v>
      </c>
      <c r="K97" s="12">
        <v>188691</v>
      </c>
      <c r="L97" s="12">
        <f>H97-148691</f>
        <v>91309</v>
      </c>
      <c r="M97" s="12">
        <v>40000</v>
      </c>
      <c r="N97" s="66">
        <f t="shared" si="15"/>
        <v>0.16666666666666666</v>
      </c>
      <c r="O97" s="14">
        <v>0</v>
      </c>
      <c r="P97" s="15">
        <v>0</v>
      </c>
      <c r="Q97" s="16">
        <v>2</v>
      </c>
      <c r="R97" s="16">
        <v>2</v>
      </c>
      <c r="S97" s="12" t="e">
        <f t="shared" si="16"/>
        <v>#DIV/0!</v>
      </c>
      <c r="T97" s="12">
        <f t="shared" si="17"/>
        <v>45654.5</v>
      </c>
      <c r="U97" s="17">
        <f t="shared" si="18"/>
        <v>1.0480831037649219</v>
      </c>
      <c r="V97" s="16">
        <v>0</v>
      </c>
      <c r="W97" s="16">
        <f t="shared" si="19"/>
        <v>48000</v>
      </c>
      <c r="X97" s="16">
        <f t="shared" si="20"/>
        <v>1.0513750013689778</v>
      </c>
      <c r="Y97" s="18" t="s">
        <v>1941</v>
      </c>
      <c r="Z97" s="10" t="s">
        <v>35</v>
      </c>
      <c r="AA97" s="10" t="s">
        <v>35</v>
      </c>
      <c r="AB97" s="10" t="s">
        <v>1773</v>
      </c>
      <c r="AC97" s="10">
        <v>0</v>
      </c>
      <c r="AD97" s="10">
        <v>1</v>
      </c>
      <c r="AE97" s="10" t="s">
        <v>42</v>
      </c>
      <c r="AF97" s="10" t="s">
        <v>43</v>
      </c>
      <c r="AG97" s="10" t="s">
        <v>38</v>
      </c>
      <c r="AH97" s="10"/>
    </row>
    <row r="98" spans="1:34" x14ac:dyDescent="0.3">
      <c r="A98" s="75" t="s">
        <v>2703</v>
      </c>
      <c r="B98" s="19" t="s">
        <v>2704</v>
      </c>
      <c r="C98" s="19" t="s">
        <v>2705</v>
      </c>
      <c r="D98" s="20">
        <v>45023</v>
      </c>
      <c r="E98" s="21">
        <v>259900</v>
      </c>
      <c r="F98" s="19" t="s">
        <v>32</v>
      </c>
      <c r="G98" s="19" t="s">
        <v>33</v>
      </c>
      <c r="H98" s="21">
        <v>259900</v>
      </c>
      <c r="I98" s="21">
        <v>67500</v>
      </c>
      <c r="J98" s="22">
        <f t="shared" si="14"/>
        <v>25.971527510580994</v>
      </c>
      <c r="K98" s="21">
        <v>165607</v>
      </c>
      <c r="L98" s="21">
        <f>H98-107407</f>
        <v>152493</v>
      </c>
      <c r="M98" s="21">
        <v>58200</v>
      </c>
      <c r="N98" s="67">
        <f t="shared" si="15"/>
        <v>0.22393228164678722</v>
      </c>
      <c r="O98" s="23">
        <v>0</v>
      </c>
      <c r="P98" s="24">
        <v>0</v>
      </c>
      <c r="Q98" s="25">
        <v>3.88</v>
      </c>
      <c r="R98" s="25">
        <v>3.88</v>
      </c>
      <c r="S98" s="21" t="e">
        <f t="shared" si="16"/>
        <v>#DIV/0!</v>
      </c>
      <c r="T98" s="21">
        <f t="shared" si="17"/>
        <v>39302.319587628866</v>
      </c>
      <c r="U98" s="26">
        <f t="shared" si="18"/>
        <v>0.90225710715401441</v>
      </c>
      <c r="V98" s="25">
        <v>0</v>
      </c>
      <c r="W98" s="25">
        <f t="shared" si="19"/>
        <v>51980</v>
      </c>
      <c r="X98" s="16">
        <f t="shared" si="20"/>
        <v>1.322568249034382</v>
      </c>
      <c r="Y98" s="27" t="s">
        <v>2702</v>
      </c>
      <c r="Z98" s="19" t="s">
        <v>35</v>
      </c>
      <c r="AA98" s="19" t="s">
        <v>35</v>
      </c>
      <c r="AB98" s="19" t="s">
        <v>2703</v>
      </c>
      <c r="AC98" s="19">
        <v>0</v>
      </c>
      <c r="AD98" s="19">
        <v>0</v>
      </c>
      <c r="AE98" s="19" t="s">
        <v>42</v>
      </c>
      <c r="AF98" s="19" t="s">
        <v>43</v>
      </c>
      <c r="AG98" s="19" t="s">
        <v>38</v>
      </c>
      <c r="AH98" s="19"/>
    </row>
    <row r="99" spans="1:34" x14ac:dyDescent="0.3">
      <c r="A99" s="75" t="s">
        <v>2249</v>
      </c>
      <c r="B99" s="19" t="s">
        <v>2258</v>
      </c>
      <c r="C99" s="19" t="s">
        <v>2259</v>
      </c>
      <c r="D99" s="20">
        <v>45170</v>
      </c>
      <c r="E99" s="21">
        <v>280000</v>
      </c>
      <c r="F99" s="19" t="s">
        <v>32</v>
      </c>
      <c r="G99" s="19" t="s">
        <v>33</v>
      </c>
      <c r="H99" s="21">
        <v>280000</v>
      </c>
      <c r="I99" s="21">
        <v>112300</v>
      </c>
      <c r="J99" s="22">
        <f t="shared" si="14"/>
        <v>40.107142857142861</v>
      </c>
      <c r="K99" s="21">
        <v>258538</v>
      </c>
      <c r="L99" s="21">
        <f>H99-227084</f>
        <v>52916</v>
      </c>
      <c r="M99" s="21">
        <v>31454</v>
      </c>
      <c r="N99" s="67">
        <f t="shared" si="15"/>
        <v>0.11233571428571429</v>
      </c>
      <c r="O99" s="23">
        <v>144.28</v>
      </c>
      <c r="P99" s="24">
        <v>722.27</v>
      </c>
      <c r="Q99" s="25">
        <v>1.665</v>
      </c>
      <c r="R99" s="25">
        <v>1.665</v>
      </c>
      <c r="S99" s="21">
        <f t="shared" si="16"/>
        <v>366.75907956750763</v>
      </c>
      <c r="T99" s="21">
        <f t="shared" si="17"/>
        <v>31781.381381381379</v>
      </c>
      <c r="U99" s="26">
        <f t="shared" si="18"/>
        <v>0.72960012353951742</v>
      </c>
      <c r="V99" s="25">
        <v>100.44</v>
      </c>
      <c r="W99" s="25">
        <f t="shared" si="19"/>
        <v>56000</v>
      </c>
      <c r="X99" s="16">
        <f t="shared" si="20"/>
        <v>1.7620379469347647</v>
      </c>
      <c r="Y99" s="27" t="s">
        <v>2248</v>
      </c>
      <c r="Z99" s="19" t="s">
        <v>35</v>
      </c>
      <c r="AA99" s="19" t="s">
        <v>35</v>
      </c>
      <c r="AB99" s="19" t="s">
        <v>2249</v>
      </c>
      <c r="AC99" s="19">
        <v>0</v>
      </c>
      <c r="AD99" s="19">
        <v>1</v>
      </c>
      <c r="AE99" s="19" t="s">
        <v>37</v>
      </c>
      <c r="AF99" s="19" t="s">
        <v>43</v>
      </c>
      <c r="AG99" s="19" t="s">
        <v>38</v>
      </c>
      <c r="AH99" s="19" t="s">
        <v>92</v>
      </c>
    </row>
    <row r="100" spans="1:34" ht="15" thickBot="1" x14ac:dyDescent="0.35">
      <c r="A100" s="74" t="s">
        <v>1773</v>
      </c>
      <c r="B100" s="10" t="s">
        <v>1996</v>
      </c>
      <c r="C100" s="10" t="s">
        <v>1997</v>
      </c>
      <c r="D100" s="11">
        <v>45660</v>
      </c>
      <c r="E100" s="12">
        <v>190000</v>
      </c>
      <c r="F100" s="10" t="s">
        <v>32</v>
      </c>
      <c r="G100" s="10" t="s">
        <v>33</v>
      </c>
      <c r="H100" s="12">
        <v>190000</v>
      </c>
      <c r="I100" s="12">
        <v>112100</v>
      </c>
      <c r="J100" s="13">
        <f t="shared" si="14"/>
        <v>59</v>
      </c>
      <c r="K100" s="12">
        <v>179400</v>
      </c>
      <c r="L100" s="12">
        <f>H100-0</f>
        <v>190000</v>
      </c>
      <c r="M100" s="12">
        <v>179400</v>
      </c>
      <c r="N100" s="66">
        <f t="shared" si="15"/>
        <v>0.9442105263157895</v>
      </c>
      <c r="O100" s="14">
        <v>0</v>
      </c>
      <c r="P100" s="15">
        <v>0</v>
      </c>
      <c r="Q100" s="16">
        <v>8.9700000000000006</v>
      </c>
      <c r="R100" s="16">
        <v>8.9700000000000006</v>
      </c>
      <c r="S100" s="12" t="e">
        <f t="shared" si="16"/>
        <v>#DIV/0!</v>
      </c>
      <c r="T100" s="12">
        <f t="shared" si="17"/>
        <v>21181.716833890747</v>
      </c>
      <c r="U100" s="17">
        <f t="shared" si="18"/>
        <v>0.48626530839969573</v>
      </c>
      <c r="V100" s="16">
        <v>0</v>
      </c>
      <c r="W100" s="16">
        <f t="shared" si="19"/>
        <v>38000</v>
      </c>
      <c r="X100" s="16">
        <f t="shared" si="20"/>
        <v>1.794</v>
      </c>
      <c r="Y100" s="18" t="s">
        <v>1941</v>
      </c>
      <c r="Z100" s="10" t="s">
        <v>35</v>
      </c>
      <c r="AA100" s="10" t="s">
        <v>35</v>
      </c>
      <c r="AB100" s="10" t="s">
        <v>1773</v>
      </c>
      <c r="AC100" s="10">
        <v>0</v>
      </c>
      <c r="AD100" s="10">
        <v>1</v>
      </c>
      <c r="AE100" s="10" t="s">
        <v>37</v>
      </c>
      <c r="AF100" s="10" t="s">
        <v>35</v>
      </c>
      <c r="AG100" s="10" t="s">
        <v>61</v>
      </c>
      <c r="AH100" s="10"/>
    </row>
    <row r="101" spans="1:34" ht="15" thickTop="1" x14ac:dyDescent="0.3">
      <c r="A101" s="76"/>
      <c r="B101" s="37"/>
      <c r="C101" s="37"/>
      <c r="D101" s="38" t="s">
        <v>2876</v>
      </c>
      <c r="E101" s="39">
        <f>+SUM(E78:E100)</f>
        <v>4192900</v>
      </c>
      <c r="F101" s="37"/>
      <c r="G101" s="37"/>
      <c r="H101" s="39">
        <f>+SUM(H78:H100)</f>
        <v>4192900</v>
      </c>
      <c r="I101" s="39">
        <f>+SUM(I78:I100)</f>
        <v>1501100</v>
      </c>
      <c r="J101" s="40"/>
      <c r="K101" s="39">
        <f>+SUM(K78:K100)</f>
        <v>3457211</v>
      </c>
      <c r="L101" s="39">
        <f>+SUM(L78:L100)</f>
        <v>1635742</v>
      </c>
      <c r="M101" s="39">
        <f>+SUM(M78:M100)</f>
        <v>900053</v>
      </c>
      <c r="N101" s="81">
        <f>AVERAGE(N78:N100)</f>
        <v>0.43375833986018542</v>
      </c>
      <c r="O101" s="41">
        <f>+SUM(O78:O100)</f>
        <v>1573.28</v>
      </c>
      <c r="P101" s="42"/>
      <c r="Q101" s="43">
        <f>+SUM(Q78:Q100)</f>
        <v>41.39</v>
      </c>
      <c r="R101" s="43">
        <f>+SUM(R78:R100)</f>
        <v>40.500999999999998</v>
      </c>
      <c r="S101" s="39"/>
      <c r="T101" s="39"/>
      <c r="U101" s="44"/>
      <c r="V101" s="43"/>
      <c r="W101" s="82">
        <f>AVERAGE(W78:W100)</f>
        <v>36460</v>
      </c>
      <c r="X101" s="83">
        <f>AVERAGE(X78:X100)</f>
        <v>0.51436017936886069</v>
      </c>
      <c r="Y101" s="45"/>
      <c r="Z101" s="37"/>
      <c r="AA101" s="37"/>
      <c r="AB101" s="37"/>
      <c r="AC101" s="37"/>
      <c r="AD101" s="37"/>
      <c r="AE101" s="37"/>
      <c r="AF101" s="37"/>
      <c r="AG101" s="37"/>
      <c r="AH101" s="37"/>
    </row>
    <row r="102" spans="1:34" x14ac:dyDescent="0.3">
      <c r="A102" s="77"/>
      <c r="B102" s="28"/>
      <c r="C102" s="28"/>
      <c r="D102" s="29"/>
      <c r="E102" s="30"/>
      <c r="F102" s="28"/>
      <c r="G102" s="28"/>
      <c r="H102" s="30"/>
      <c r="I102" s="30" t="s">
        <v>2877</v>
      </c>
      <c r="J102" s="31">
        <f>I101/H101*100</f>
        <v>35.800996923370462</v>
      </c>
      <c r="K102" s="30"/>
      <c r="L102" s="30"/>
      <c r="M102" s="30" t="s">
        <v>2879</v>
      </c>
      <c r="N102" s="79"/>
      <c r="O102" s="32"/>
      <c r="P102" s="33"/>
      <c r="Q102" s="34" t="s">
        <v>2879</v>
      </c>
      <c r="R102" s="34"/>
      <c r="S102" s="30"/>
      <c r="T102" s="30" t="s">
        <v>2879</v>
      </c>
      <c r="U102" s="35"/>
      <c r="V102" s="34"/>
      <c r="W102" s="63"/>
      <c r="X102" s="68"/>
      <c r="Y102" s="36"/>
      <c r="Z102" s="28"/>
      <c r="AA102" s="28"/>
      <c r="AB102" s="28"/>
      <c r="AC102" s="28"/>
      <c r="AD102" s="28"/>
      <c r="AE102" s="28"/>
      <c r="AF102" s="28"/>
      <c r="AG102" s="28"/>
      <c r="AH102" s="28"/>
    </row>
    <row r="103" spans="1:34" x14ac:dyDescent="0.3">
      <c r="A103" s="78"/>
      <c r="B103" s="46"/>
      <c r="C103" s="46"/>
      <c r="D103" s="47"/>
      <c r="E103" s="48"/>
      <c r="F103" s="46"/>
      <c r="G103" s="46"/>
      <c r="H103" s="48"/>
      <c r="I103" s="48" t="s">
        <v>2878</v>
      </c>
      <c r="J103" s="49">
        <f>STDEV(J78:J100)</f>
        <v>39.993234321255095</v>
      </c>
      <c r="K103" s="48"/>
      <c r="L103" s="48"/>
      <c r="M103" s="48" t="s">
        <v>2880</v>
      </c>
      <c r="N103" s="80"/>
      <c r="O103" s="54">
        <f>L101/O101</f>
        <v>1039.7017695515103</v>
      </c>
      <c r="P103" s="50"/>
      <c r="Q103" s="51" t="s">
        <v>2881</v>
      </c>
      <c r="R103" s="85">
        <f>L101/Q101</f>
        <v>39520.222275912056</v>
      </c>
      <c r="S103" s="48"/>
      <c r="T103" s="48" t="s">
        <v>2882</v>
      </c>
      <c r="U103" s="52">
        <f>L101/Q101/43560</f>
        <v>0.90725946455261841</v>
      </c>
      <c r="V103" s="51"/>
      <c r="W103" s="64"/>
      <c r="X103" s="69"/>
      <c r="Y103" s="53"/>
      <c r="Z103" s="46"/>
      <c r="AA103" s="46"/>
      <c r="AB103" s="46"/>
      <c r="AC103" s="46"/>
      <c r="AD103" s="46"/>
      <c r="AE103" s="46"/>
      <c r="AF103" s="46"/>
      <c r="AG103" s="46"/>
      <c r="AH103" s="46"/>
    </row>
    <row r="105" spans="1:34" x14ac:dyDescent="0.3">
      <c r="A105" s="55" t="s">
        <v>3092</v>
      </c>
    </row>
    <row r="106" spans="1:34" x14ac:dyDescent="0.3">
      <c r="A106" s="74" t="s">
        <v>2200</v>
      </c>
      <c r="B106" s="10" t="s">
        <v>2203</v>
      </c>
      <c r="C106" s="10" t="s">
        <v>2204</v>
      </c>
      <c r="D106" s="11">
        <v>45238</v>
      </c>
      <c r="E106" s="12">
        <v>215000</v>
      </c>
      <c r="F106" s="10" t="s">
        <v>32</v>
      </c>
      <c r="G106" s="10" t="s">
        <v>33</v>
      </c>
      <c r="H106" s="12">
        <v>215000</v>
      </c>
      <c r="I106" s="12">
        <v>95300</v>
      </c>
      <c r="J106" s="13">
        <f>I106/H106*100</f>
        <v>44.325581395348841</v>
      </c>
      <c r="K106" s="12">
        <v>225038</v>
      </c>
      <c r="L106" s="12">
        <f>H106-202279</f>
        <v>12721</v>
      </c>
      <c r="M106" s="12">
        <v>22759</v>
      </c>
      <c r="N106" s="66">
        <f>M106/E106</f>
        <v>0.10585581395348838</v>
      </c>
      <c r="O106" s="14">
        <v>133.09</v>
      </c>
      <c r="P106" s="15">
        <v>305</v>
      </c>
      <c r="Q106" s="16">
        <v>0.92400000000000004</v>
      </c>
      <c r="R106" s="16">
        <v>0.92400000000000004</v>
      </c>
      <c r="S106" s="12">
        <f>L106/O106</f>
        <v>95.581937035089041</v>
      </c>
      <c r="T106" s="12">
        <f>L106/Q106</f>
        <v>13767.316017316016</v>
      </c>
      <c r="U106" s="17">
        <f>L106/Q106/43560</f>
        <v>0.31605408671524371</v>
      </c>
      <c r="V106" s="16">
        <v>132</v>
      </c>
      <c r="W106" s="16">
        <f>0.2*E106</f>
        <v>43000</v>
      </c>
      <c r="X106" s="16">
        <f>W106/T106</f>
        <v>3.1233393601131989</v>
      </c>
      <c r="Y106" s="18" t="s">
        <v>2199</v>
      </c>
      <c r="Z106" s="10" t="s">
        <v>35</v>
      </c>
      <c r="AA106" s="10" t="s">
        <v>35</v>
      </c>
      <c r="AB106" s="10" t="s">
        <v>2200</v>
      </c>
      <c r="AC106" s="10">
        <v>0</v>
      </c>
      <c r="AD106" s="10">
        <v>1</v>
      </c>
      <c r="AE106" s="10" t="s">
        <v>42</v>
      </c>
      <c r="AF106" s="10" t="s">
        <v>43</v>
      </c>
      <c r="AG106" s="10" t="s">
        <v>38</v>
      </c>
      <c r="AH106" s="10" t="s">
        <v>92</v>
      </c>
    </row>
    <row r="107" spans="1:34" x14ac:dyDescent="0.3">
      <c r="A107" s="75" t="s">
        <v>2249</v>
      </c>
      <c r="B107" s="19" t="s">
        <v>2246</v>
      </c>
      <c r="C107" s="19" t="s">
        <v>2247</v>
      </c>
      <c r="D107" s="20">
        <v>45105</v>
      </c>
      <c r="E107" s="21">
        <v>430000</v>
      </c>
      <c r="F107" s="19" t="s">
        <v>32</v>
      </c>
      <c r="G107" s="19" t="s">
        <v>33</v>
      </c>
      <c r="H107" s="21">
        <v>430000</v>
      </c>
      <c r="I107" s="21">
        <v>205400</v>
      </c>
      <c r="J107" s="22">
        <f>I107/H107*100</f>
        <v>47.767441860465112</v>
      </c>
      <c r="K107" s="21">
        <v>483960</v>
      </c>
      <c r="L107" s="21">
        <f>H107-417920</f>
        <v>12080</v>
      </c>
      <c r="M107" s="21">
        <v>66040</v>
      </c>
      <c r="N107" s="67">
        <f>M107/E107</f>
        <v>0.15358139534883722</v>
      </c>
      <c r="O107" s="23">
        <v>0</v>
      </c>
      <c r="P107" s="24">
        <v>0</v>
      </c>
      <c r="Q107" s="25">
        <v>3.302</v>
      </c>
      <c r="R107" s="25">
        <v>3.302</v>
      </c>
      <c r="S107" s="21" t="e">
        <f>L107/O107</f>
        <v>#DIV/0!</v>
      </c>
      <c r="T107" s="21">
        <f>L107/Q107</f>
        <v>3658.3888552392491</v>
      </c>
      <c r="U107" s="26">
        <f>L107/Q107/43560</f>
        <v>8.3985051773169173E-2</v>
      </c>
      <c r="V107" s="25">
        <v>0</v>
      </c>
      <c r="W107" s="25">
        <f>0.2*E107</f>
        <v>86000</v>
      </c>
      <c r="X107" s="16">
        <f>W107/T107</f>
        <v>23.507615894039734</v>
      </c>
      <c r="Y107" s="27" t="s">
        <v>2248</v>
      </c>
      <c r="Z107" s="19" t="s">
        <v>35</v>
      </c>
      <c r="AA107" s="19" t="s">
        <v>35</v>
      </c>
      <c r="AB107" s="19" t="s">
        <v>2249</v>
      </c>
      <c r="AC107" s="19">
        <v>0</v>
      </c>
      <c r="AD107" s="19">
        <v>1</v>
      </c>
      <c r="AE107" s="19" t="s">
        <v>37</v>
      </c>
      <c r="AF107" s="19" t="s">
        <v>43</v>
      </c>
      <c r="AG107" s="19" t="s">
        <v>38</v>
      </c>
      <c r="AH107" s="19"/>
    </row>
    <row r="108" spans="1:34" x14ac:dyDescent="0.3">
      <c r="A108" s="74" t="s">
        <v>2787</v>
      </c>
      <c r="B108" s="10" t="s">
        <v>2784</v>
      </c>
      <c r="C108" s="10" t="s">
        <v>2785</v>
      </c>
      <c r="D108" s="11">
        <v>45530</v>
      </c>
      <c r="E108" s="12">
        <v>232000</v>
      </c>
      <c r="F108" s="10" t="s">
        <v>32</v>
      </c>
      <c r="G108" s="10" t="s">
        <v>33</v>
      </c>
      <c r="H108" s="12">
        <v>232000</v>
      </c>
      <c r="I108" s="12">
        <v>101400</v>
      </c>
      <c r="J108" s="13">
        <f>I108/H108*100</f>
        <v>43.706896551724142</v>
      </c>
      <c r="K108" s="12">
        <v>228773</v>
      </c>
      <c r="L108" s="12">
        <f>H108-190373</f>
        <v>41627</v>
      </c>
      <c r="M108" s="12">
        <v>38400</v>
      </c>
      <c r="N108" s="66">
        <f>M108/E108</f>
        <v>0.16551724137931034</v>
      </c>
      <c r="O108" s="14">
        <v>0</v>
      </c>
      <c r="P108" s="15">
        <v>0</v>
      </c>
      <c r="Q108" s="16">
        <v>1.92</v>
      </c>
      <c r="R108" s="16">
        <v>1.92</v>
      </c>
      <c r="S108" s="12" t="e">
        <f>L108/O108</f>
        <v>#DIV/0!</v>
      </c>
      <c r="T108" s="12">
        <f>L108/Q108</f>
        <v>21680.729166666668</v>
      </c>
      <c r="U108" s="17">
        <f>L108/Q108/43560</f>
        <v>0.49772105524946436</v>
      </c>
      <c r="V108" s="16">
        <v>0</v>
      </c>
      <c r="W108" s="16">
        <f>0.2*E108</f>
        <v>46400</v>
      </c>
      <c r="X108" s="16">
        <f>W108/T108</f>
        <v>2.1401494222499817</v>
      </c>
      <c r="Y108" s="18" t="s">
        <v>2786</v>
      </c>
      <c r="Z108" s="10" t="s">
        <v>35</v>
      </c>
      <c r="AA108" s="10" t="s">
        <v>35</v>
      </c>
      <c r="AB108" s="10" t="s">
        <v>2787</v>
      </c>
      <c r="AC108" s="10">
        <v>0</v>
      </c>
      <c r="AD108" s="10">
        <v>0</v>
      </c>
      <c r="AE108" s="10" t="s">
        <v>42</v>
      </c>
      <c r="AF108" s="10" t="s">
        <v>43</v>
      </c>
      <c r="AG108" s="10" t="s">
        <v>38</v>
      </c>
      <c r="AH108" s="10"/>
    </row>
  </sheetData>
  <mergeCells count="2">
    <mergeCell ref="A53:B53"/>
    <mergeCell ref="A76:B76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5">
    <tabColor rgb="FFFF0000"/>
  </sheetPr>
  <dimension ref="A1:AH37"/>
  <sheetViews>
    <sheetView workbookViewId="0">
      <selection activeCell="E7" sqref="E7:M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332031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1773</v>
      </c>
      <c r="B2" s="19" t="s">
        <v>1939</v>
      </c>
      <c r="C2" s="19" t="s">
        <v>1940</v>
      </c>
      <c r="D2" s="20">
        <v>45148</v>
      </c>
      <c r="E2" s="21">
        <v>139900</v>
      </c>
      <c r="F2" s="19" t="s">
        <v>32</v>
      </c>
      <c r="G2" s="19" t="s">
        <v>33</v>
      </c>
      <c r="H2" s="21">
        <v>139900</v>
      </c>
      <c r="I2" s="21">
        <v>36200</v>
      </c>
      <c r="J2" s="22">
        <f t="shared" ref="J2:J3" si="0">I2/H2*100</f>
        <v>25.875625446747673</v>
      </c>
      <c r="K2" s="21">
        <v>108312</v>
      </c>
      <c r="L2" s="21">
        <f>H2-96111</f>
        <v>43789</v>
      </c>
      <c r="M2" s="21">
        <v>12201</v>
      </c>
      <c r="N2" s="67">
        <f t="shared" ref="N2:N3" si="1">M2/E2</f>
        <v>8.7212294496068626E-2</v>
      </c>
      <c r="O2" s="23">
        <v>39.229999999999997</v>
      </c>
      <c r="P2" s="24">
        <v>290</v>
      </c>
      <c r="Q2" s="25">
        <v>0.36599999999999999</v>
      </c>
      <c r="R2" s="25">
        <v>0.36599999999999999</v>
      </c>
      <c r="S2" s="21">
        <f t="shared" ref="S2:S3" si="2">L2/O2</f>
        <v>1116.2120825898548</v>
      </c>
      <c r="T2" s="21">
        <f t="shared" ref="T2:T3" si="3">L2/Q2</f>
        <v>119642.07650273225</v>
      </c>
      <c r="U2" s="26">
        <f t="shared" ref="U2:U3" si="4">L2/Q2/43560</f>
        <v>2.7466041437725495</v>
      </c>
      <c r="V2" s="25">
        <v>55</v>
      </c>
      <c r="W2" s="25">
        <f t="shared" ref="W2:W3" si="5">0.2*E2</f>
        <v>27980</v>
      </c>
      <c r="X2" s="25">
        <f>W2/V2</f>
        <v>508.72727272727275</v>
      </c>
      <c r="Y2" s="27" t="s">
        <v>1941</v>
      </c>
      <c r="Z2" s="19" t="s">
        <v>35</v>
      </c>
      <c r="AA2" s="19" t="s">
        <v>35</v>
      </c>
      <c r="AB2" s="19" t="s">
        <v>1773</v>
      </c>
      <c r="AC2" s="19">
        <v>0</v>
      </c>
      <c r="AD2" s="19">
        <v>1</v>
      </c>
      <c r="AE2" s="19" t="s">
        <v>205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5" t="s">
        <v>1773</v>
      </c>
      <c r="B3" s="19" t="s">
        <v>1771</v>
      </c>
      <c r="C3" s="19" t="s">
        <v>1772</v>
      </c>
      <c r="D3" s="20">
        <v>45036</v>
      </c>
      <c r="E3" s="21">
        <v>312500</v>
      </c>
      <c r="F3" s="19" t="s">
        <v>32</v>
      </c>
      <c r="G3" s="19" t="s">
        <v>33</v>
      </c>
      <c r="H3" s="21">
        <v>312500</v>
      </c>
      <c r="I3" s="21">
        <v>145500</v>
      </c>
      <c r="J3" s="22">
        <f t="shared" si="0"/>
        <v>46.56</v>
      </c>
      <c r="K3" s="21">
        <v>328399</v>
      </c>
      <c r="L3" s="21">
        <f>H3-313389</f>
        <v>-889</v>
      </c>
      <c r="M3" s="21">
        <v>15010</v>
      </c>
      <c r="N3" s="67">
        <f t="shared" si="1"/>
        <v>4.8031999999999998E-2</v>
      </c>
      <c r="O3" s="23">
        <v>48.26</v>
      </c>
      <c r="P3" s="24">
        <v>125</v>
      </c>
      <c r="Q3" s="25">
        <v>0.29599999999999999</v>
      </c>
      <c r="R3" s="25">
        <v>0.29599999999999999</v>
      </c>
      <c r="S3" s="21">
        <f t="shared" si="2"/>
        <v>-18.421052631578949</v>
      </c>
      <c r="T3" s="21">
        <f t="shared" si="3"/>
        <v>-3003.3783783783783</v>
      </c>
      <c r="U3" s="26">
        <f t="shared" si="4"/>
        <v>-6.8948080311716675E-2</v>
      </c>
      <c r="V3" s="25">
        <v>103.05</v>
      </c>
      <c r="W3" s="25">
        <f t="shared" si="5"/>
        <v>62500</v>
      </c>
      <c r="X3" s="25">
        <f>W3/V3</f>
        <v>606.50169820475503</v>
      </c>
      <c r="Y3" s="27" t="s">
        <v>1758</v>
      </c>
      <c r="Z3" s="19" t="s">
        <v>35</v>
      </c>
      <c r="AA3" s="19" t="s">
        <v>35</v>
      </c>
      <c r="AB3" s="19" t="s">
        <v>1773</v>
      </c>
      <c r="AC3" s="19">
        <v>0</v>
      </c>
      <c r="AD3" s="19">
        <v>0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452400</v>
      </c>
      <c r="F4" s="37"/>
      <c r="G4" s="37"/>
      <c r="H4" s="39">
        <f>+SUM(H2:H3)</f>
        <v>452400</v>
      </c>
      <c r="I4" s="39">
        <f>+SUM(I2:I3)</f>
        <v>181700</v>
      </c>
      <c r="J4" s="40"/>
      <c r="K4" s="39">
        <f>+SUM(K2:K3)</f>
        <v>436711</v>
      </c>
      <c r="L4" s="39">
        <f>+SUM(L2:L3)</f>
        <v>42900</v>
      </c>
      <c r="M4" s="39">
        <f>+SUM(M2:M3)</f>
        <v>27211</v>
      </c>
      <c r="N4" s="81">
        <f>AVERAGE(N2:N3)</f>
        <v>6.7622147248034309E-2</v>
      </c>
      <c r="O4" s="41">
        <f>+SUM(O2:O3)</f>
        <v>87.49</v>
      </c>
      <c r="P4" s="42"/>
      <c r="Q4" s="43">
        <f>+SUM(Q2:Q3)</f>
        <v>0.66199999999999992</v>
      </c>
      <c r="R4" s="43">
        <f>+SUM(R2:R3)</f>
        <v>0.66199999999999992</v>
      </c>
      <c r="S4" s="39"/>
      <c r="T4" s="39"/>
      <c r="U4" s="44"/>
      <c r="V4" s="43"/>
      <c r="W4" s="82">
        <f>AVERAGE(W2:W3)</f>
        <v>45240</v>
      </c>
      <c r="X4" s="83">
        <f>AVERAGE(X2:X3)</f>
        <v>557.61448546601389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40.163572060123784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14.626061511207192</v>
      </c>
      <c r="K6" s="48"/>
      <c r="L6" s="48"/>
      <c r="M6" s="48" t="s">
        <v>2880</v>
      </c>
      <c r="N6" s="80"/>
      <c r="O6" s="54">
        <f>L4/O4</f>
        <v>490.34175334323925</v>
      </c>
      <c r="P6" s="50"/>
      <c r="Q6" s="51" t="s">
        <v>2881</v>
      </c>
      <c r="R6" s="51">
        <f>L4/Q4</f>
        <v>64803.625377643511</v>
      </c>
      <c r="S6" s="48"/>
      <c r="T6" s="48" t="s">
        <v>2882</v>
      </c>
      <c r="U6" s="52">
        <f>L4/Q4/43560</f>
        <v>1.4876865330037536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  <row r="22" spans="1:34" x14ac:dyDescent="0.3">
      <c r="A22" s="55" t="s">
        <v>3101</v>
      </c>
    </row>
    <row r="23" spans="1:34" x14ac:dyDescent="0.3">
      <c r="A23" s="1" t="s">
        <v>23</v>
      </c>
      <c r="B23" s="1" t="s">
        <v>0</v>
      </c>
      <c r="C23" s="1" t="s">
        <v>1</v>
      </c>
      <c r="D23" s="2" t="s">
        <v>2</v>
      </c>
      <c r="E23" s="3" t="s">
        <v>3</v>
      </c>
      <c r="F23" s="1" t="s">
        <v>4</v>
      </c>
      <c r="G23" s="1" t="s">
        <v>5</v>
      </c>
      <c r="H23" s="3" t="s">
        <v>6</v>
      </c>
      <c r="I23" s="3" t="s">
        <v>7</v>
      </c>
      <c r="J23" s="4" t="s">
        <v>8</v>
      </c>
      <c r="K23" s="3" t="s">
        <v>9</v>
      </c>
      <c r="L23" s="3" t="s">
        <v>10</v>
      </c>
      <c r="M23" s="3" t="s">
        <v>11</v>
      </c>
      <c r="N23" s="339" t="s">
        <v>3066</v>
      </c>
      <c r="O23" s="5" t="s">
        <v>12</v>
      </c>
      <c r="P23" s="6" t="s">
        <v>13</v>
      </c>
      <c r="Q23" s="7" t="s">
        <v>14</v>
      </c>
      <c r="R23" s="7" t="s">
        <v>15</v>
      </c>
      <c r="S23" s="3" t="s">
        <v>16</v>
      </c>
      <c r="T23" s="3" t="s">
        <v>17</v>
      </c>
      <c r="U23" s="8" t="s">
        <v>18</v>
      </c>
      <c r="V23" s="7" t="s">
        <v>19</v>
      </c>
      <c r="W23" s="340" t="s">
        <v>3069</v>
      </c>
      <c r="X23" s="339" t="s">
        <v>3070</v>
      </c>
      <c r="Y23" s="9" t="s">
        <v>20</v>
      </c>
      <c r="Z23" s="1" t="s">
        <v>21</v>
      </c>
      <c r="AA23" s="1" t="s">
        <v>22</v>
      </c>
      <c r="AB23" s="1" t="s">
        <v>23</v>
      </c>
      <c r="AC23" s="1" t="s">
        <v>24</v>
      </c>
      <c r="AD23" s="1" t="s">
        <v>25</v>
      </c>
      <c r="AE23" s="1" t="s">
        <v>26</v>
      </c>
      <c r="AF23" s="1" t="s">
        <v>27</v>
      </c>
      <c r="AG23" s="1" t="s">
        <v>28</v>
      </c>
      <c r="AH23" s="1" t="s">
        <v>29</v>
      </c>
    </row>
    <row r="24" spans="1:34" x14ac:dyDescent="0.3">
      <c r="A24" s="74" t="s">
        <v>1773</v>
      </c>
      <c r="B24" s="10" t="s">
        <v>1998</v>
      </c>
      <c r="C24" s="10" t="s">
        <v>1999</v>
      </c>
      <c r="D24" s="11">
        <v>45177</v>
      </c>
      <c r="E24" s="12">
        <v>240000</v>
      </c>
      <c r="F24" s="10" t="s">
        <v>32</v>
      </c>
      <c r="G24" s="10" t="s">
        <v>33</v>
      </c>
      <c r="H24" s="12">
        <v>240000</v>
      </c>
      <c r="I24" s="12">
        <v>69800</v>
      </c>
      <c r="J24" s="13">
        <f>I24/H24*100</f>
        <v>29.083333333333332</v>
      </c>
      <c r="K24" s="12">
        <v>188691</v>
      </c>
      <c r="L24" s="12">
        <f>H24-148691</f>
        <v>91309</v>
      </c>
      <c r="M24" s="12">
        <v>40000</v>
      </c>
      <c r="N24" s="66">
        <f>M24/E24</f>
        <v>0.16666666666666666</v>
      </c>
      <c r="O24" s="14">
        <v>0</v>
      </c>
      <c r="P24" s="15">
        <v>0</v>
      </c>
      <c r="Q24" s="16">
        <v>2</v>
      </c>
      <c r="R24" s="16">
        <v>2</v>
      </c>
      <c r="S24" s="12" t="e">
        <f>L24/O24</f>
        <v>#DIV/0!</v>
      </c>
      <c r="T24" s="12">
        <f>L24/Q24</f>
        <v>45654.5</v>
      </c>
      <c r="U24" s="17">
        <f>L24/Q24/43560</f>
        <v>1.0480831037649219</v>
      </c>
      <c r="V24" s="16">
        <v>0</v>
      </c>
      <c r="W24" s="16">
        <f>0.2*E24</f>
        <v>48000</v>
      </c>
      <c r="X24" s="16"/>
      <c r="Y24" s="18" t="s">
        <v>1941</v>
      </c>
      <c r="Z24" s="10" t="s">
        <v>35</v>
      </c>
      <c r="AA24" s="10" t="s">
        <v>35</v>
      </c>
      <c r="AB24" s="10" t="s">
        <v>1773</v>
      </c>
      <c r="AC24" s="10">
        <v>0</v>
      </c>
      <c r="AD24" s="10">
        <v>1</v>
      </c>
      <c r="AE24" s="10" t="s">
        <v>42</v>
      </c>
      <c r="AF24" s="10" t="s">
        <v>43</v>
      </c>
      <c r="AG24" s="10" t="s">
        <v>38</v>
      </c>
      <c r="AH24" s="10"/>
    </row>
    <row r="25" spans="1:34" x14ac:dyDescent="0.3">
      <c r="A25" s="74" t="s">
        <v>1773</v>
      </c>
      <c r="B25" s="10" t="s">
        <v>2008</v>
      </c>
      <c r="C25" s="10" t="s">
        <v>2009</v>
      </c>
      <c r="D25" s="11">
        <v>45578</v>
      </c>
      <c r="E25" s="12">
        <v>100000</v>
      </c>
      <c r="F25" s="10" t="s">
        <v>32</v>
      </c>
      <c r="G25" s="10" t="s">
        <v>33</v>
      </c>
      <c r="H25" s="12">
        <v>100000</v>
      </c>
      <c r="I25" s="12">
        <v>31400</v>
      </c>
      <c r="J25" s="13">
        <f>I25/H25*100</f>
        <v>31.4</v>
      </c>
      <c r="K25" s="12">
        <v>63026</v>
      </c>
      <c r="L25" s="12">
        <f>H25-41026</f>
        <v>58974</v>
      </c>
      <c r="M25" s="12">
        <v>22000</v>
      </c>
      <c r="N25" s="66">
        <f>M25/E25</f>
        <v>0.22</v>
      </c>
      <c r="O25" s="14">
        <v>0</v>
      </c>
      <c r="P25" s="15">
        <v>0</v>
      </c>
      <c r="Q25" s="16">
        <v>1.1000000000000001</v>
      </c>
      <c r="R25" s="16">
        <v>1.1000000000000001</v>
      </c>
      <c r="S25" s="12" t="e">
        <f>L25/O25</f>
        <v>#DIV/0!</v>
      </c>
      <c r="T25" s="12">
        <f>L25/Q25</f>
        <v>53612.727272727265</v>
      </c>
      <c r="U25" s="17">
        <f>L25/Q25/43560</f>
        <v>1.2307788630102678</v>
      </c>
      <c r="V25" s="16">
        <v>0</v>
      </c>
      <c r="W25" s="16">
        <f>0.2*E25</f>
        <v>20000</v>
      </c>
      <c r="X25" s="16"/>
      <c r="Y25" s="18" t="s">
        <v>1941</v>
      </c>
      <c r="Z25" s="10" t="s">
        <v>35</v>
      </c>
      <c r="AA25" s="10" t="s">
        <v>35</v>
      </c>
      <c r="AB25" s="10" t="s">
        <v>1773</v>
      </c>
      <c r="AC25" s="10">
        <v>0</v>
      </c>
      <c r="AD25" s="10">
        <v>0</v>
      </c>
      <c r="AE25" s="10" t="s">
        <v>42</v>
      </c>
      <c r="AF25" s="10" t="s">
        <v>35</v>
      </c>
      <c r="AG25" s="10" t="s">
        <v>38</v>
      </c>
      <c r="AH25" s="10"/>
    </row>
    <row r="26" spans="1:34" ht="15" thickBot="1" x14ac:dyDescent="0.35">
      <c r="A26" s="75" t="s">
        <v>1773</v>
      </c>
      <c r="B26" s="19" t="s">
        <v>2010</v>
      </c>
      <c r="C26" s="19" t="s">
        <v>2011</v>
      </c>
      <c r="D26" s="20">
        <v>45106</v>
      </c>
      <c r="E26" s="21">
        <v>150000</v>
      </c>
      <c r="F26" s="19" t="s">
        <v>32</v>
      </c>
      <c r="G26" s="19" t="s">
        <v>33</v>
      </c>
      <c r="H26" s="21">
        <v>150000</v>
      </c>
      <c r="I26" s="21">
        <v>36000</v>
      </c>
      <c r="J26" s="22">
        <f>I26/H26*100</f>
        <v>24</v>
      </c>
      <c r="K26" s="21">
        <v>101302</v>
      </c>
      <c r="L26" s="21">
        <f>H26-83702</f>
        <v>66298</v>
      </c>
      <c r="M26" s="21">
        <v>17600</v>
      </c>
      <c r="N26" s="67">
        <f>M26/E26</f>
        <v>0.11733333333333333</v>
      </c>
      <c r="O26" s="23">
        <v>0</v>
      </c>
      <c r="P26" s="24">
        <v>0</v>
      </c>
      <c r="Q26" s="25">
        <v>0.88</v>
      </c>
      <c r="R26" s="25">
        <v>0.88</v>
      </c>
      <c r="S26" s="21" t="e">
        <f>L26/O26</f>
        <v>#DIV/0!</v>
      </c>
      <c r="T26" s="21">
        <f>L26/Q26</f>
        <v>75338.636363636368</v>
      </c>
      <c r="U26" s="26">
        <f>L26/Q26/43560</f>
        <v>1.7295371066032224</v>
      </c>
      <c r="V26" s="25">
        <v>0</v>
      </c>
      <c r="W26" s="25">
        <f>0.2*E26</f>
        <v>30000</v>
      </c>
      <c r="X26" s="25"/>
      <c r="Y26" s="27" t="s">
        <v>1941</v>
      </c>
      <c r="Z26" s="19" t="s">
        <v>35</v>
      </c>
      <c r="AA26" s="19" t="s">
        <v>35</v>
      </c>
      <c r="AB26" s="19" t="s">
        <v>1773</v>
      </c>
      <c r="AC26" s="19">
        <v>0</v>
      </c>
      <c r="AD26" s="19">
        <v>1</v>
      </c>
      <c r="AE26" s="19" t="s">
        <v>42</v>
      </c>
      <c r="AF26" s="19" t="s">
        <v>43</v>
      </c>
      <c r="AG26" s="19" t="s">
        <v>38</v>
      </c>
      <c r="AH26" s="19"/>
    </row>
    <row r="27" spans="1:34" ht="15" thickTop="1" x14ac:dyDescent="0.3">
      <c r="A27" s="76"/>
      <c r="B27" s="37"/>
      <c r="C27" s="37"/>
      <c r="D27" s="38" t="s">
        <v>2876</v>
      </c>
      <c r="E27" s="39">
        <f>+SUM(E24:E26)</f>
        <v>490000</v>
      </c>
      <c r="F27" s="37"/>
      <c r="G27" s="37"/>
      <c r="H27" s="39">
        <f>+SUM(H24:H26)</f>
        <v>490000</v>
      </c>
      <c r="I27" s="39">
        <f>+SUM(I24:I26)</f>
        <v>137200</v>
      </c>
      <c r="J27" s="40"/>
      <c r="K27" s="39">
        <f>+SUM(K24:K26)</f>
        <v>353019</v>
      </c>
      <c r="L27" s="39">
        <f>+SUM(L24:L26)</f>
        <v>216581</v>
      </c>
      <c r="M27" s="39">
        <f>+SUM(M24:M26)</f>
        <v>79600</v>
      </c>
      <c r="N27" s="81">
        <f>AVERAGE(N24:N26)</f>
        <v>0.16800000000000001</v>
      </c>
      <c r="O27" s="41">
        <f>+SUM(O24:O26)</f>
        <v>0</v>
      </c>
      <c r="P27" s="42"/>
      <c r="Q27" s="43">
        <f>+SUM(Q24:Q26)</f>
        <v>3.98</v>
      </c>
      <c r="R27" s="43">
        <f>+SUM(R24:R26)</f>
        <v>3.98</v>
      </c>
      <c r="S27" s="39"/>
      <c r="T27" s="39"/>
      <c r="U27" s="44"/>
      <c r="V27" s="43"/>
      <c r="W27" s="82">
        <f>AVERAGE(W24:W26)</f>
        <v>32666.666666666668</v>
      </c>
      <c r="X27" s="83" t="e">
        <f>AVERAGE(X24:X26)</f>
        <v>#DIV/0!</v>
      </c>
      <c r="Y27" s="45"/>
      <c r="Z27" s="37"/>
      <c r="AA27" s="37"/>
      <c r="AB27" s="37"/>
      <c r="AC27" s="37"/>
      <c r="AD27" s="37"/>
      <c r="AE27" s="37"/>
      <c r="AF27" s="37"/>
      <c r="AG27" s="37"/>
      <c r="AH27" s="37"/>
    </row>
    <row r="28" spans="1:34" x14ac:dyDescent="0.3">
      <c r="A28" s="77"/>
      <c r="B28" s="28"/>
      <c r="C28" s="28"/>
      <c r="D28" s="29"/>
      <c r="E28" s="30"/>
      <c r="F28" s="28"/>
      <c r="G28" s="28"/>
      <c r="H28" s="30"/>
      <c r="I28" s="30" t="s">
        <v>2877</v>
      </c>
      <c r="J28" s="31">
        <f>I27/H27*100</f>
        <v>28.000000000000004</v>
      </c>
      <c r="K28" s="30"/>
      <c r="L28" s="30"/>
      <c r="M28" s="30" t="s">
        <v>2879</v>
      </c>
      <c r="N28" s="79"/>
      <c r="O28" s="32"/>
      <c r="P28" s="33"/>
      <c r="Q28" s="34" t="s">
        <v>2879</v>
      </c>
      <c r="R28" s="34"/>
      <c r="S28" s="30"/>
      <c r="T28" s="30" t="s">
        <v>2879</v>
      </c>
      <c r="U28" s="35"/>
      <c r="V28" s="34"/>
      <c r="W28" s="63"/>
      <c r="X28" s="68"/>
      <c r="Y28" s="36"/>
      <c r="Z28" s="28"/>
      <c r="AA28" s="28"/>
      <c r="AB28" s="28"/>
      <c r="AC28" s="28"/>
      <c r="AD28" s="28"/>
      <c r="AE28" s="28"/>
      <c r="AF28" s="28"/>
      <c r="AG28" s="28"/>
      <c r="AH28" s="28"/>
    </row>
    <row r="29" spans="1:34" x14ac:dyDescent="0.3">
      <c r="A29" s="78"/>
      <c r="B29" s="46"/>
      <c r="C29" s="46"/>
      <c r="D29" s="47"/>
      <c r="E29" s="48"/>
      <c r="F29" s="46"/>
      <c r="G29" s="46"/>
      <c r="H29" s="48"/>
      <c r="I29" s="48" t="s">
        <v>2878</v>
      </c>
      <c r="J29" s="49">
        <f>STDEV(J24:J26)</f>
        <v>3.7852173478375311</v>
      </c>
      <c r="K29" s="48"/>
      <c r="L29" s="48"/>
      <c r="M29" s="48" t="s">
        <v>2880</v>
      </c>
      <c r="N29" s="80"/>
      <c r="O29" s="54" t="e">
        <f>L27/O27</f>
        <v>#DIV/0!</v>
      </c>
      <c r="P29" s="50"/>
      <c r="Q29" s="51" t="s">
        <v>2881</v>
      </c>
      <c r="R29" s="51">
        <f>L27/Q27</f>
        <v>54417.336683417088</v>
      </c>
      <c r="S29" s="48"/>
      <c r="T29" s="48" t="s">
        <v>2882</v>
      </c>
      <c r="U29" s="52">
        <f>L27/Q27/43560</f>
        <v>1.2492501534301443</v>
      </c>
      <c r="V29" s="51"/>
      <c r="W29" s="64"/>
      <c r="X29" s="69"/>
      <c r="Y29" s="53"/>
      <c r="Z29" s="46"/>
      <c r="AA29" s="46"/>
      <c r="AB29" s="46"/>
      <c r="AC29" s="46"/>
      <c r="AD29" s="46"/>
      <c r="AE29" s="46"/>
      <c r="AF29" s="46"/>
      <c r="AG29" s="46"/>
      <c r="AH29" s="46"/>
    </row>
    <row r="33" spans="1:34" x14ac:dyDescent="0.3">
      <c r="A33" s="55" t="s">
        <v>3092</v>
      </c>
    </row>
    <row r="34" spans="1:34" x14ac:dyDescent="0.3">
      <c r="A34" s="74" t="s">
        <v>1773</v>
      </c>
      <c r="B34" s="10" t="s">
        <v>1996</v>
      </c>
      <c r="C34" s="10" t="s">
        <v>1997</v>
      </c>
      <c r="D34" s="11">
        <v>45660</v>
      </c>
      <c r="E34" s="12">
        <v>190000</v>
      </c>
      <c r="F34" s="10" t="s">
        <v>32</v>
      </c>
      <c r="G34" s="10" t="s">
        <v>33</v>
      </c>
      <c r="H34" s="12">
        <v>190000</v>
      </c>
      <c r="I34" s="12">
        <v>112100</v>
      </c>
      <c r="J34" s="13">
        <f t="shared" ref="J34" si="6">I34/H34*100</f>
        <v>59</v>
      </c>
      <c r="K34" s="12">
        <v>179400</v>
      </c>
      <c r="L34" s="12">
        <f>H34-0</f>
        <v>190000</v>
      </c>
      <c r="M34" s="12">
        <v>179400</v>
      </c>
      <c r="N34" s="66">
        <f t="shared" ref="N34" si="7">M34/E34</f>
        <v>0.9442105263157895</v>
      </c>
      <c r="O34" s="14">
        <v>0</v>
      </c>
      <c r="P34" s="15">
        <v>0</v>
      </c>
      <c r="Q34" s="16">
        <v>8.9700000000000006</v>
      </c>
      <c r="R34" s="16">
        <v>8.9700000000000006</v>
      </c>
      <c r="S34" s="12" t="e">
        <f t="shared" ref="S34" si="8">L34/O34</f>
        <v>#DIV/0!</v>
      </c>
      <c r="T34" s="12">
        <f t="shared" ref="T34" si="9">L34/Q34</f>
        <v>21181.716833890747</v>
      </c>
      <c r="U34" s="17">
        <f t="shared" ref="U34" si="10">L34/Q34/43560</f>
        <v>0.48626530839969573</v>
      </c>
      <c r="V34" s="16">
        <v>0</v>
      </c>
      <c r="W34" s="16">
        <f t="shared" ref="W34" si="11">0.2*E34</f>
        <v>38000</v>
      </c>
      <c r="X34" s="16"/>
      <c r="Y34" s="18" t="s">
        <v>1941</v>
      </c>
      <c r="Z34" s="10" t="s">
        <v>35</v>
      </c>
      <c r="AA34" s="10" t="s">
        <v>35</v>
      </c>
      <c r="AB34" s="10" t="s">
        <v>1773</v>
      </c>
      <c r="AC34" s="10">
        <v>0</v>
      </c>
      <c r="AD34" s="10">
        <v>1</v>
      </c>
      <c r="AE34" s="10" t="s">
        <v>37</v>
      </c>
      <c r="AF34" s="10" t="s">
        <v>35</v>
      </c>
      <c r="AG34" s="10" t="s">
        <v>61</v>
      </c>
      <c r="AH34" s="10"/>
    </row>
    <row r="35" spans="1:34" x14ac:dyDescent="0.3">
      <c r="A35" s="75" t="s">
        <v>1773</v>
      </c>
      <c r="B35" s="19" t="s">
        <v>2012</v>
      </c>
      <c r="C35" s="19" t="s">
        <v>2013</v>
      </c>
      <c r="D35" s="20">
        <v>45653</v>
      </c>
      <c r="E35" s="21">
        <v>200000</v>
      </c>
      <c r="F35" s="19" t="s">
        <v>32</v>
      </c>
      <c r="G35" s="19" t="s">
        <v>33</v>
      </c>
      <c r="H35" s="21">
        <v>200000</v>
      </c>
      <c r="I35" s="21">
        <v>53400</v>
      </c>
      <c r="J35" s="22">
        <f>I35/H35*100</f>
        <v>26.700000000000003</v>
      </c>
      <c r="K35" s="21">
        <v>113651</v>
      </c>
      <c r="L35" s="21">
        <f>H35-96051</f>
        <v>103949</v>
      </c>
      <c r="M35" s="21">
        <v>17600</v>
      </c>
      <c r="N35" s="67">
        <f>M35/E35</f>
        <v>8.7999999999999995E-2</v>
      </c>
      <c r="O35" s="23">
        <v>0</v>
      </c>
      <c r="P35" s="24">
        <v>0</v>
      </c>
      <c r="Q35" s="25">
        <v>0.88</v>
      </c>
      <c r="R35" s="25">
        <v>0.88</v>
      </c>
      <c r="S35" s="21" t="e">
        <f>L35/O35</f>
        <v>#DIV/0!</v>
      </c>
      <c r="T35" s="21">
        <f>L35/Q35</f>
        <v>118123.86363636363</v>
      </c>
      <c r="U35" s="26">
        <f>L35/Q35/43560</f>
        <v>2.7117507721846565</v>
      </c>
      <c r="V35" s="25">
        <v>0</v>
      </c>
      <c r="W35" s="25">
        <f>0.2*E35</f>
        <v>40000</v>
      </c>
      <c r="X35" s="25"/>
      <c r="Y35" s="27" t="s">
        <v>1941</v>
      </c>
      <c r="Z35" s="19" t="s">
        <v>35</v>
      </c>
      <c r="AA35" s="19" t="s">
        <v>35</v>
      </c>
      <c r="AB35" s="19" t="s">
        <v>1773</v>
      </c>
      <c r="AC35" s="19">
        <v>0</v>
      </c>
      <c r="AD35" s="19">
        <v>1</v>
      </c>
      <c r="AE35" s="19" t="s">
        <v>42</v>
      </c>
      <c r="AF35" s="19" t="s">
        <v>35</v>
      </c>
      <c r="AG35" s="19" t="s">
        <v>38</v>
      </c>
      <c r="AH35" s="19"/>
    </row>
    <row r="36" spans="1:34" x14ac:dyDescent="0.3">
      <c r="A36" s="75" t="s">
        <v>1773</v>
      </c>
      <c r="B36" s="19" t="s">
        <v>2000</v>
      </c>
      <c r="C36" s="19" t="s">
        <v>2001</v>
      </c>
      <c r="D36" s="20">
        <v>45188</v>
      </c>
      <c r="E36" s="21">
        <v>285000</v>
      </c>
      <c r="F36" s="19" t="s">
        <v>81</v>
      </c>
      <c r="G36" s="19" t="s">
        <v>33</v>
      </c>
      <c r="H36" s="21">
        <v>285000</v>
      </c>
      <c r="I36" s="21">
        <v>61700</v>
      </c>
      <c r="J36" s="22">
        <f>I36/H36*100</f>
        <v>21.649122807017545</v>
      </c>
      <c r="K36" s="21">
        <v>179784</v>
      </c>
      <c r="L36" s="21">
        <f>H36-160784</f>
        <v>124216</v>
      </c>
      <c r="M36" s="21">
        <v>19000</v>
      </c>
      <c r="N36" s="67">
        <f>M36/E36</f>
        <v>6.6666666666666666E-2</v>
      </c>
      <c r="O36" s="23">
        <v>0</v>
      </c>
      <c r="P36" s="24">
        <v>0</v>
      </c>
      <c r="Q36" s="25">
        <v>0.95</v>
      </c>
      <c r="R36" s="25">
        <v>0.95</v>
      </c>
      <c r="S36" s="21" t="e">
        <f>L36/O36</f>
        <v>#DIV/0!</v>
      </c>
      <c r="T36" s="21">
        <f>L36/Q36</f>
        <v>130753.68421052632</v>
      </c>
      <c r="U36" s="26">
        <f>L36/Q36/43560</f>
        <v>3.00169155671548</v>
      </c>
      <c r="V36" s="25">
        <v>0</v>
      </c>
      <c r="W36" s="25">
        <f>0.2*E36</f>
        <v>57000</v>
      </c>
      <c r="X36" s="25"/>
      <c r="Y36" s="27" t="s">
        <v>1941</v>
      </c>
      <c r="Z36" s="19" t="s">
        <v>35</v>
      </c>
      <c r="AA36" s="19" t="s">
        <v>35</v>
      </c>
      <c r="AB36" s="19" t="s">
        <v>1773</v>
      </c>
      <c r="AC36" s="19">
        <v>0</v>
      </c>
      <c r="AD36" s="19">
        <v>1</v>
      </c>
      <c r="AE36" s="19" t="s">
        <v>37</v>
      </c>
      <c r="AF36" s="19" t="s">
        <v>43</v>
      </c>
      <c r="AG36" s="19" t="s">
        <v>38</v>
      </c>
      <c r="AH36" s="19"/>
    </row>
    <row r="37" spans="1:34" x14ac:dyDescent="0.3">
      <c r="A37" s="74" t="s">
        <v>1773</v>
      </c>
      <c r="B37" s="10" t="s">
        <v>2008</v>
      </c>
      <c r="C37" s="10" t="s">
        <v>2009</v>
      </c>
      <c r="D37" s="11">
        <v>45578</v>
      </c>
      <c r="E37" s="12">
        <v>160000</v>
      </c>
      <c r="F37" s="10" t="s">
        <v>81</v>
      </c>
      <c r="G37" s="10" t="s">
        <v>33</v>
      </c>
      <c r="H37" s="12">
        <v>160000</v>
      </c>
      <c r="I37" s="12">
        <v>31400</v>
      </c>
      <c r="J37" s="13">
        <f>I37/H37*100</f>
        <v>19.625</v>
      </c>
      <c r="K37" s="12">
        <v>63026</v>
      </c>
      <c r="L37" s="12">
        <f>H37-41026</f>
        <v>118974</v>
      </c>
      <c r="M37" s="12">
        <v>22000</v>
      </c>
      <c r="N37" s="66">
        <f>M37/E37</f>
        <v>0.13750000000000001</v>
      </c>
      <c r="O37" s="14">
        <v>0</v>
      </c>
      <c r="P37" s="15">
        <v>0</v>
      </c>
      <c r="Q37" s="16">
        <v>1.1000000000000001</v>
      </c>
      <c r="R37" s="16">
        <v>1.1000000000000001</v>
      </c>
      <c r="S37" s="12" t="e">
        <f>L37/O37</f>
        <v>#DIV/0!</v>
      </c>
      <c r="T37" s="12">
        <f>L37/Q37</f>
        <v>108158.18181818181</v>
      </c>
      <c r="U37" s="17">
        <f>L37/Q37/43560</f>
        <v>2.4829701978462309</v>
      </c>
      <c r="V37" s="16">
        <v>0</v>
      </c>
      <c r="W37" s="16">
        <f>0.2*E37</f>
        <v>32000</v>
      </c>
      <c r="X37" s="16"/>
      <c r="Y37" s="18" t="s">
        <v>1941</v>
      </c>
      <c r="Z37" s="10" t="s">
        <v>35</v>
      </c>
      <c r="AA37" s="10" t="s">
        <v>35</v>
      </c>
      <c r="AB37" s="10" t="s">
        <v>1773</v>
      </c>
      <c r="AC37" s="10">
        <v>0</v>
      </c>
      <c r="AD37" s="10">
        <v>0</v>
      </c>
      <c r="AE37" s="10" t="s">
        <v>42</v>
      </c>
      <c r="AF37" s="10" t="s">
        <v>35</v>
      </c>
      <c r="AG37" s="10" t="s">
        <v>38</v>
      </c>
      <c r="AH37" s="10"/>
    </row>
  </sheetData>
  <sortState xmlns:xlrd2="http://schemas.microsoft.com/office/spreadsheetml/2017/richdata2" ref="A24:AH29">
    <sortCondition ref="T24:T29"/>
  </sortState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6">
    <tabColor rgb="FF00B050"/>
  </sheetPr>
  <dimension ref="A1:AH41"/>
  <sheetViews>
    <sheetView topLeftCell="A10" workbookViewId="0">
      <selection activeCell="H34" sqref="H34:O41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1776</v>
      </c>
      <c r="B2" s="10" t="s">
        <v>1799</v>
      </c>
      <c r="C2" s="10" t="s">
        <v>1800</v>
      </c>
      <c r="D2" s="11">
        <v>45394</v>
      </c>
      <c r="E2" s="12">
        <v>215000</v>
      </c>
      <c r="F2" s="10" t="s">
        <v>32</v>
      </c>
      <c r="G2" s="10" t="s">
        <v>33</v>
      </c>
      <c r="H2" s="12">
        <v>215000</v>
      </c>
      <c r="I2" s="12">
        <v>106300</v>
      </c>
      <c r="J2" s="13">
        <f t="shared" ref="J2:J16" si="0">I2/H2*100</f>
        <v>49.441860465116278</v>
      </c>
      <c r="K2" s="12">
        <v>216107</v>
      </c>
      <c r="L2" s="12">
        <f>H2-205900</f>
        <v>9100</v>
      </c>
      <c r="M2" s="12">
        <v>10207</v>
      </c>
      <c r="N2" s="66">
        <f t="shared" ref="N2:N16" si="1">M2/E2</f>
        <v>4.747441860465116E-2</v>
      </c>
      <c r="O2" s="14">
        <v>60.03</v>
      </c>
      <c r="P2" s="15">
        <v>120.16</v>
      </c>
      <c r="Q2" s="16">
        <v>0.16600000000000001</v>
      </c>
      <c r="R2" s="16">
        <v>0.16600000000000001</v>
      </c>
      <c r="S2" s="12">
        <f t="shared" ref="S2:S16" si="2">L2/O2</f>
        <v>151.59087123105112</v>
      </c>
      <c r="T2" s="12">
        <f t="shared" ref="T2:T16" si="3">L2/Q2</f>
        <v>54819.277108433729</v>
      </c>
      <c r="U2" s="17">
        <f t="shared" ref="U2:U16" si="4">L2/Q2/43560</f>
        <v>1.2584774359144566</v>
      </c>
      <c r="V2" s="16">
        <v>60</v>
      </c>
      <c r="W2" s="16">
        <f t="shared" ref="W2:W16" si="5">0.2*E2</f>
        <v>43000</v>
      </c>
      <c r="X2" s="16">
        <f t="shared" ref="X2:X16" si="6">W2/V2</f>
        <v>716.66666666666663</v>
      </c>
      <c r="Y2" s="18" t="s">
        <v>1767</v>
      </c>
      <c r="Z2" s="10" t="s">
        <v>35</v>
      </c>
      <c r="AA2" s="10" t="s">
        <v>35</v>
      </c>
      <c r="AB2" s="10" t="s">
        <v>1776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1776</v>
      </c>
      <c r="B3" s="10" t="s">
        <v>1797</v>
      </c>
      <c r="C3" s="10" t="s">
        <v>1798</v>
      </c>
      <c r="D3" s="11">
        <v>45630</v>
      </c>
      <c r="E3" s="12">
        <v>290000</v>
      </c>
      <c r="F3" s="10" t="s">
        <v>32</v>
      </c>
      <c r="G3" s="10" t="s">
        <v>33</v>
      </c>
      <c r="H3" s="12">
        <v>290000</v>
      </c>
      <c r="I3" s="12">
        <v>137500</v>
      </c>
      <c r="J3" s="13">
        <f t="shared" si="0"/>
        <v>47.413793103448278</v>
      </c>
      <c r="K3" s="12">
        <v>284095</v>
      </c>
      <c r="L3" s="12">
        <f>H3-273895</f>
        <v>16105</v>
      </c>
      <c r="M3" s="12">
        <v>10200</v>
      </c>
      <c r="N3" s="66">
        <f t="shared" si="1"/>
        <v>3.5172413793103451E-2</v>
      </c>
      <c r="O3" s="14">
        <v>60</v>
      </c>
      <c r="P3" s="15">
        <v>120</v>
      </c>
      <c r="Q3" s="16">
        <v>0.16500000000000001</v>
      </c>
      <c r="R3" s="16">
        <v>0.16500000000000001</v>
      </c>
      <c r="S3" s="12">
        <f t="shared" si="2"/>
        <v>268.41666666666669</v>
      </c>
      <c r="T3" s="12">
        <f t="shared" si="3"/>
        <v>97606.060606060608</v>
      </c>
      <c r="U3" s="17">
        <f t="shared" si="4"/>
        <v>2.2407268275036869</v>
      </c>
      <c r="V3" s="16">
        <v>60</v>
      </c>
      <c r="W3" s="16">
        <f t="shared" si="5"/>
        <v>58000</v>
      </c>
      <c r="X3" s="16">
        <f t="shared" si="6"/>
        <v>966.66666666666663</v>
      </c>
      <c r="Y3" s="18" t="s">
        <v>1767</v>
      </c>
      <c r="Z3" s="10" t="s">
        <v>35</v>
      </c>
      <c r="AA3" s="10" t="s">
        <v>35</v>
      </c>
      <c r="AB3" s="10" t="s">
        <v>1776</v>
      </c>
      <c r="AC3" s="10">
        <v>0</v>
      </c>
      <c r="AD3" s="10">
        <v>1</v>
      </c>
      <c r="AE3" s="10" t="s">
        <v>42</v>
      </c>
      <c r="AF3" s="10" t="s">
        <v>35</v>
      </c>
      <c r="AG3" s="10" t="s">
        <v>38</v>
      </c>
      <c r="AH3" s="10" t="s">
        <v>92</v>
      </c>
    </row>
    <row r="4" spans="1:34" x14ac:dyDescent="0.3">
      <c r="A4" s="75" t="s">
        <v>1776</v>
      </c>
      <c r="B4" s="19" t="s">
        <v>1803</v>
      </c>
      <c r="C4" s="19" t="s">
        <v>1804</v>
      </c>
      <c r="D4" s="20">
        <v>45148</v>
      </c>
      <c r="E4" s="21">
        <v>242000</v>
      </c>
      <c r="F4" s="19" t="s">
        <v>32</v>
      </c>
      <c r="G4" s="19" t="s">
        <v>33</v>
      </c>
      <c r="H4" s="21">
        <v>242000</v>
      </c>
      <c r="I4" s="21">
        <v>97800</v>
      </c>
      <c r="J4" s="22">
        <f t="shared" si="0"/>
        <v>40.413223140495866</v>
      </c>
      <c r="K4" s="21">
        <v>234268</v>
      </c>
      <c r="L4" s="21">
        <f>H4-222311</f>
        <v>19689</v>
      </c>
      <c r="M4" s="21">
        <v>11957</v>
      </c>
      <c r="N4" s="67">
        <f t="shared" si="1"/>
        <v>4.9409090909090909E-2</v>
      </c>
      <c r="O4" s="23">
        <v>70.33</v>
      </c>
      <c r="P4" s="24">
        <v>152.4</v>
      </c>
      <c r="Q4" s="25">
        <v>0.23</v>
      </c>
      <c r="R4" s="25">
        <v>0.23</v>
      </c>
      <c r="S4" s="21">
        <f t="shared" si="2"/>
        <v>279.95165647661025</v>
      </c>
      <c r="T4" s="21">
        <f t="shared" si="3"/>
        <v>85604.34782608696</v>
      </c>
      <c r="U4" s="26">
        <f t="shared" si="4"/>
        <v>1.9652054138220147</v>
      </c>
      <c r="V4" s="25">
        <v>55.67</v>
      </c>
      <c r="W4" s="25">
        <f t="shared" si="5"/>
        <v>48400</v>
      </c>
      <c r="X4" s="25">
        <f t="shared" si="6"/>
        <v>869.40901742410631</v>
      </c>
      <c r="Y4" s="27" t="s">
        <v>1767</v>
      </c>
      <c r="Z4" s="19" t="s">
        <v>35</v>
      </c>
      <c r="AA4" s="19" t="s">
        <v>35</v>
      </c>
      <c r="AB4" s="19" t="s">
        <v>1776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1776</v>
      </c>
      <c r="B5" s="10" t="s">
        <v>1805</v>
      </c>
      <c r="C5" s="10" t="s">
        <v>1806</v>
      </c>
      <c r="D5" s="11">
        <v>45455</v>
      </c>
      <c r="E5" s="12">
        <v>265000</v>
      </c>
      <c r="F5" s="10" t="s">
        <v>32</v>
      </c>
      <c r="G5" s="10" t="s">
        <v>33</v>
      </c>
      <c r="H5" s="12">
        <v>265000</v>
      </c>
      <c r="I5" s="12">
        <v>124500</v>
      </c>
      <c r="J5" s="13">
        <f t="shared" si="0"/>
        <v>46.981132075471699</v>
      </c>
      <c r="K5" s="12">
        <v>254292</v>
      </c>
      <c r="L5" s="12">
        <f>H5-240589</f>
        <v>24411</v>
      </c>
      <c r="M5" s="12">
        <v>13703</v>
      </c>
      <c r="N5" s="66">
        <f t="shared" si="1"/>
        <v>5.1709433962264149E-2</v>
      </c>
      <c r="O5" s="14">
        <v>80.599999999999994</v>
      </c>
      <c r="P5" s="15">
        <v>120</v>
      </c>
      <c r="Q5" s="16">
        <v>0.222</v>
      </c>
      <c r="R5" s="16">
        <v>0.222</v>
      </c>
      <c r="S5" s="12">
        <f t="shared" si="2"/>
        <v>302.86600496277919</v>
      </c>
      <c r="T5" s="12">
        <f t="shared" si="3"/>
        <v>109959.45945945945</v>
      </c>
      <c r="U5" s="17">
        <f t="shared" si="4"/>
        <v>2.5243218425036607</v>
      </c>
      <c r="V5" s="16">
        <v>80.91</v>
      </c>
      <c r="W5" s="16">
        <f t="shared" si="5"/>
        <v>53000</v>
      </c>
      <c r="X5" s="16">
        <f t="shared" si="6"/>
        <v>655.04881967618348</v>
      </c>
      <c r="Y5" s="18" t="s">
        <v>1767</v>
      </c>
      <c r="Z5" s="10" t="s">
        <v>35</v>
      </c>
      <c r="AA5" s="10" t="s">
        <v>35</v>
      </c>
      <c r="AB5" s="10" t="s">
        <v>1776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1776</v>
      </c>
      <c r="B6" s="19" t="s">
        <v>1777</v>
      </c>
      <c r="C6" s="19" t="s">
        <v>1778</v>
      </c>
      <c r="D6" s="20">
        <v>45054</v>
      </c>
      <c r="E6" s="21">
        <v>210000</v>
      </c>
      <c r="F6" s="19" t="s">
        <v>32</v>
      </c>
      <c r="G6" s="19" t="s">
        <v>33</v>
      </c>
      <c r="H6" s="21">
        <v>210000</v>
      </c>
      <c r="I6" s="21">
        <v>84500</v>
      </c>
      <c r="J6" s="22">
        <f t="shared" si="0"/>
        <v>40.238095238095241</v>
      </c>
      <c r="K6" s="21">
        <v>199135</v>
      </c>
      <c r="L6" s="21">
        <f>H6-187961</f>
        <v>22039</v>
      </c>
      <c r="M6" s="21">
        <v>11174</v>
      </c>
      <c r="N6" s="67">
        <f t="shared" si="1"/>
        <v>5.3209523809523811E-2</v>
      </c>
      <c r="O6" s="23">
        <v>65.72</v>
      </c>
      <c r="P6" s="24">
        <v>100</v>
      </c>
      <c r="Q6" s="25">
        <v>0.16500000000000001</v>
      </c>
      <c r="R6" s="25">
        <v>0.16500000000000001</v>
      </c>
      <c r="S6" s="21">
        <f t="shared" si="2"/>
        <v>335.34692635423005</v>
      </c>
      <c r="T6" s="21">
        <f t="shared" si="3"/>
        <v>133569.69696969696</v>
      </c>
      <c r="U6" s="26">
        <f t="shared" si="4"/>
        <v>3.0663383142721985</v>
      </c>
      <c r="V6" s="25">
        <v>72</v>
      </c>
      <c r="W6" s="25">
        <f t="shared" si="5"/>
        <v>42000</v>
      </c>
      <c r="X6" s="25">
        <f t="shared" si="6"/>
        <v>583.33333333333337</v>
      </c>
      <c r="Y6" s="27" t="s">
        <v>1767</v>
      </c>
      <c r="Z6" s="19" t="s">
        <v>35</v>
      </c>
      <c r="AA6" s="19" t="s">
        <v>35</v>
      </c>
      <c r="AB6" s="19" t="s">
        <v>1776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1776</v>
      </c>
      <c r="B7" s="10" t="s">
        <v>1781</v>
      </c>
      <c r="C7" s="10" t="s">
        <v>1782</v>
      </c>
      <c r="D7" s="11">
        <v>45209</v>
      </c>
      <c r="E7" s="12">
        <v>227000</v>
      </c>
      <c r="F7" s="10" t="s">
        <v>32</v>
      </c>
      <c r="G7" s="10" t="s">
        <v>33</v>
      </c>
      <c r="H7" s="12">
        <v>227000</v>
      </c>
      <c r="I7" s="12">
        <v>89400</v>
      </c>
      <c r="J7" s="13">
        <f t="shared" si="0"/>
        <v>39.383259911894278</v>
      </c>
      <c r="K7" s="12">
        <v>214811</v>
      </c>
      <c r="L7" s="12">
        <f>H7-204611</f>
        <v>22389</v>
      </c>
      <c r="M7" s="12">
        <v>10200</v>
      </c>
      <c r="N7" s="66">
        <f t="shared" si="1"/>
        <v>4.4933920704845816E-2</v>
      </c>
      <c r="O7" s="14">
        <v>60</v>
      </c>
      <c r="P7" s="15">
        <v>120</v>
      </c>
      <c r="Q7" s="16">
        <v>0.16500000000000001</v>
      </c>
      <c r="R7" s="16">
        <v>0.16500000000000001</v>
      </c>
      <c r="S7" s="12">
        <f t="shared" si="2"/>
        <v>373.15</v>
      </c>
      <c r="T7" s="12">
        <f t="shared" si="3"/>
        <v>135690.90909090909</v>
      </c>
      <c r="U7" s="17">
        <f t="shared" si="4"/>
        <v>3.1150346439602639</v>
      </c>
      <c r="V7" s="16">
        <v>60</v>
      </c>
      <c r="W7" s="16">
        <f t="shared" si="5"/>
        <v>45400</v>
      </c>
      <c r="X7" s="16">
        <f t="shared" si="6"/>
        <v>756.66666666666663</v>
      </c>
      <c r="Y7" s="18" t="s">
        <v>1767</v>
      </c>
      <c r="Z7" s="10" t="s">
        <v>35</v>
      </c>
      <c r="AA7" s="10" t="s">
        <v>35</v>
      </c>
      <c r="AB7" s="10" t="s">
        <v>1776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1776</v>
      </c>
      <c r="B8" s="10" t="s">
        <v>1783</v>
      </c>
      <c r="C8" s="10" t="s">
        <v>1784</v>
      </c>
      <c r="D8" s="11">
        <v>45471</v>
      </c>
      <c r="E8" s="12">
        <v>240000</v>
      </c>
      <c r="F8" s="10" t="s">
        <v>32</v>
      </c>
      <c r="G8" s="10" t="s">
        <v>33</v>
      </c>
      <c r="H8" s="12">
        <v>240000</v>
      </c>
      <c r="I8" s="12">
        <v>110400</v>
      </c>
      <c r="J8" s="13">
        <f t="shared" si="0"/>
        <v>46</v>
      </c>
      <c r="K8" s="12">
        <v>226046</v>
      </c>
      <c r="L8" s="12">
        <f>H8-215846</f>
        <v>24154</v>
      </c>
      <c r="M8" s="12">
        <v>10200</v>
      </c>
      <c r="N8" s="66">
        <f t="shared" si="1"/>
        <v>4.2500000000000003E-2</v>
      </c>
      <c r="O8" s="14">
        <v>60</v>
      </c>
      <c r="P8" s="15">
        <v>120</v>
      </c>
      <c r="Q8" s="16">
        <v>0.16500000000000001</v>
      </c>
      <c r="R8" s="16">
        <v>0.16500000000000001</v>
      </c>
      <c r="S8" s="12">
        <f t="shared" si="2"/>
        <v>402.56666666666666</v>
      </c>
      <c r="T8" s="12">
        <f t="shared" si="3"/>
        <v>146387.87878787878</v>
      </c>
      <c r="U8" s="17">
        <f t="shared" si="4"/>
        <v>3.3606032779586497</v>
      </c>
      <c r="V8" s="16">
        <v>60</v>
      </c>
      <c r="W8" s="16">
        <f t="shared" si="5"/>
        <v>48000</v>
      </c>
      <c r="X8" s="16">
        <f t="shared" si="6"/>
        <v>800</v>
      </c>
      <c r="Y8" s="18" t="s">
        <v>1767</v>
      </c>
      <c r="Z8" s="10" t="s">
        <v>35</v>
      </c>
      <c r="AA8" s="10" t="s">
        <v>35</v>
      </c>
      <c r="AB8" s="10" t="s">
        <v>1776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5" t="s">
        <v>1776</v>
      </c>
      <c r="B9" s="19" t="s">
        <v>1809</v>
      </c>
      <c r="C9" s="19" t="s">
        <v>1810</v>
      </c>
      <c r="D9" s="20">
        <v>45215</v>
      </c>
      <c r="E9" s="21">
        <v>320000</v>
      </c>
      <c r="F9" s="19" t="s">
        <v>32</v>
      </c>
      <c r="G9" s="19" t="s">
        <v>33</v>
      </c>
      <c r="H9" s="21">
        <v>320000</v>
      </c>
      <c r="I9" s="21">
        <v>128800</v>
      </c>
      <c r="J9" s="22">
        <f t="shared" si="0"/>
        <v>40.25</v>
      </c>
      <c r="K9" s="21">
        <v>303180</v>
      </c>
      <c r="L9" s="21">
        <f>H9-292163</f>
        <v>27837</v>
      </c>
      <c r="M9" s="21">
        <v>11017</v>
      </c>
      <c r="N9" s="67">
        <f t="shared" si="1"/>
        <v>3.4428124999999997E-2</v>
      </c>
      <c r="O9" s="23">
        <v>64.8</v>
      </c>
      <c r="P9" s="24">
        <v>140</v>
      </c>
      <c r="Q9" s="25">
        <v>0.193</v>
      </c>
      <c r="R9" s="25">
        <v>0.193</v>
      </c>
      <c r="S9" s="21">
        <f t="shared" si="2"/>
        <v>429.58333333333337</v>
      </c>
      <c r="T9" s="21">
        <f t="shared" si="3"/>
        <v>144233.16062176166</v>
      </c>
      <c r="U9" s="26">
        <f t="shared" si="4"/>
        <v>3.3111377553205159</v>
      </c>
      <c r="V9" s="25">
        <v>60</v>
      </c>
      <c r="W9" s="25">
        <f t="shared" si="5"/>
        <v>64000</v>
      </c>
      <c r="X9" s="25">
        <f t="shared" si="6"/>
        <v>1066.6666666666667</v>
      </c>
      <c r="Y9" s="27" t="s">
        <v>1767</v>
      </c>
      <c r="Z9" s="19" t="s">
        <v>35</v>
      </c>
      <c r="AA9" s="19" t="s">
        <v>35</v>
      </c>
      <c r="AB9" s="19" t="s">
        <v>1776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5" t="s">
        <v>1776</v>
      </c>
      <c r="B10" s="19" t="s">
        <v>1779</v>
      </c>
      <c r="C10" s="19" t="s">
        <v>1780</v>
      </c>
      <c r="D10" s="20">
        <v>45412</v>
      </c>
      <c r="E10" s="21">
        <v>195000</v>
      </c>
      <c r="F10" s="19" t="s">
        <v>32</v>
      </c>
      <c r="G10" s="19" t="s">
        <v>33</v>
      </c>
      <c r="H10" s="21">
        <v>195000</v>
      </c>
      <c r="I10" s="21">
        <v>86700</v>
      </c>
      <c r="J10" s="22">
        <f t="shared" si="0"/>
        <v>44.461538461538467</v>
      </c>
      <c r="K10" s="21">
        <v>175670</v>
      </c>
      <c r="L10" s="21">
        <f>H10-165470</f>
        <v>29530</v>
      </c>
      <c r="M10" s="21">
        <v>10200</v>
      </c>
      <c r="N10" s="67">
        <f t="shared" si="1"/>
        <v>5.2307692307692305E-2</v>
      </c>
      <c r="O10" s="23">
        <v>60</v>
      </c>
      <c r="P10" s="24">
        <v>120</v>
      </c>
      <c r="Q10" s="25">
        <v>0.16500000000000001</v>
      </c>
      <c r="R10" s="25">
        <v>0.16500000000000001</v>
      </c>
      <c r="S10" s="21">
        <f t="shared" si="2"/>
        <v>492.16666666666669</v>
      </c>
      <c r="T10" s="21">
        <f t="shared" si="3"/>
        <v>178969.69696969696</v>
      </c>
      <c r="U10" s="26">
        <f t="shared" si="4"/>
        <v>4.1085789019673316</v>
      </c>
      <c r="V10" s="25">
        <v>60</v>
      </c>
      <c r="W10" s="25">
        <f t="shared" si="5"/>
        <v>39000</v>
      </c>
      <c r="X10" s="25">
        <f t="shared" si="6"/>
        <v>650</v>
      </c>
      <c r="Y10" s="27" t="s">
        <v>1767</v>
      </c>
      <c r="Z10" s="19" t="s">
        <v>35</v>
      </c>
      <c r="AA10" s="19" t="s">
        <v>35</v>
      </c>
      <c r="AB10" s="19" t="s">
        <v>1776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1776</v>
      </c>
      <c r="B11" s="10" t="s">
        <v>1807</v>
      </c>
      <c r="C11" s="10" t="s">
        <v>1808</v>
      </c>
      <c r="D11" s="11">
        <v>45449</v>
      </c>
      <c r="E11" s="12">
        <v>265000</v>
      </c>
      <c r="F11" s="10" t="s">
        <v>32</v>
      </c>
      <c r="G11" s="10" t="s">
        <v>33</v>
      </c>
      <c r="H11" s="12">
        <v>265000</v>
      </c>
      <c r="I11" s="12">
        <v>113300</v>
      </c>
      <c r="J11" s="13">
        <f t="shared" si="0"/>
        <v>42.754716981132077</v>
      </c>
      <c r="K11" s="12">
        <v>232195</v>
      </c>
      <c r="L11" s="12">
        <f>H11-217809</f>
        <v>47191</v>
      </c>
      <c r="M11" s="12">
        <v>14386</v>
      </c>
      <c r="N11" s="66">
        <f t="shared" si="1"/>
        <v>5.428679245283019E-2</v>
      </c>
      <c r="O11" s="14">
        <v>84.62</v>
      </c>
      <c r="P11" s="15">
        <v>121.8</v>
      </c>
      <c r="Q11" s="16">
        <v>0.221</v>
      </c>
      <c r="R11" s="16">
        <v>0.221</v>
      </c>
      <c r="S11" s="12">
        <f t="shared" si="2"/>
        <v>557.68139919640748</v>
      </c>
      <c r="T11" s="12">
        <f t="shared" si="3"/>
        <v>213533.9366515837</v>
      </c>
      <c r="U11" s="17">
        <f t="shared" si="4"/>
        <v>4.9020646614229504</v>
      </c>
      <c r="V11" s="16">
        <v>93.56</v>
      </c>
      <c r="W11" s="16">
        <f t="shared" si="5"/>
        <v>53000</v>
      </c>
      <c r="X11" s="16">
        <f t="shared" si="6"/>
        <v>566.48140230867887</v>
      </c>
      <c r="Y11" s="18" t="s">
        <v>1767</v>
      </c>
      <c r="Z11" s="10" t="s">
        <v>35</v>
      </c>
      <c r="AA11" s="10" t="s">
        <v>35</v>
      </c>
      <c r="AB11" s="10" t="s">
        <v>1776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1776</v>
      </c>
      <c r="B12" s="19" t="s">
        <v>1819</v>
      </c>
      <c r="C12" s="19" t="s">
        <v>1820</v>
      </c>
      <c r="D12" s="20">
        <v>45119</v>
      </c>
      <c r="E12" s="21">
        <v>255000</v>
      </c>
      <c r="F12" s="19" t="s">
        <v>32</v>
      </c>
      <c r="G12" s="19" t="s">
        <v>33</v>
      </c>
      <c r="H12" s="21">
        <v>255000</v>
      </c>
      <c r="I12" s="21">
        <v>98600</v>
      </c>
      <c r="J12" s="22">
        <f t="shared" si="0"/>
        <v>38.666666666666664</v>
      </c>
      <c r="K12" s="21">
        <v>230260</v>
      </c>
      <c r="L12" s="21">
        <f>H12-220060</f>
        <v>34940</v>
      </c>
      <c r="M12" s="21">
        <v>10200</v>
      </c>
      <c r="N12" s="67">
        <f t="shared" si="1"/>
        <v>0.04</v>
      </c>
      <c r="O12" s="23">
        <v>60</v>
      </c>
      <c r="P12" s="24">
        <v>120</v>
      </c>
      <c r="Q12" s="25">
        <v>0.16500000000000001</v>
      </c>
      <c r="R12" s="25">
        <v>0.16500000000000001</v>
      </c>
      <c r="S12" s="21">
        <f t="shared" si="2"/>
        <v>582.33333333333337</v>
      </c>
      <c r="T12" s="21">
        <f t="shared" si="3"/>
        <v>211757.57575757575</v>
      </c>
      <c r="U12" s="26">
        <f t="shared" si="4"/>
        <v>4.8612850265742829</v>
      </c>
      <c r="V12" s="25">
        <v>60</v>
      </c>
      <c r="W12" s="25">
        <f t="shared" si="5"/>
        <v>51000</v>
      </c>
      <c r="X12" s="25">
        <f t="shared" si="6"/>
        <v>850</v>
      </c>
      <c r="Y12" s="27" t="s">
        <v>1767</v>
      </c>
      <c r="Z12" s="19" t="s">
        <v>35</v>
      </c>
      <c r="AA12" s="19" t="s">
        <v>35</v>
      </c>
      <c r="AB12" s="19" t="s">
        <v>1776</v>
      </c>
      <c r="AC12" s="19">
        <v>0</v>
      </c>
      <c r="AD12" s="19">
        <v>1</v>
      </c>
      <c r="AE12" s="19" t="s">
        <v>42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5" t="s">
        <v>1776</v>
      </c>
      <c r="B13" s="19" t="s">
        <v>1817</v>
      </c>
      <c r="C13" s="19" t="s">
        <v>1818</v>
      </c>
      <c r="D13" s="20">
        <v>45440</v>
      </c>
      <c r="E13" s="21">
        <v>290000</v>
      </c>
      <c r="F13" s="19" t="s">
        <v>32</v>
      </c>
      <c r="G13" s="19" t="s">
        <v>33</v>
      </c>
      <c r="H13" s="21">
        <v>290000</v>
      </c>
      <c r="I13" s="21">
        <v>123300</v>
      </c>
      <c r="J13" s="22">
        <f t="shared" si="0"/>
        <v>42.517241379310342</v>
      </c>
      <c r="K13" s="21">
        <v>253224</v>
      </c>
      <c r="L13" s="21">
        <f>H13-238273</f>
        <v>51727</v>
      </c>
      <c r="M13" s="21">
        <v>14951</v>
      </c>
      <c r="N13" s="67">
        <f t="shared" si="1"/>
        <v>5.15551724137931E-2</v>
      </c>
      <c r="O13" s="23">
        <v>87.94</v>
      </c>
      <c r="P13" s="24">
        <v>117.04</v>
      </c>
      <c r="Q13" s="25">
        <v>0.23300000000000001</v>
      </c>
      <c r="R13" s="25">
        <v>0.23300000000000001</v>
      </c>
      <c r="S13" s="21">
        <f t="shared" si="2"/>
        <v>588.20786900159203</v>
      </c>
      <c r="T13" s="21">
        <f t="shared" si="3"/>
        <v>222004.29184549354</v>
      </c>
      <c r="U13" s="26">
        <f t="shared" si="4"/>
        <v>5.0965172599975563</v>
      </c>
      <c r="V13" s="25">
        <v>93.58</v>
      </c>
      <c r="W13" s="25">
        <f t="shared" si="5"/>
        <v>58000</v>
      </c>
      <c r="X13" s="25">
        <f t="shared" si="6"/>
        <v>619.79055353708054</v>
      </c>
      <c r="Y13" s="27" t="s">
        <v>1767</v>
      </c>
      <c r="Z13" s="19" t="s">
        <v>35</v>
      </c>
      <c r="AA13" s="19" t="s">
        <v>35</v>
      </c>
      <c r="AB13" s="19" t="s">
        <v>1776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1776</v>
      </c>
      <c r="B14" s="19" t="s">
        <v>1811</v>
      </c>
      <c r="C14" s="19" t="s">
        <v>1812</v>
      </c>
      <c r="D14" s="20">
        <v>45730</v>
      </c>
      <c r="E14" s="21">
        <v>284900</v>
      </c>
      <c r="F14" s="19" t="s">
        <v>32</v>
      </c>
      <c r="G14" s="19" t="s">
        <v>33</v>
      </c>
      <c r="H14" s="21">
        <v>284900</v>
      </c>
      <c r="I14" s="21">
        <v>125300</v>
      </c>
      <c r="J14" s="22">
        <f t="shared" si="0"/>
        <v>43.980343980343974</v>
      </c>
      <c r="K14" s="21">
        <v>257331</v>
      </c>
      <c r="L14" s="21">
        <f>H14-246473</f>
        <v>38427</v>
      </c>
      <c r="M14" s="21">
        <v>10858</v>
      </c>
      <c r="N14" s="67">
        <f t="shared" si="1"/>
        <v>3.811161811161811E-2</v>
      </c>
      <c r="O14" s="23">
        <v>63.87</v>
      </c>
      <c r="P14" s="24">
        <v>113.91</v>
      </c>
      <c r="Q14" s="25">
        <v>0.17199999999999999</v>
      </c>
      <c r="R14" s="25">
        <v>0.17199999999999999</v>
      </c>
      <c r="S14" s="21">
        <f t="shared" si="2"/>
        <v>601.64396430248951</v>
      </c>
      <c r="T14" s="21">
        <f t="shared" si="3"/>
        <v>223412.79069767444</v>
      </c>
      <c r="U14" s="26">
        <f t="shared" si="4"/>
        <v>5.128851944391057</v>
      </c>
      <c r="V14" s="25">
        <v>65</v>
      </c>
      <c r="W14" s="25">
        <f t="shared" si="5"/>
        <v>56980</v>
      </c>
      <c r="X14" s="25">
        <f t="shared" si="6"/>
        <v>876.61538461538464</v>
      </c>
      <c r="Y14" s="27" t="s">
        <v>1767</v>
      </c>
      <c r="Z14" s="19" t="s">
        <v>35</v>
      </c>
      <c r="AA14" s="19" t="s">
        <v>35</v>
      </c>
      <c r="AB14" s="19" t="s">
        <v>1776</v>
      </c>
      <c r="AC14" s="19">
        <v>0</v>
      </c>
      <c r="AD14" s="19">
        <v>1</v>
      </c>
      <c r="AE14" s="19" t="s">
        <v>37</v>
      </c>
      <c r="AF14" s="19" t="s">
        <v>35</v>
      </c>
      <c r="AG14" s="19" t="s">
        <v>38</v>
      </c>
      <c r="AH14" s="19" t="s">
        <v>92</v>
      </c>
    </row>
    <row r="15" spans="1:34" x14ac:dyDescent="0.3">
      <c r="A15" s="75" t="s">
        <v>1776</v>
      </c>
      <c r="B15" s="19" t="s">
        <v>1793</v>
      </c>
      <c r="C15" s="19" t="s">
        <v>1794</v>
      </c>
      <c r="D15" s="20">
        <v>45621</v>
      </c>
      <c r="E15" s="21">
        <v>245000</v>
      </c>
      <c r="F15" s="19" t="s">
        <v>32</v>
      </c>
      <c r="G15" s="19" t="s">
        <v>33</v>
      </c>
      <c r="H15" s="21">
        <v>245000</v>
      </c>
      <c r="I15" s="21">
        <v>98300</v>
      </c>
      <c r="J15" s="22">
        <f t="shared" si="0"/>
        <v>40.122448979591837</v>
      </c>
      <c r="K15" s="21">
        <v>200154</v>
      </c>
      <c r="L15" s="21">
        <f>H15-188530</f>
        <v>56470</v>
      </c>
      <c r="M15" s="21">
        <v>11624</v>
      </c>
      <c r="N15" s="67">
        <f t="shared" si="1"/>
        <v>4.7444897959183677E-2</v>
      </c>
      <c r="O15" s="23">
        <v>68.37</v>
      </c>
      <c r="P15" s="24">
        <v>114.5</v>
      </c>
      <c r="Q15" s="25">
        <v>0.193</v>
      </c>
      <c r="R15" s="25">
        <v>0.193</v>
      </c>
      <c r="S15" s="21">
        <f t="shared" si="2"/>
        <v>825.94705280093604</v>
      </c>
      <c r="T15" s="21">
        <f t="shared" si="3"/>
        <v>292590.67357512953</v>
      </c>
      <c r="U15" s="26">
        <f t="shared" si="4"/>
        <v>6.7169576119175742</v>
      </c>
      <c r="V15" s="25">
        <v>63</v>
      </c>
      <c r="W15" s="25">
        <f t="shared" si="5"/>
        <v>49000</v>
      </c>
      <c r="X15" s="25">
        <f t="shared" si="6"/>
        <v>777.77777777777783</v>
      </c>
      <c r="Y15" s="27" t="s">
        <v>1767</v>
      </c>
      <c r="Z15" s="19" t="s">
        <v>35</v>
      </c>
      <c r="AA15" s="19" t="s">
        <v>35</v>
      </c>
      <c r="AB15" s="19" t="s">
        <v>1776</v>
      </c>
      <c r="AC15" s="19">
        <v>0</v>
      </c>
      <c r="AD15" s="19">
        <v>1</v>
      </c>
      <c r="AE15" s="19" t="s">
        <v>42</v>
      </c>
      <c r="AF15" s="19" t="s">
        <v>35</v>
      </c>
      <c r="AG15" s="19" t="s">
        <v>38</v>
      </c>
      <c r="AH15" s="19" t="s">
        <v>92</v>
      </c>
    </row>
    <row r="16" spans="1:34" ht="15" thickBot="1" x14ac:dyDescent="0.35">
      <c r="A16" s="75" t="s">
        <v>1776</v>
      </c>
      <c r="B16" s="19" t="s">
        <v>1795</v>
      </c>
      <c r="C16" s="19" t="s">
        <v>1796</v>
      </c>
      <c r="D16" s="20">
        <v>45387</v>
      </c>
      <c r="E16" s="21">
        <v>248000</v>
      </c>
      <c r="F16" s="19" t="s">
        <v>32</v>
      </c>
      <c r="G16" s="19" t="s">
        <v>33</v>
      </c>
      <c r="H16" s="21">
        <v>248000</v>
      </c>
      <c r="I16" s="21">
        <v>102800</v>
      </c>
      <c r="J16" s="22">
        <f t="shared" si="0"/>
        <v>41.451612903225801</v>
      </c>
      <c r="K16" s="21">
        <v>208624</v>
      </c>
      <c r="L16" s="21">
        <f>H16-198424</f>
        <v>49576</v>
      </c>
      <c r="M16" s="21">
        <v>10200</v>
      </c>
      <c r="N16" s="67">
        <f t="shared" si="1"/>
        <v>4.1129032258064517E-2</v>
      </c>
      <c r="O16" s="23">
        <v>60</v>
      </c>
      <c r="P16" s="24">
        <v>120</v>
      </c>
      <c r="Q16" s="25">
        <v>0.16500000000000001</v>
      </c>
      <c r="R16" s="25">
        <v>0.16500000000000001</v>
      </c>
      <c r="S16" s="21">
        <f t="shared" si="2"/>
        <v>826.26666666666665</v>
      </c>
      <c r="T16" s="21">
        <f t="shared" si="3"/>
        <v>300460.60606060602</v>
      </c>
      <c r="U16" s="26">
        <f t="shared" si="4"/>
        <v>6.8976264017586324</v>
      </c>
      <c r="V16" s="25">
        <v>60</v>
      </c>
      <c r="W16" s="25">
        <f t="shared" si="5"/>
        <v>49600</v>
      </c>
      <c r="X16" s="25">
        <f t="shared" si="6"/>
        <v>826.66666666666663</v>
      </c>
      <c r="Y16" s="27" t="s">
        <v>1767</v>
      </c>
      <c r="Z16" s="19" t="s">
        <v>35</v>
      </c>
      <c r="AA16" s="19" t="s">
        <v>35</v>
      </c>
      <c r="AB16" s="19" t="s">
        <v>1776</v>
      </c>
      <c r="AC16" s="19">
        <v>0</v>
      </c>
      <c r="AD16" s="19">
        <v>1</v>
      </c>
      <c r="AE16" s="19" t="s">
        <v>37</v>
      </c>
      <c r="AF16" s="19" t="s">
        <v>43</v>
      </c>
      <c r="AG16" s="19" t="s">
        <v>38</v>
      </c>
      <c r="AH16" s="19" t="s">
        <v>92</v>
      </c>
    </row>
    <row r="17" spans="1:34" ht="15" thickTop="1" x14ac:dyDescent="0.3">
      <c r="A17" s="76"/>
      <c r="B17" s="37"/>
      <c r="C17" s="37"/>
      <c r="D17" s="38" t="s">
        <v>2876</v>
      </c>
      <c r="E17" s="39">
        <f>+SUM(E2:E16)</f>
        <v>3791900</v>
      </c>
      <c r="F17" s="37"/>
      <c r="G17" s="37"/>
      <c r="H17" s="39">
        <f>+SUM(H2:H16)</f>
        <v>3791900</v>
      </c>
      <c r="I17" s="39">
        <f>+SUM(I2:I16)</f>
        <v>1627500</v>
      </c>
      <c r="J17" s="40"/>
      <c r="K17" s="39">
        <f>+SUM(K2:K16)</f>
        <v>3489392</v>
      </c>
      <c r="L17" s="39">
        <f>+SUM(L2:L16)</f>
        <v>473585</v>
      </c>
      <c r="M17" s="39">
        <f>+SUM(M2:M16)</f>
        <v>171077</v>
      </c>
      <c r="N17" s="81">
        <f>AVERAGE(N2:N16)</f>
        <v>4.5578142152444087E-2</v>
      </c>
      <c r="O17" s="41">
        <f>+SUM(O2:O16)</f>
        <v>1006.28</v>
      </c>
      <c r="P17" s="42"/>
      <c r="Q17" s="43">
        <f>+SUM(Q2:Q16)</f>
        <v>2.7850000000000006</v>
      </c>
      <c r="R17" s="43">
        <f>+SUM(R2:R16)</f>
        <v>2.7850000000000006</v>
      </c>
      <c r="S17" s="39"/>
      <c r="T17" s="39"/>
      <c r="U17" s="44"/>
      <c r="V17" s="43"/>
      <c r="W17" s="82">
        <f>AVERAGE(W2:W16)</f>
        <v>50558.666666666664</v>
      </c>
      <c r="X17" s="83">
        <f>AVERAGE(X2:X16)</f>
        <v>772.11930813372533</v>
      </c>
      <c r="Y17" s="45"/>
      <c r="Z17" s="37"/>
      <c r="AA17" s="37"/>
      <c r="AB17" s="37"/>
      <c r="AC17" s="37"/>
      <c r="AD17" s="37"/>
      <c r="AE17" s="37"/>
      <c r="AF17" s="37"/>
      <c r="AG17" s="37"/>
      <c r="AH17" s="37"/>
    </row>
    <row r="18" spans="1:34" x14ac:dyDescent="0.3">
      <c r="A18" s="77"/>
      <c r="B18" s="28"/>
      <c r="C18" s="28"/>
      <c r="D18" s="29"/>
      <c r="E18" s="30"/>
      <c r="F18" s="28"/>
      <c r="G18" s="28"/>
      <c r="H18" s="30"/>
      <c r="I18" s="30" t="s">
        <v>2877</v>
      </c>
      <c r="J18" s="31">
        <f>I17/H17*100</f>
        <v>42.920435665497507</v>
      </c>
      <c r="K18" s="30"/>
      <c r="L18" s="30"/>
      <c r="M18" s="30" t="s">
        <v>2879</v>
      </c>
      <c r="N18" s="79"/>
      <c r="O18" s="32"/>
      <c r="P18" s="33"/>
      <c r="Q18" s="34" t="s">
        <v>2879</v>
      </c>
      <c r="R18" s="34"/>
      <c r="S18" s="30"/>
      <c r="T18" s="30" t="s">
        <v>2879</v>
      </c>
      <c r="U18" s="35"/>
      <c r="V18" s="34"/>
      <c r="W18" s="63"/>
      <c r="X18" s="68"/>
      <c r="Y18" s="36"/>
      <c r="Z18" s="28"/>
      <c r="AA18" s="28"/>
      <c r="AB18" s="28"/>
      <c r="AC18" s="28"/>
      <c r="AD18" s="28"/>
      <c r="AE18" s="28"/>
      <c r="AF18" s="28"/>
      <c r="AG18" s="28"/>
      <c r="AH18" s="28"/>
    </row>
    <row r="19" spans="1:34" x14ac:dyDescent="0.3">
      <c r="A19" s="78"/>
      <c r="B19" s="46"/>
      <c r="C19" s="46"/>
      <c r="D19" s="47"/>
      <c r="E19" s="48"/>
      <c r="F19" s="46"/>
      <c r="G19" s="46"/>
      <c r="H19" s="48"/>
      <c r="I19" s="48" t="s">
        <v>2878</v>
      </c>
      <c r="J19" s="49">
        <f>STDEV(J2:J16)</f>
        <v>3.3121036904538097</v>
      </c>
      <c r="K19" s="48"/>
      <c r="L19" s="48"/>
      <c r="M19" s="48" t="s">
        <v>2880</v>
      </c>
      <c r="N19" s="80"/>
      <c r="O19" s="54">
        <f>L17/O17</f>
        <v>470.62944707238546</v>
      </c>
      <c r="P19" s="50"/>
      <c r="Q19" s="51" t="s">
        <v>2881</v>
      </c>
      <c r="R19" s="51">
        <f>L17/Q17</f>
        <v>170048.473967684</v>
      </c>
      <c r="S19" s="48"/>
      <c r="T19" s="48" t="s">
        <v>2882</v>
      </c>
      <c r="U19" s="52">
        <f>L17/Q17/43560</f>
        <v>3.9037758027475666</v>
      </c>
      <c r="V19" s="51"/>
      <c r="W19" s="64"/>
      <c r="X19" s="69"/>
      <c r="Y19" s="53"/>
      <c r="Z19" s="46"/>
      <c r="AA19" s="46"/>
      <c r="AB19" s="46"/>
      <c r="AC19" s="46"/>
      <c r="AD19" s="46"/>
      <c r="AE19" s="46"/>
      <c r="AF19" s="46"/>
      <c r="AG19" s="46"/>
      <c r="AH19" s="46"/>
    </row>
    <row r="24" spans="1:34" x14ac:dyDescent="0.3">
      <c r="A24" s="55" t="s">
        <v>3092</v>
      </c>
    </row>
    <row r="25" spans="1:34" x14ac:dyDescent="0.3">
      <c r="A25" s="74" t="s">
        <v>1776</v>
      </c>
      <c r="B25" s="10" t="s">
        <v>1813</v>
      </c>
      <c r="C25" s="10" t="s">
        <v>1814</v>
      </c>
      <c r="D25" s="11">
        <v>45567</v>
      </c>
      <c r="E25" s="12">
        <v>160000</v>
      </c>
      <c r="F25" s="10" t="s">
        <v>32</v>
      </c>
      <c r="G25" s="10" t="s">
        <v>33</v>
      </c>
      <c r="H25" s="12">
        <v>160000</v>
      </c>
      <c r="I25" s="12">
        <v>120800</v>
      </c>
      <c r="J25" s="13">
        <f>I25/H25*100</f>
        <v>75.5</v>
      </c>
      <c r="K25" s="12">
        <v>246736</v>
      </c>
      <c r="L25" s="12">
        <f>H25-235677</f>
        <v>-75677</v>
      </c>
      <c r="M25" s="12">
        <v>11059</v>
      </c>
      <c r="N25" s="66">
        <f>M25/E25</f>
        <v>6.9118750000000007E-2</v>
      </c>
      <c r="O25" s="14">
        <v>65.05</v>
      </c>
      <c r="P25" s="15">
        <v>130</v>
      </c>
      <c r="Q25" s="16">
        <v>0.187</v>
      </c>
      <c r="R25" s="16">
        <v>0.187</v>
      </c>
      <c r="S25" s="12">
        <f>L25/O25</f>
        <v>-1163.3666410453498</v>
      </c>
      <c r="T25" s="12">
        <f>L25/Q25</f>
        <v>-404689.83957219252</v>
      </c>
      <c r="U25" s="17">
        <f>L25/Q25/43560</f>
        <v>-9.29040035748835</v>
      </c>
      <c r="V25" s="16">
        <v>62.5</v>
      </c>
      <c r="W25" s="16">
        <f>0.2*E25</f>
        <v>32000</v>
      </c>
      <c r="X25" s="16">
        <f>W25/V25</f>
        <v>512</v>
      </c>
      <c r="Y25" s="18" t="s">
        <v>1767</v>
      </c>
      <c r="Z25" s="10" t="s">
        <v>35</v>
      </c>
      <c r="AA25" s="10" t="s">
        <v>35</v>
      </c>
      <c r="AB25" s="10" t="s">
        <v>1776</v>
      </c>
      <c r="AC25" s="10">
        <v>0</v>
      </c>
      <c r="AD25" s="10">
        <v>1</v>
      </c>
      <c r="AE25" s="10" t="s">
        <v>37</v>
      </c>
      <c r="AF25" s="10" t="s">
        <v>35</v>
      </c>
      <c r="AG25" s="10" t="s">
        <v>38</v>
      </c>
      <c r="AH25" s="10" t="s">
        <v>92</v>
      </c>
    </row>
    <row r="26" spans="1:34" x14ac:dyDescent="0.3">
      <c r="A26" s="75" t="s">
        <v>1776</v>
      </c>
      <c r="B26" s="19" t="s">
        <v>1785</v>
      </c>
      <c r="C26" s="19" t="s">
        <v>1786</v>
      </c>
      <c r="D26" s="20">
        <v>45513</v>
      </c>
      <c r="E26" s="21">
        <v>295000</v>
      </c>
      <c r="F26" s="19" t="s">
        <v>32</v>
      </c>
      <c r="G26" s="19" t="s">
        <v>33</v>
      </c>
      <c r="H26" s="21">
        <v>295000</v>
      </c>
      <c r="I26" s="21">
        <v>111700</v>
      </c>
      <c r="J26" s="22">
        <f>I26/H26*100</f>
        <v>37.864406779661017</v>
      </c>
      <c r="K26" s="21">
        <v>229160</v>
      </c>
      <c r="L26" s="21">
        <f>H26-217452</f>
        <v>77548</v>
      </c>
      <c r="M26" s="21">
        <v>11708</v>
      </c>
      <c r="N26" s="67">
        <f>M26/E26</f>
        <v>3.968813559322034E-2</v>
      </c>
      <c r="O26" s="23">
        <v>68.86</v>
      </c>
      <c r="P26" s="24">
        <v>156.06</v>
      </c>
      <c r="Q26" s="25">
        <v>0.217</v>
      </c>
      <c r="R26" s="25">
        <v>0.217</v>
      </c>
      <c r="S26" s="21">
        <f>L26/O26</f>
        <v>1126.1690386291025</v>
      </c>
      <c r="T26" s="21">
        <f>L26/Q26</f>
        <v>357364.05529953918</v>
      </c>
      <c r="U26" s="26">
        <f>L26/Q26/43560</f>
        <v>8.2039498461785847</v>
      </c>
      <c r="V26" s="25">
        <v>60</v>
      </c>
      <c r="W26" s="25">
        <f>0.2*E26</f>
        <v>59000</v>
      </c>
      <c r="X26" s="25">
        <f>W26/V26</f>
        <v>983.33333333333337</v>
      </c>
      <c r="Y26" s="27" t="s">
        <v>1767</v>
      </c>
      <c r="Z26" s="19" t="s">
        <v>35</v>
      </c>
      <c r="AA26" s="19" t="s">
        <v>35</v>
      </c>
      <c r="AB26" s="19" t="s">
        <v>1776</v>
      </c>
      <c r="AC26" s="19">
        <v>0</v>
      </c>
      <c r="AD26" s="19">
        <v>1</v>
      </c>
      <c r="AE26" s="19" t="s">
        <v>42</v>
      </c>
      <c r="AF26" s="19" t="s">
        <v>43</v>
      </c>
      <c r="AG26" s="19" t="s">
        <v>38</v>
      </c>
      <c r="AH26" s="19" t="s">
        <v>92</v>
      </c>
    </row>
    <row r="27" spans="1:34" x14ac:dyDescent="0.3">
      <c r="A27" s="74" t="s">
        <v>1776</v>
      </c>
      <c r="B27" s="10" t="s">
        <v>1774</v>
      </c>
      <c r="C27" s="10" t="s">
        <v>1775</v>
      </c>
      <c r="D27" s="11">
        <v>45103</v>
      </c>
      <c r="E27" s="12">
        <v>145700</v>
      </c>
      <c r="F27" s="10" t="s">
        <v>32</v>
      </c>
      <c r="G27" s="10" t="s">
        <v>33</v>
      </c>
      <c r="H27" s="12">
        <v>145700</v>
      </c>
      <c r="I27" s="12">
        <v>77900</v>
      </c>
      <c r="J27" s="13">
        <f t="shared" ref="J27:J33" si="7">I27/H27*100</f>
        <v>53.466026080988328</v>
      </c>
      <c r="K27" s="12">
        <v>183939</v>
      </c>
      <c r="L27" s="12">
        <f>H27-173482</f>
        <v>-27782</v>
      </c>
      <c r="M27" s="12">
        <v>10457</v>
      </c>
      <c r="N27" s="66">
        <f t="shared" ref="N27:N33" si="8">M27/E27</f>
        <v>7.1770761839396013E-2</v>
      </c>
      <c r="O27" s="14">
        <v>61.51</v>
      </c>
      <c r="P27" s="15">
        <v>120</v>
      </c>
      <c r="Q27" s="16">
        <v>0.16900000000000001</v>
      </c>
      <c r="R27" s="16">
        <v>0.16900000000000001</v>
      </c>
      <c r="S27" s="12">
        <f t="shared" ref="S27:S33" si="9">L27/O27</f>
        <v>-451.66639570801499</v>
      </c>
      <c r="T27" s="12">
        <f t="shared" ref="T27:T33" si="10">L27/Q27</f>
        <v>-164390.53254437869</v>
      </c>
      <c r="U27" s="17">
        <f t="shared" ref="U27:U33" si="11">L27/Q27/43560</f>
        <v>-3.7738873403209063</v>
      </c>
      <c r="V27" s="16">
        <v>61.82</v>
      </c>
      <c r="W27" s="16">
        <f t="shared" ref="W27:W33" si="12">0.2*E27</f>
        <v>29140</v>
      </c>
      <c r="X27" s="16">
        <f t="shared" ref="X27:X33" si="13">W27/V27</f>
        <v>471.36848916208345</v>
      </c>
      <c r="Y27" s="18" t="s">
        <v>1767</v>
      </c>
      <c r="Z27" s="10" t="s">
        <v>35</v>
      </c>
      <c r="AA27" s="10" t="s">
        <v>35</v>
      </c>
      <c r="AB27" s="10" t="s">
        <v>1776</v>
      </c>
      <c r="AC27" s="10">
        <v>0</v>
      </c>
      <c r="AD27" s="10">
        <v>1</v>
      </c>
      <c r="AE27" s="10" t="s">
        <v>42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4" t="s">
        <v>1776</v>
      </c>
      <c r="B28" s="10" t="s">
        <v>1789</v>
      </c>
      <c r="C28" s="10" t="s">
        <v>1790</v>
      </c>
      <c r="D28" s="11">
        <v>45735</v>
      </c>
      <c r="E28" s="12">
        <v>275000</v>
      </c>
      <c r="F28" s="10" t="s">
        <v>32</v>
      </c>
      <c r="G28" s="10" t="s">
        <v>33</v>
      </c>
      <c r="H28" s="12">
        <v>275000</v>
      </c>
      <c r="I28" s="12">
        <v>112700</v>
      </c>
      <c r="J28" s="13">
        <f t="shared" si="7"/>
        <v>40.981818181818177</v>
      </c>
      <c r="K28" s="12">
        <v>230234</v>
      </c>
      <c r="L28" s="12">
        <f>H28-219864</f>
        <v>55136</v>
      </c>
      <c r="M28" s="12">
        <v>10370</v>
      </c>
      <c r="N28" s="66">
        <f t="shared" si="8"/>
        <v>3.7709090909090907E-2</v>
      </c>
      <c r="O28" s="14">
        <v>61</v>
      </c>
      <c r="P28" s="15">
        <v>120</v>
      </c>
      <c r="Q28" s="16">
        <v>0.16800000000000001</v>
      </c>
      <c r="R28" s="16">
        <v>0.16800000000000001</v>
      </c>
      <c r="S28" s="12">
        <f t="shared" si="9"/>
        <v>903.86885245901635</v>
      </c>
      <c r="T28" s="12">
        <f t="shared" si="10"/>
        <v>328190.47619047615</v>
      </c>
      <c r="U28" s="17">
        <f t="shared" si="11"/>
        <v>7.5342166251257154</v>
      </c>
      <c r="V28" s="16">
        <v>61</v>
      </c>
      <c r="W28" s="16">
        <f t="shared" si="12"/>
        <v>55000</v>
      </c>
      <c r="X28" s="16">
        <f t="shared" si="13"/>
        <v>901.63934426229503</v>
      </c>
      <c r="Y28" s="18" t="s">
        <v>1767</v>
      </c>
      <c r="Z28" s="10" t="s">
        <v>35</v>
      </c>
      <c r="AA28" s="10" t="s">
        <v>35</v>
      </c>
      <c r="AB28" s="10" t="s">
        <v>1776</v>
      </c>
      <c r="AC28" s="10">
        <v>0</v>
      </c>
      <c r="AD28" s="10">
        <v>1</v>
      </c>
      <c r="AE28" s="10" t="s">
        <v>42</v>
      </c>
      <c r="AF28" s="10" t="s">
        <v>35</v>
      </c>
      <c r="AG28" s="10" t="s">
        <v>38</v>
      </c>
      <c r="AH28" s="10" t="s">
        <v>92</v>
      </c>
    </row>
    <row r="29" spans="1:34" x14ac:dyDescent="0.3">
      <c r="A29" s="75" t="s">
        <v>1776</v>
      </c>
      <c r="B29" s="19" t="s">
        <v>1801</v>
      </c>
      <c r="C29" s="19" t="s">
        <v>1802</v>
      </c>
      <c r="D29" s="20">
        <v>45191</v>
      </c>
      <c r="E29" s="21">
        <v>239900</v>
      </c>
      <c r="F29" s="19" t="s">
        <v>32</v>
      </c>
      <c r="G29" s="19" t="s">
        <v>33</v>
      </c>
      <c r="H29" s="21">
        <v>239900</v>
      </c>
      <c r="I29" s="21">
        <v>110600</v>
      </c>
      <c r="J29" s="22">
        <f t="shared" si="7"/>
        <v>46.102542726135894</v>
      </c>
      <c r="K29" s="21">
        <v>261084</v>
      </c>
      <c r="L29" s="21">
        <f>H29-250064</f>
        <v>-10164</v>
      </c>
      <c r="M29" s="21">
        <v>11020</v>
      </c>
      <c r="N29" s="67">
        <f t="shared" si="8"/>
        <v>4.5935806586077529E-2</v>
      </c>
      <c r="O29" s="23">
        <v>64.819999999999993</v>
      </c>
      <c r="P29" s="24">
        <v>140.07</v>
      </c>
      <c r="Q29" s="25">
        <v>0.193</v>
      </c>
      <c r="R29" s="25">
        <v>0.193</v>
      </c>
      <c r="S29" s="21">
        <f t="shared" si="9"/>
        <v>-156.80345572354213</v>
      </c>
      <c r="T29" s="21">
        <f t="shared" si="10"/>
        <v>-52663.212435233159</v>
      </c>
      <c r="U29" s="26">
        <f t="shared" si="11"/>
        <v>-1.2089810017271156</v>
      </c>
      <c r="V29" s="25">
        <v>60</v>
      </c>
      <c r="W29" s="25">
        <f t="shared" si="12"/>
        <v>47980</v>
      </c>
      <c r="X29" s="25">
        <f t="shared" si="13"/>
        <v>799.66666666666663</v>
      </c>
      <c r="Y29" s="27" t="s">
        <v>1767</v>
      </c>
      <c r="Z29" s="19" t="s">
        <v>35</v>
      </c>
      <c r="AA29" s="19" t="s">
        <v>35</v>
      </c>
      <c r="AB29" s="19" t="s">
        <v>1776</v>
      </c>
      <c r="AC29" s="19">
        <v>0</v>
      </c>
      <c r="AD29" s="19">
        <v>1</v>
      </c>
      <c r="AE29" s="19" t="s">
        <v>37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4" t="s">
        <v>1776</v>
      </c>
      <c r="B30" s="10" t="s">
        <v>1815</v>
      </c>
      <c r="C30" s="10" t="s">
        <v>1816</v>
      </c>
      <c r="D30" s="11">
        <v>45205</v>
      </c>
      <c r="E30" s="12">
        <v>245000</v>
      </c>
      <c r="F30" s="10" t="s">
        <v>32</v>
      </c>
      <c r="G30" s="10" t="s">
        <v>33</v>
      </c>
      <c r="H30" s="12">
        <v>245000</v>
      </c>
      <c r="I30" s="12">
        <v>109000</v>
      </c>
      <c r="J30" s="13">
        <f t="shared" si="7"/>
        <v>44.489795918367349</v>
      </c>
      <c r="K30" s="12">
        <v>255708</v>
      </c>
      <c r="L30" s="12">
        <f>H30-245709</f>
        <v>-709</v>
      </c>
      <c r="M30" s="12">
        <v>9999</v>
      </c>
      <c r="N30" s="66">
        <f t="shared" si="8"/>
        <v>4.0812244897959184E-2</v>
      </c>
      <c r="O30" s="14">
        <v>58.81</v>
      </c>
      <c r="P30" s="15">
        <v>122.44</v>
      </c>
      <c r="Q30" s="16">
        <v>0.15</v>
      </c>
      <c r="R30" s="16">
        <v>0.15</v>
      </c>
      <c r="S30" s="12">
        <f t="shared" si="9"/>
        <v>-12.055772827750381</v>
      </c>
      <c r="T30" s="12">
        <f t="shared" si="10"/>
        <v>-4726.666666666667</v>
      </c>
      <c r="U30" s="17">
        <f t="shared" si="11"/>
        <v>-0.10850933578206307</v>
      </c>
      <c r="V30" s="16">
        <v>68.069999999999993</v>
      </c>
      <c r="W30" s="16">
        <f t="shared" si="12"/>
        <v>49000</v>
      </c>
      <c r="X30" s="16">
        <f t="shared" si="13"/>
        <v>719.84721610107249</v>
      </c>
      <c r="Y30" s="18" t="s">
        <v>1767</v>
      </c>
      <c r="Z30" s="10" t="s">
        <v>35</v>
      </c>
      <c r="AA30" s="10" t="s">
        <v>35</v>
      </c>
      <c r="AB30" s="10" t="s">
        <v>1776</v>
      </c>
      <c r="AC30" s="10">
        <v>0</v>
      </c>
      <c r="AD30" s="10">
        <v>1</v>
      </c>
      <c r="AE30" s="10" t="s">
        <v>42</v>
      </c>
      <c r="AF30" s="10" t="s">
        <v>43</v>
      </c>
      <c r="AG30" s="10" t="s">
        <v>38</v>
      </c>
      <c r="AH30" s="10" t="s">
        <v>92</v>
      </c>
    </row>
    <row r="31" spans="1:34" x14ac:dyDescent="0.3">
      <c r="A31" s="74" t="s">
        <v>1776</v>
      </c>
      <c r="B31" s="10" t="s">
        <v>1774</v>
      </c>
      <c r="C31" s="10" t="s">
        <v>1775</v>
      </c>
      <c r="D31" s="11">
        <v>45279</v>
      </c>
      <c r="E31" s="12">
        <v>173500</v>
      </c>
      <c r="F31" s="10" t="s">
        <v>32</v>
      </c>
      <c r="G31" s="10" t="s">
        <v>33</v>
      </c>
      <c r="H31" s="12">
        <v>173500</v>
      </c>
      <c r="I31" s="12">
        <v>77900</v>
      </c>
      <c r="J31" s="13">
        <f t="shared" si="7"/>
        <v>44.899135446685875</v>
      </c>
      <c r="K31" s="12">
        <v>183939</v>
      </c>
      <c r="L31" s="12">
        <f>H31-173482</f>
        <v>18</v>
      </c>
      <c r="M31" s="12">
        <v>10457</v>
      </c>
      <c r="N31" s="66">
        <f t="shared" si="8"/>
        <v>6.0270893371757922E-2</v>
      </c>
      <c r="O31" s="14">
        <v>61.51</v>
      </c>
      <c r="P31" s="15">
        <v>120</v>
      </c>
      <c r="Q31" s="16">
        <v>0.16900000000000001</v>
      </c>
      <c r="R31" s="16">
        <v>0.16900000000000001</v>
      </c>
      <c r="S31" s="12">
        <f t="shared" si="9"/>
        <v>0.29263534384652901</v>
      </c>
      <c r="T31" s="12">
        <f t="shared" si="10"/>
        <v>106.50887573964496</v>
      </c>
      <c r="U31" s="17">
        <f t="shared" si="11"/>
        <v>2.4451073402122353E-3</v>
      </c>
      <c r="V31" s="16">
        <v>61.82</v>
      </c>
      <c r="W31" s="16">
        <f t="shared" si="12"/>
        <v>34700</v>
      </c>
      <c r="X31" s="16">
        <f t="shared" si="13"/>
        <v>561.30702038175343</v>
      </c>
      <c r="Y31" s="18" t="s">
        <v>1767</v>
      </c>
      <c r="Z31" s="10" t="s">
        <v>35</v>
      </c>
      <c r="AA31" s="10" t="s">
        <v>35</v>
      </c>
      <c r="AB31" s="10" t="s">
        <v>1776</v>
      </c>
      <c r="AC31" s="10">
        <v>0</v>
      </c>
      <c r="AD31" s="10">
        <v>1</v>
      </c>
      <c r="AE31" s="10" t="s">
        <v>42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5" t="s">
        <v>1776</v>
      </c>
      <c r="B32" s="19" t="s">
        <v>1787</v>
      </c>
      <c r="C32" s="19" t="s">
        <v>1788</v>
      </c>
      <c r="D32" s="20">
        <v>45394</v>
      </c>
      <c r="E32" s="21">
        <v>235000</v>
      </c>
      <c r="F32" s="19" t="s">
        <v>32</v>
      </c>
      <c r="G32" s="19" t="s">
        <v>33</v>
      </c>
      <c r="H32" s="21">
        <v>235000</v>
      </c>
      <c r="I32" s="21">
        <v>118800</v>
      </c>
      <c r="J32" s="22">
        <f t="shared" si="7"/>
        <v>50.553191489361701</v>
      </c>
      <c r="K32" s="21">
        <v>243478</v>
      </c>
      <c r="L32" s="21">
        <f>H32-233108</f>
        <v>1892</v>
      </c>
      <c r="M32" s="21">
        <v>10370</v>
      </c>
      <c r="N32" s="67">
        <f t="shared" si="8"/>
        <v>4.4127659574468084E-2</v>
      </c>
      <c r="O32" s="23">
        <v>61</v>
      </c>
      <c r="P32" s="24">
        <v>120</v>
      </c>
      <c r="Q32" s="25">
        <v>0.16800000000000001</v>
      </c>
      <c r="R32" s="25">
        <v>0.16800000000000001</v>
      </c>
      <c r="S32" s="21">
        <f t="shared" si="9"/>
        <v>31.016393442622952</v>
      </c>
      <c r="T32" s="21">
        <f t="shared" si="10"/>
        <v>11261.904761904761</v>
      </c>
      <c r="U32" s="26">
        <f t="shared" si="11"/>
        <v>0.25853775853775851</v>
      </c>
      <c r="V32" s="25">
        <v>61</v>
      </c>
      <c r="W32" s="25">
        <f t="shared" si="12"/>
        <v>47000</v>
      </c>
      <c r="X32" s="25">
        <f t="shared" si="13"/>
        <v>770.49180327868851</v>
      </c>
      <c r="Y32" s="27" t="s">
        <v>1767</v>
      </c>
      <c r="Z32" s="19" t="s">
        <v>35</v>
      </c>
      <c r="AA32" s="19" t="s">
        <v>35</v>
      </c>
      <c r="AB32" s="19" t="s">
        <v>1776</v>
      </c>
      <c r="AC32" s="19">
        <v>0</v>
      </c>
      <c r="AD32" s="19">
        <v>1</v>
      </c>
      <c r="AE32" s="19" t="s">
        <v>42</v>
      </c>
      <c r="AF32" s="19" t="s">
        <v>43</v>
      </c>
      <c r="AG32" s="19" t="s">
        <v>38</v>
      </c>
      <c r="AH32" s="19" t="s">
        <v>92</v>
      </c>
    </row>
    <row r="33" spans="1:34" x14ac:dyDescent="0.3">
      <c r="A33" s="74" t="s">
        <v>1776</v>
      </c>
      <c r="B33" s="10" t="s">
        <v>1791</v>
      </c>
      <c r="C33" s="10" t="s">
        <v>1792</v>
      </c>
      <c r="D33" s="11">
        <v>45565</v>
      </c>
      <c r="E33" s="12">
        <v>235000</v>
      </c>
      <c r="F33" s="10" t="s">
        <v>32</v>
      </c>
      <c r="G33" s="10" t="s">
        <v>33</v>
      </c>
      <c r="H33" s="12">
        <v>235000</v>
      </c>
      <c r="I33" s="12">
        <v>122300</v>
      </c>
      <c r="J33" s="13">
        <f t="shared" si="7"/>
        <v>52.042553191489361</v>
      </c>
      <c r="K33" s="12">
        <v>248780</v>
      </c>
      <c r="L33" s="12">
        <f>H33-230363</f>
        <v>4637</v>
      </c>
      <c r="M33" s="12">
        <v>18417</v>
      </c>
      <c r="N33" s="66">
        <f t="shared" si="8"/>
        <v>7.8370212765957445E-2</v>
      </c>
      <c r="O33" s="14">
        <v>108.33</v>
      </c>
      <c r="P33" s="15">
        <v>104.56</v>
      </c>
      <c r="Q33" s="16">
        <v>0.28599999999999998</v>
      </c>
      <c r="R33" s="16">
        <v>0.28599999999999998</v>
      </c>
      <c r="S33" s="12">
        <f t="shared" si="9"/>
        <v>42.804393981353272</v>
      </c>
      <c r="T33" s="12">
        <f t="shared" si="10"/>
        <v>16213.286713286714</v>
      </c>
      <c r="U33" s="17">
        <f t="shared" si="11"/>
        <v>0.37220584741245899</v>
      </c>
      <c r="V33" s="16">
        <v>110.14</v>
      </c>
      <c r="W33" s="16">
        <f t="shared" si="12"/>
        <v>47000</v>
      </c>
      <c r="X33" s="16">
        <f t="shared" si="13"/>
        <v>426.72961685128018</v>
      </c>
      <c r="Y33" s="18" t="s">
        <v>1767</v>
      </c>
      <c r="Z33" s="10" t="s">
        <v>35</v>
      </c>
      <c r="AA33" s="10" t="s">
        <v>35</v>
      </c>
      <c r="AB33" s="10" t="s">
        <v>1776</v>
      </c>
      <c r="AC33" s="10">
        <v>0</v>
      </c>
      <c r="AD33" s="10">
        <v>1</v>
      </c>
      <c r="AE33" s="10" t="s">
        <v>42</v>
      </c>
      <c r="AF33" s="10" t="s">
        <v>43</v>
      </c>
      <c r="AG33" s="10" t="s">
        <v>38</v>
      </c>
      <c r="AH33" s="10" t="s">
        <v>92</v>
      </c>
    </row>
    <row r="35" spans="1:34" x14ac:dyDescent="0.3">
      <c r="H35" s="94" t="s">
        <v>3099</v>
      </c>
      <c r="N35"/>
      <c r="O35" s="95"/>
    </row>
    <row r="36" spans="1:34" x14ac:dyDescent="0.3">
      <c r="H36" s="383" t="s">
        <v>3163</v>
      </c>
      <c r="I36" s="383"/>
      <c r="J36" s="383"/>
      <c r="K36" s="383"/>
      <c r="L36" s="383"/>
      <c r="M36" s="383"/>
      <c r="N36" s="383"/>
      <c r="O36" s="383"/>
    </row>
    <row r="37" spans="1:34" x14ac:dyDescent="0.3">
      <c r="H37" s="383" t="s">
        <v>3164</v>
      </c>
      <c r="I37" s="383"/>
      <c r="J37" s="383"/>
      <c r="K37" s="383"/>
      <c r="L37" s="383"/>
      <c r="M37" s="383"/>
      <c r="N37" s="383"/>
      <c r="O37" s="383"/>
    </row>
    <row r="38" spans="1:34" x14ac:dyDescent="0.3">
      <c r="H38" s="383" t="s">
        <v>3165</v>
      </c>
      <c r="I38" s="383"/>
      <c r="J38" s="383"/>
      <c r="K38" s="383"/>
      <c r="L38" s="383"/>
      <c r="M38" s="383"/>
      <c r="N38" s="383"/>
      <c r="O38" s="383"/>
    </row>
    <row r="39" spans="1:34" x14ac:dyDescent="0.3">
      <c r="H39" s="383" t="s">
        <v>3166</v>
      </c>
      <c r="I39" s="383"/>
      <c r="J39" s="383"/>
      <c r="K39" s="383"/>
      <c r="L39" s="383"/>
      <c r="M39" s="96"/>
      <c r="N39" s="96"/>
      <c r="O39" s="96"/>
    </row>
    <row r="40" spans="1:34" x14ac:dyDescent="0.3">
      <c r="H40" s="383" t="s">
        <v>3167</v>
      </c>
      <c r="I40" s="383"/>
      <c r="J40" s="383"/>
      <c r="K40" s="383"/>
      <c r="L40" s="383"/>
      <c r="N40"/>
      <c r="O40" s="95"/>
    </row>
    <row r="41" spans="1:34" x14ac:dyDescent="0.3">
      <c r="H41" s="383" t="s">
        <v>3100</v>
      </c>
      <c r="I41" s="383"/>
      <c r="J41" s="383"/>
      <c r="K41" s="383"/>
      <c r="L41" s="383"/>
      <c r="N41"/>
      <c r="O41" s="95"/>
    </row>
  </sheetData>
  <sortState xmlns:xlrd2="http://schemas.microsoft.com/office/spreadsheetml/2017/richdata2" ref="A2:AH25">
    <sortCondition ref="S2:S25"/>
  </sortState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rgb="FFFF0000"/>
  </sheetPr>
  <dimension ref="A1:AH14"/>
  <sheetViews>
    <sheetView topLeftCell="A3" workbookViewId="0">
      <selection activeCell="C6" sqref="C6:N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5546875" bestFit="1" customWidth="1" collapsed="1"/>
    <col min="4" max="4" width="9.3320312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1824</v>
      </c>
      <c r="B2" s="10" t="s">
        <v>1821</v>
      </c>
      <c r="C2" s="10" t="s">
        <v>1822</v>
      </c>
      <c r="D2" s="11">
        <v>45660</v>
      </c>
      <c r="E2" s="12">
        <v>145000</v>
      </c>
      <c r="F2" s="10" t="s">
        <v>32</v>
      </c>
      <c r="G2" s="10" t="s">
        <v>33</v>
      </c>
      <c r="H2" s="12">
        <v>145000</v>
      </c>
      <c r="I2" s="12">
        <v>80800</v>
      </c>
      <c r="J2" s="13">
        <f>I2/H2*100</f>
        <v>55.724137931034477</v>
      </c>
      <c r="K2" s="12">
        <v>199288</v>
      </c>
      <c r="L2" s="12">
        <f>H2-189314</f>
        <v>-44314</v>
      </c>
      <c r="M2" s="12">
        <v>9974</v>
      </c>
      <c r="N2" s="66">
        <f>M2/E2</f>
        <v>6.8786206896551724E-2</v>
      </c>
      <c r="O2" s="14">
        <v>74.430000000000007</v>
      </c>
      <c r="P2" s="15">
        <v>305.26</v>
      </c>
      <c r="Q2" s="16">
        <v>0.46300000000000002</v>
      </c>
      <c r="R2" s="16">
        <v>0.46300000000000002</v>
      </c>
      <c r="S2" s="12">
        <f>L2/O2</f>
        <v>-595.37820771194401</v>
      </c>
      <c r="T2" s="12">
        <f>L2/Q2</f>
        <v>-95710.583153347732</v>
      </c>
      <c r="U2" s="17">
        <f>L2/Q2/43560</f>
        <v>-2.197212652739847</v>
      </c>
      <c r="V2" s="16">
        <v>66</v>
      </c>
      <c r="W2" s="16">
        <f>0.2*E2</f>
        <v>29000</v>
      </c>
      <c r="X2" s="16">
        <f>W2/V2</f>
        <v>439.39393939393938</v>
      </c>
      <c r="Y2" s="18" t="s">
        <v>1823</v>
      </c>
      <c r="Z2" s="10" t="s">
        <v>35</v>
      </c>
      <c r="AA2" s="10" t="s">
        <v>35</v>
      </c>
      <c r="AB2" s="10" t="s">
        <v>1824</v>
      </c>
      <c r="AC2" s="10">
        <v>0</v>
      </c>
      <c r="AD2" s="10">
        <v>1</v>
      </c>
      <c r="AE2" s="10" t="s">
        <v>1825</v>
      </c>
      <c r="AF2" s="10" t="s">
        <v>35</v>
      </c>
      <c r="AG2" s="10" t="s">
        <v>38</v>
      </c>
      <c r="AH2" s="10" t="s">
        <v>92</v>
      </c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145000</v>
      </c>
      <c r="F3" s="37"/>
      <c r="G3" s="37"/>
      <c r="H3" s="39">
        <f>+SUM(H2:H2)</f>
        <v>145000</v>
      </c>
      <c r="I3" s="39">
        <f>+SUM(I2:I2)</f>
        <v>80800</v>
      </c>
      <c r="J3" s="40"/>
      <c r="K3" s="39">
        <f>+SUM(K2:K2)</f>
        <v>199288</v>
      </c>
      <c r="L3" s="39">
        <f>+SUM(L2:L2)</f>
        <v>-44314</v>
      </c>
      <c r="M3" s="39">
        <f>+SUM(M2:M2)</f>
        <v>9974</v>
      </c>
      <c r="N3" s="81">
        <f>AVERAGE(N2:N2)</f>
        <v>6.8786206896551724E-2</v>
      </c>
      <c r="O3" s="41">
        <f>+SUM(O2:O2)</f>
        <v>74.430000000000007</v>
      </c>
      <c r="P3" s="42"/>
      <c r="Q3" s="43">
        <f>+SUM(Q2:Q2)</f>
        <v>0.46300000000000002</v>
      </c>
      <c r="R3" s="43">
        <f>+SUM(R2:R2)</f>
        <v>0.46300000000000002</v>
      </c>
      <c r="S3" s="39"/>
      <c r="T3" s="39"/>
      <c r="U3" s="44"/>
      <c r="V3" s="43"/>
      <c r="W3" s="82">
        <f>AVERAGE(W2:W2)</f>
        <v>29000</v>
      </c>
      <c r="X3" s="83">
        <f>AVERAGE(X2:X2)</f>
        <v>439.39393939393938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55.724137931034477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>
        <f>L3/O3</f>
        <v>-595.37820771194401</v>
      </c>
      <c r="P5" s="50"/>
      <c r="Q5" s="51" t="s">
        <v>2881</v>
      </c>
      <c r="R5" s="51">
        <f>L3/Q3</f>
        <v>-95710.583153347732</v>
      </c>
      <c r="S5" s="48"/>
      <c r="T5" s="48" t="s">
        <v>2882</v>
      </c>
      <c r="U5" s="52">
        <f>L3/Q3/43560</f>
        <v>-2.197212652739847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00B050"/>
  </sheetPr>
  <dimension ref="A1:AH29"/>
  <sheetViews>
    <sheetView workbookViewId="0">
      <selection activeCell="E15" sqref="E15:M21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1829</v>
      </c>
      <c r="B2" s="10" t="s">
        <v>1889</v>
      </c>
      <c r="C2" s="10" t="s">
        <v>1890</v>
      </c>
      <c r="D2" s="11">
        <v>45474</v>
      </c>
      <c r="E2" s="12">
        <v>129000</v>
      </c>
      <c r="F2" s="10" t="s">
        <v>32</v>
      </c>
      <c r="G2" s="10" t="s">
        <v>33</v>
      </c>
      <c r="H2" s="12">
        <v>129000</v>
      </c>
      <c r="I2" s="12">
        <v>56300</v>
      </c>
      <c r="J2" s="13">
        <f t="shared" ref="J2:J11" si="0">I2/H2*100</f>
        <v>43.643410852713174</v>
      </c>
      <c r="K2" s="12">
        <v>128947</v>
      </c>
      <c r="L2" s="12">
        <f>H2-120831</f>
        <v>8169</v>
      </c>
      <c r="M2" s="12">
        <v>8116</v>
      </c>
      <c r="N2" s="66">
        <f t="shared" ref="N2:N11" si="1">M2/E2</f>
        <v>6.2914728682170545E-2</v>
      </c>
      <c r="O2" s="14">
        <v>40.369999999999997</v>
      </c>
      <c r="P2" s="15">
        <v>127.36</v>
      </c>
      <c r="Q2" s="16">
        <v>0.11700000000000001</v>
      </c>
      <c r="R2" s="16">
        <v>0.11700000000000001</v>
      </c>
      <c r="S2" s="12">
        <f t="shared" ref="S2:S11" si="2">L2/O2</f>
        <v>202.35323259846422</v>
      </c>
      <c r="T2" s="12">
        <f t="shared" ref="T2:T11" si="3">L2/Q2</f>
        <v>69820.512820512813</v>
      </c>
      <c r="U2" s="17">
        <f t="shared" ref="U2:U11" si="4">L2/Q2/43560</f>
        <v>1.602858421040239</v>
      </c>
      <c r="V2" s="16">
        <v>40</v>
      </c>
      <c r="W2" s="16">
        <f t="shared" ref="W2:W11" si="5">0.2*E2</f>
        <v>25800</v>
      </c>
      <c r="X2" s="16">
        <f t="shared" ref="X2:X11" si="6">W2/V2</f>
        <v>645</v>
      </c>
      <c r="Y2" s="18" t="s">
        <v>1828</v>
      </c>
      <c r="Z2" s="10" t="s">
        <v>35</v>
      </c>
      <c r="AA2" s="10" t="s">
        <v>35</v>
      </c>
      <c r="AB2" s="10" t="s">
        <v>1829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1830</v>
      </c>
    </row>
    <row r="3" spans="1:34" x14ac:dyDescent="0.3">
      <c r="A3" s="75" t="s">
        <v>1829</v>
      </c>
      <c r="B3" s="19" t="s">
        <v>1871</v>
      </c>
      <c r="C3" s="19" t="s">
        <v>1872</v>
      </c>
      <c r="D3" s="20">
        <v>45576</v>
      </c>
      <c r="E3" s="21">
        <v>205001</v>
      </c>
      <c r="F3" s="19" t="s">
        <v>32</v>
      </c>
      <c r="G3" s="19" t="s">
        <v>33</v>
      </c>
      <c r="H3" s="21">
        <v>205001</v>
      </c>
      <c r="I3" s="21">
        <v>86200</v>
      </c>
      <c r="J3" s="22">
        <f t="shared" si="0"/>
        <v>42.048575372803057</v>
      </c>
      <c r="K3" s="21">
        <v>199021</v>
      </c>
      <c r="L3" s="21">
        <f>H3-173705</f>
        <v>31296</v>
      </c>
      <c r="M3" s="21">
        <v>25316</v>
      </c>
      <c r="N3" s="67">
        <f t="shared" si="1"/>
        <v>0.12349208052643645</v>
      </c>
      <c r="O3" s="23">
        <v>125.95</v>
      </c>
      <c r="P3" s="24">
        <v>135.09</v>
      </c>
      <c r="Q3" s="25">
        <v>0.372</v>
      </c>
      <c r="R3" s="25">
        <v>0.372</v>
      </c>
      <c r="S3" s="21">
        <f t="shared" si="2"/>
        <v>248.47955537911869</v>
      </c>
      <c r="T3" s="21">
        <f t="shared" si="3"/>
        <v>84129.032258064515</v>
      </c>
      <c r="U3" s="26">
        <f t="shared" si="4"/>
        <v>1.9313368286975325</v>
      </c>
      <c r="V3" s="25">
        <v>123.47</v>
      </c>
      <c r="W3" s="25">
        <f t="shared" si="5"/>
        <v>41000.200000000004</v>
      </c>
      <c r="X3" s="25">
        <f t="shared" si="6"/>
        <v>332.0660889284847</v>
      </c>
      <c r="Y3" s="27" t="s">
        <v>1828</v>
      </c>
      <c r="Z3" s="19" t="s">
        <v>35</v>
      </c>
      <c r="AA3" s="19" t="s">
        <v>35</v>
      </c>
      <c r="AB3" s="19" t="s">
        <v>1829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1830</v>
      </c>
    </row>
    <row r="4" spans="1:34" x14ac:dyDescent="0.3">
      <c r="A4" s="75" t="s">
        <v>1829</v>
      </c>
      <c r="B4" s="19" t="s">
        <v>1877</v>
      </c>
      <c r="C4" s="19" t="s">
        <v>1878</v>
      </c>
      <c r="D4" s="20">
        <v>45623</v>
      </c>
      <c r="E4" s="21">
        <v>130900</v>
      </c>
      <c r="F4" s="19" t="s">
        <v>32</v>
      </c>
      <c r="G4" s="19" t="s">
        <v>33</v>
      </c>
      <c r="H4" s="21">
        <v>130900</v>
      </c>
      <c r="I4" s="21">
        <v>56000</v>
      </c>
      <c r="J4" s="22">
        <f t="shared" si="0"/>
        <v>42.780748663101605</v>
      </c>
      <c r="K4" s="21">
        <v>128573</v>
      </c>
      <c r="L4" s="21">
        <f>H4-119145</f>
        <v>11755</v>
      </c>
      <c r="M4" s="21">
        <v>9428</v>
      </c>
      <c r="N4" s="67">
        <f t="shared" si="1"/>
        <v>7.2024446142093204E-2</v>
      </c>
      <c r="O4" s="23">
        <v>46.9</v>
      </c>
      <c r="P4" s="24">
        <v>110</v>
      </c>
      <c r="Q4" s="25">
        <v>0.126</v>
      </c>
      <c r="R4" s="25">
        <v>0.126</v>
      </c>
      <c r="S4" s="21">
        <f t="shared" si="2"/>
        <v>250.63965884861409</v>
      </c>
      <c r="T4" s="21">
        <f t="shared" si="3"/>
        <v>93293.650793650799</v>
      </c>
      <c r="U4" s="26">
        <f t="shared" si="4"/>
        <v>2.1417275205153996</v>
      </c>
      <c r="V4" s="25">
        <v>50</v>
      </c>
      <c r="W4" s="25">
        <f t="shared" si="5"/>
        <v>26180</v>
      </c>
      <c r="X4" s="25">
        <f t="shared" si="6"/>
        <v>523.6</v>
      </c>
      <c r="Y4" s="27" t="s">
        <v>1828</v>
      </c>
      <c r="Z4" s="19" t="s">
        <v>35</v>
      </c>
      <c r="AA4" s="19" t="s">
        <v>35</v>
      </c>
      <c r="AB4" s="19" t="s">
        <v>1829</v>
      </c>
      <c r="AC4" s="19">
        <v>0</v>
      </c>
      <c r="AD4" s="19">
        <v>1</v>
      </c>
      <c r="AE4" s="19" t="s">
        <v>42</v>
      </c>
      <c r="AF4" s="19" t="s">
        <v>35</v>
      </c>
      <c r="AG4" s="19" t="s">
        <v>38</v>
      </c>
      <c r="AH4" s="19" t="s">
        <v>1830</v>
      </c>
    </row>
    <row r="5" spans="1:34" x14ac:dyDescent="0.3">
      <c r="A5" s="75" t="s">
        <v>1829</v>
      </c>
      <c r="B5" s="19" t="s">
        <v>1863</v>
      </c>
      <c r="C5" s="19" t="s">
        <v>1864</v>
      </c>
      <c r="D5" s="20">
        <v>45224</v>
      </c>
      <c r="E5" s="21">
        <v>140000</v>
      </c>
      <c r="F5" s="19" t="s">
        <v>32</v>
      </c>
      <c r="G5" s="19" t="s">
        <v>33</v>
      </c>
      <c r="H5" s="21">
        <v>140000</v>
      </c>
      <c r="I5" s="21">
        <v>51100</v>
      </c>
      <c r="J5" s="22">
        <f t="shared" si="0"/>
        <v>36.5</v>
      </c>
      <c r="K5" s="21">
        <v>135925</v>
      </c>
      <c r="L5" s="21">
        <f>H5-124612</f>
        <v>15388</v>
      </c>
      <c r="M5" s="21">
        <v>11313</v>
      </c>
      <c r="N5" s="67">
        <f t="shared" si="1"/>
        <v>8.0807142857142855E-2</v>
      </c>
      <c r="O5" s="23">
        <v>56.28</v>
      </c>
      <c r="P5" s="24">
        <v>110</v>
      </c>
      <c r="Q5" s="25">
        <v>0.152</v>
      </c>
      <c r="R5" s="25">
        <v>0.152</v>
      </c>
      <c r="S5" s="21">
        <f t="shared" si="2"/>
        <v>273.4186211798152</v>
      </c>
      <c r="T5" s="21">
        <f t="shared" si="3"/>
        <v>101236.84210526316</v>
      </c>
      <c r="U5" s="26">
        <f t="shared" si="4"/>
        <v>2.3240781015900636</v>
      </c>
      <c r="V5" s="25">
        <v>60</v>
      </c>
      <c r="W5" s="25">
        <f t="shared" si="5"/>
        <v>28000</v>
      </c>
      <c r="X5" s="25">
        <f t="shared" si="6"/>
        <v>466.66666666666669</v>
      </c>
      <c r="Y5" s="27" t="s">
        <v>1828</v>
      </c>
      <c r="Z5" s="19" t="s">
        <v>35</v>
      </c>
      <c r="AA5" s="19" t="s">
        <v>35</v>
      </c>
      <c r="AB5" s="19" t="s">
        <v>1829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1830</v>
      </c>
    </row>
    <row r="6" spans="1:34" x14ac:dyDescent="0.3">
      <c r="A6" s="74" t="s">
        <v>1829</v>
      </c>
      <c r="B6" s="10" t="s">
        <v>1867</v>
      </c>
      <c r="C6" s="10" t="s">
        <v>1868</v>
      </c>
      <c r="D6" s="11">
        <v>45449</v>
      </c>
      <c r="E6" s="12">
        <v>150000</v>
      </c>
      <c r="F6" s="10" t="s">
        <v>32</v>
      </c>
      <c r="G6" s="10" t="s">
        <v>33</v>
      </c>
      <c r="H6" s="12">
        <v>150000</v>
      </c>
      <c r="I6" s="12">
        <v>60800</v>
      </c>
      <c r="J6" s="13">
        <f t="shared" si="0"/>
        <v>40.533333333333331</v>
      </c>
      <c r="K6" s="12">
        <v>138596</v>
      </c>
      <c r="L6" s="12">
        <f>H6-131054</f>
        <v>18946</v>
      </c>
      <c r="M6" s="12">
        <v>7542</v>
      </c>
      <c r="N6" s="66">
        <f t="shared" si="1"/>
        <v>5.0279999999999998E-2</v>
      </c>
      <c r="O6" s="14">
        <v>37.520000000000003</v>
      </c>
      <c r="P6" s="15">
        <v>110</v>
      </c>
      <c r="Q6" s="16">
        <v>0.10100000000000001</v>
      </c>
      <c r="R6" s="16">
        <v>0.10100000000000001</v>
      </c>
      <c r="S6" s="12">
        <f t="shared" si="2"/>
        <v>504.95735607675903</v>
      </c>
      <c r="T6" s="12">
        <f t="shared" si="3"/>
        <v>187584.15841584158</v>
      </c>
      <c r="U6" s="17">
        <f t="shared" si="4"/>
        <v>4.3063397248815791</v>
      </c>
      <c r="V6" s="16">
        <v>40</v>
      </c>
      <c r="W6" s="16">
        <f t="shared" si="5"/>
        <v>30000</v>
      </c>
      <c r="X6" s="16">
        <f t="shared" si="6"/>
        <v>750</v>
      </c>
      <c r="Y6" s="18" t="s">
        <v>1828</v>
      </c>
      <c r="Z6" s="10" t="s">
        <v>35</v>
      </c>
      <c r="AA6" s="10" t="s">
        <v>35</v>
      </c>
      <c r="AB6" s="10" t="s">
        <v>1829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1830</v>
      </c>
    </row>
    <row r="7" spans="1:34" x14ac:dyDescent="0.3">
      <c r="A7" s="74" t="s">
        <v>1829</v>
      </c>
      <c r="B7" s="10" t="s">
        <v>1883</v>
      </c>
      <c r="C7" s="10" t="s">
        <v>1884</v>
      </c>
      <c r="D7" s="11">
        <v>45125</v>
      </c>
      <c r="E7" s="12">
        <v>185000</v>
      </c>
      <c r="F7" s="10" t="s">
        <v>32</v>
      </c>
      <c r="G7" s="10" t="s">
        <v>33</v>
      </c>
      <c r="H7" s="12">
        <v>185000</v>
      </c>
      <c r="I7" s="12">
        <v>53900</v>
      </c>
      <c r="J7" s="13">
        <f t="shared" si="0"/>
        <v>29.135135135135137</v>
      </c>
      <c r="K7" s="12">
        <v>141551</v>
      </c>
      <c r="L7" s="12">
        <f>H7-118129</f>
        <v>66871</v>
      </c>
      <c r="M7" s="12">
        <v>23422</v>
      </c>
      <c r="N7" s="66">
        <f t="shared" si="1"/>
        <v>0.12660540540540541</v>
      </c>
      <c r="O7" s="14">
        <v>116.52</v>
      </c>
      <c r="P7" s="15">
        <v>127.4</v>
      </c>
      <c r="Q7" s="16">
        <v>0.33400000000000002</v>
      </c>
      <c r="R7" s="16">
        <v>0.33400000000000002</v>
      </c>
      <c r="S7" s="12">
        <f t="shared" si="2"/>
        <v>573.90147614143496</v>
      </c>
      <c r="T7" s="12">
        <f t="shared" si="3"/>
        <v>200212.5748502994</v>
      </c>
      <c r="U7" s="17">
        <f t="shared" si="4"/>
        <v>4.5962482748002618</v>
      </c>
      <c r="V7" s="16">
        <v>117.6</v>
      </c>
      <c r="W7" s="16">
        <f t="shared" si="5"/>
        <v>37000</v>
      </c>
      <c r="X7" s="16">
        <f t="shared" si="6"/>
        <v>314.62585034013608</v>
      </c>
      <c r="Y7" s="18" t="s">
        <v>1828</v>
      </c>
      <c r="Z7" s="10" t="s">
        <v>35</v>
      </c>
      <c r="AA7" s="10" t="s">
        <v>35</v>
      </c>
      <c r="AB7" s="10" t="s">
        <v>1829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1830</v>
      </c>
    </row>
    <row r="8" spans="1:34" x14ac:dyDescent="0.3">
      <c r="A8" s="75" t="s">
        <v>1829</v>
      </c>
      <c r="B8" s="19" t="s">
        <v>1885</v>
      </c>
      <c r="C8" s="19" t="s">
        <v>1886</v>
      </c>
      <c r="D8" s="20">
        <v>45167</v>
      </c>
      <c r="E8" s="21">
        <v>144000</v>
      </c>
      <c r="F8" s="19" t="s">
        <v>32</v>
      </c>
      <c r="G8" s="19" t="s">
        <v>33</v>
      </c>
      <c r="H8" s="21">
        <v>144000</v>
      </c>
      <c r="I8" s="21">
        <v>50100</v>
      </c>
      <c r="J8" s="22">
        <f t="shared" si="0"/>
        <v>34.791666666666664</v>
      </c>
      <c r="K8" s="21">
        <v>126984</v>
      </c>
      <c r="L8" s="21">
        <f>H8-118907</f>
        <v>25093</v>
      </c>
      <c r="M8" s="21">
        <v>8077</v>
      </c>
      <c r="N8" s="67">
        <f t="shared" si="1"/>
        <v>5.6090277777777781E-2</v>
      </c>
      <c r="O8" s="23">
        <v>40.18</v>
      </c>
      <c r="P8" s="24">
        <v>126.14</v>
      </c>
      <c r="Q8" s="25">
        <v>0.11600000000000001</v>
      </c>
      <c r="R8" s="25">
        <v>0.11600000000000001</v>
      </c>
      <c r="S8" s="21">
        <f t="shared" si="2"/>
        <v>624.51468392234938</v>
      </c>
      <c r="T8" s="21">
        <f t="shared" si="3"/>
        <v>216318.96551724136</v>
      </c>
      <c r="U8" s="26">
        <f t="shared" si="4"/>
        <v>4.9660001266584333</v>
      </c>
      <c r="V8" s="25">
        <v>40</v>
      </c>
      <c r="W8" s="25">
        <f t="shared" si="5"/>
        <v>28800</v>
      </c>
      <c r="X8" s="25">
        <f t="shared" si="6"/>
        <v>720</v>
      </c>
      <c r="Y8" s="27" t="s">
        <v>1828</v>
      </c>
      <c r="Z8" s="19" t="s">
        <v>35</v>
      </c>
      <c r="AA8" s="19" t="s">
        <v>35</v>
      </c>
      <c r="AB8" s="19" t="s">
        <v>1829</v>
      </c>
      <c r="AC8" s="19">
        <v>0</v>
      </c>
      <c r="AD8" s="19">
        <v>1</v>
      </c>
      <c r="AE8" s="19" t="s">
        <v>37</v>
      </c>
      <c r="AF8" s="19" t="s">
        <v>43</v>
      </c>
      <c r="AG8" s="19" t="s">
        <v>38</v>
      </c>
      <c r="AH8" s="19" t="s">
        <v>1830</v>
      </c>
    </row>
    <row r="9" spans="1:34" x14ac:dyDescent="0.3">
      <c r="A9" s="75" t="s">
        <v>1829</v>
      </c>
      <c r="B9" s="19" t="s">
        <v>1865</v>
      </c>
      <c r="C9" s="19" t="s">
        <v>1866</v>
      </c>
      <c r="D9" s="20">
        <v>45464</v>
      </c>
      <c r="E9" s="21">
        <v>159000</v>
      </c>
      <c r="F9" s="19" t="s">
        <v>32</v>
      </c>
      <c r="G9" s="19" t="s">
        <v>33</v>
      </c>
      <c r="H9" s="21">
        <v>159000</v>
      </c>
      <c r="I9" s="21">
        <v>57000</v>
      </c>
      <c r="J9" s="22">
        <f t="shared" si="0"/>
        <v>35.849056603773583</v>
      </c>
      <c r="K9" s="21">
        <v>134903</v>
      </c>
      <c r="L9" s="21">
        <f>H9-123590</f>
        <v>35410</v>
      </c>
      <c r="M9" s="21">
        <v>11313</v>
      </c>
      <c r="N9" s="67">
        <f t="shared" si="1"/>
        <v>7.1150943396226421E-2</v>
      </c>
      <c r="O9" s="23">
        <v>56.28</v>
      </c>
      <c r="P9" s="24">
        <v>110</v>
      </c>
      <c r="Q9" s="25">
        <v>0.152</v>
      </c>
      <c r="R9" s="25">
        <v>0.152</v>
      </c>
      <c r="S9" s="21">
        <f t="shared" si="2"/>
        <v>629.1755508173419</v>
      </c>
      <c r="T9" s="21">
        <f t="shared" si="3"/>
        <v>232960.52631578947</v>
      </c>
      <c r="U9" s="26">
        <f t="shared" si="4"/>
        <v>5.3480377942100432</v>
      </c>
      <c r="V9" s="25">
        <v>60</v>
      </c>
      <c r="W9" s="25">
        <f t="shared" si="5"/>
        <v>31800</v>
      </c>
      <c r="X9" s="25">
        <f t="shared" si="6"/>
        <v>530</v>
      </c>
      <c r="Y9" s="27" t="s">
        <v>1828</v>
      </c>
      <c r="Z9" s="19" t="s">
        <v>35</v>
      </c>
      <c r="AA9" s="19" t="s">
        <v>35</v>
      </c>
      <c r="AB9" s="19" t="s">
        <v>1829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1830</v>
      </c>
    </row>
    <row r="10" spans="1:34" x14ac:dyDescent="0.3">
      <c r="A10" s="75" t="s">
        <v>1829</v>
      </c>
      <c r="B10" s="19" t="s">
        <v>1873</v>
      </c>
      <c r="C10" s="19" t="s">
        <v>1874</v>
      </c>
      <c r="D10" s="20">
        <v>45182</v>
      </c>
      <c r="E10" s="21">
        <v>220000</v>
      </c>
      <c r="F10" s="19" t="s">
        <v>32</v>
      </c>
      <c r="G10" s="19" t="s">
        <v>33</v>
      </c>
      <c r="H10" s="21">
        <v>220000</v>
      </c>
      <c r="I10" s="21">
        <v>49300</v>
      </c>
      <c r="J10" s="22">
        <f t="shared" si="0"/>
        <v>22.40909090909091</v>
      </c>
      <c r="K10" s="21">
        <v>163185</v>
      </c>
      <c r="L10" s="21">
        <f>H10-139494</f>
        <v>80506</v>
      </c>
      <c r="M10" s="21">
        <v>23691</v>
      </c>
      <c r="N10" s="67">
        <f t="shared" si="1"/>
        <v>0.10768636363636364</v>
      </c>
      <c r="O10" s="23">
        <v>117.86</v>
      </c>
      <c r="P10" s="24">
        <v>135.09</v>
      </c>
      <c r="Q10" s="25">
        <v>0.35499999999999998</v>
      </c>
      <c r="R10" s="25">
        <v>0.35499999999999998</v>
      </c>
      <c r="S10" s="21">
        <f t="shared" si="2"/>
        <v>683.06465297810962</v>
      </c>
      <c r="T10" s="21">
        <f t="shared" si="3"/>
        <v>226777.46478873241</v>
      </c>
      <c r="U10" s="26">
        <f t="shared" si="4"/>
        <v>5.2060942329828377</v>
      </c>
      <c r="V10" s="25">
        <v>111.13</v>
      </c>
      <c r="W10" s="25">
        <f t="shared" si="5"/>
        <v>44000</v>
      </c>
      <c r="X10" s="25">
        <f t="shared" si="6"/>
        <v>395.93269144245482</v>
      </c>
      <c r="Y10" s="27" t="s">
        <v>1828</v>
      </c>
      <c r="Z10" s="19" t="s">
        <v>35</v>
      </c>
      <c r="AA10" s="19" t="s">
        <v>35</v>
      </c>
      <c r="AB10" s="19" t="s">
        <v>1829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1830</v>
      </c>
    </row>
    <row r="11" spans="1:34" ht="15" thickBot="1" x14ac:dyDescent="0.35">
      <c r="A11" s="75" t="s">
        <v>1829</v>
      </c>
      <c r="B11" s="19" t="s">
        <v>1887</v>
      </c>
      <c r="C11" s="19" t="s">
        <v>1888</v>
      </c>
      <c r="D11" s="20">
        <v>45485</v>
      </c>
      <c r="E11" s="21">
        <v>155000</v>
      </c>
      <c r="F11" s="19" t="s">
        <v>32</v>
      </c>
      <c r="G11" s="19" t="s">
        <v>33</v>
      </c>
      <c r="H11" s="21">
        <v>155000</v>
      </c>
      <c r="I11" s="21">
        <v>55300</v>
      </c>
      <c r="J11" s="22">
        <f t="shared" si="0"/>
        <v>35.677419354838705</v>
      </c>
      <c r="K11" s="21">
        <v>127012</v>
      </c>
      <c r="L11" s="21">
        <f>H11-118907</f>
        <v>36093</v>
      </c>
      <c r="M11" s="21">
        <v>8105</v>
      </c>
      <c r="N11" s="67">
        <f t="shared" si="1"/>
        <v>5.2290322580645164E-2</v>
      </c>
      <c r="O11" s="23">
        <v>40.32</v>
      </c>
      <c r="P11" s="24">
        <v>127.03</v>
      </c>
      <c r="Q11" s="25">
        <v>0.11700000000000001</v>
      </c>
      <c r="R11" s="25">
        <v>0.11700000000000001</v>
      </c>
      <c r="S11" s="21">
        <f t="shared" si="2"/>
        <v>895.16369047619048</v>
      </c>
      <c r="T11" s="21">
        <f t="shared" si="3"/>
        <v>308487.17948717944</v>
      </c>
      <c r="U11" s="26">
        <f t="shared" si="4"/>
        <v>7.0818911728002627</v>
      </c>
      <c r="V11" s="25">
        <v>40</v>
      </c>
      <c r="W11" s="25">
        <f t="shared" si="5"/>
        <v>31000</v>
      </c>
      <c r="X11" s="25">
        <f t="shared" si="6"/>
        <v>775</v>
      </c>
      <c r="Y11" s="27" t="s">
        <v>1828</v>
      </c>
      <c r="Z11" s="19" t="s">
        <v>35</v>
      </c>
      <c r="AA11" s="19" t="s">
        <v>35</v>
      </c>
      <c r="AB11" s="19" t="s">
        <v>1829</v>
      </c>
      <c r="AC11" s="19">
        <v>0</v>
      </c>
      <c r="AD11" s="19">
        <v>1</v>
      </c>
      <c r="AE11" s="19" t="s">
        <v>37</v>
      </c>
      <c r="AF11" s="19" t="s">
        <v>43</v>
      </c>
      <c r="AG11" s="19" t="s">
        <v>38</v>
      </c>
      <c r="AH11" s="19" t="s">
        <v>1830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1617901</v>
      </c>
      <c r="F12" s="37"/>
      <c r="G12" s="37"/>
      <c r="H12" s="39">
        <f>+SUM(H2:H11)</f>
        <v>1617901</v>
      </c>
      <c r="I12" s="39">
        <f>+SUM(I2:I11)</f>
        <v>576000</v>
      </c>
      <c r="J12" s="40"/>
      <c r="K12" s="39">
        <f>+SUM(K2:K11)</f>
        <v>1424697</v>
      </c>
      <c r="L12" s="39">
        <f>+SUM(L2:L11)</f>
        <v>329527</v>
      </c>
      <c r="M12" s="39">
        <f>+SUM(M2:M11)</f>
        <v>136323</v>
      </c>
      <c r="N12" s="81">
        <f>AVERAGE(N2:N11)</f>
        <v>8.0334171100426149E-2</v>
      </c>
      <c r="O12" s="41">
        <f>+SUM(O2:O11)</f>
        <v>678.18000000000006</v>
      </c>
      <c r="P12" s="42"/>
      <c r="Q12" s="43">
        <f>+SUM(Q2:Q11)</f>
        <v>1.9419999999999999</v>
      </c>
      <c r="R12" s="43">
        <f>+SUM(R2:R11)</f>
        <v>1.9419999999999999</v>
      </c>
      <c r="S12" s="39"/>
      <c r="T12" s="39"/>
      <c r="U12" s="44"/>
      <c r="V12" s="43"/>
      <c r="W12" s="82">
        <f>AVERAGE(W2:W11)</f>
        <v>32358.02</v>
      </c>
      <c r="X12" s="83">
        <f>AVERAGE(X2:X11)</f>
        <v>545.28912973777426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35.601683910202169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6.6171335812931407</v>
      </c>
      <c r="K14" s="48"/>
      <c r="L14" s="48"/>
      <c r="M14" s="48" t="s">
        <v>2880</v>
      </c>
      <c r="N14" s="80"/>
      <c r="O14" s="54">
        <f>L12/O12</f>
        <v>485.89902385797274</v>
      </c>
      <c r="P14" s="50"/>
      <c r="Q14" s="51" t="s">
        <v>2881</v>
      </c>
      <c r="R14" s="51">
        <f>L12/Q12</f>
        <v>169684.34603501545</v>
      </c>
      <c r="S14" s="48"/>
      <c r="T14" s="48" t="s">
        <v>2882</v>
      </c>
      <c r="U14" s="52">
        <f>L12/Q12/43560</f>
        <v>3.895416575643146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34" x14ac:dyDescent="0.3">
      <c r="E20" s="383" t="s">
        <v>3167</v>
      </c>
      <c r="F20" s="383"/>
      <c r="G20" s="383"/>
      <c r="H20" s="383"/>
      <c r="I20" s="383"/>
      <c r="L20" s="95"/>
    </row>
    <row r="21" spans="1:34" x14ac:dyDescent="0.3">
      <c r="E21" s="383" t="s">
        <v>3100</v>
      </c>
      <c r="F21" s="383"/>
      <c r="G21" s="383"/>
      <c r="H21" s="383"/>
      <c r="I21" s="383"/>
      <c r="L21" s="95"/>
    </row>
    <row r="22" spans="1:34" x14ac:dyDescent="0.3">
      <c r="E22" s="96"/>
      <c r="F22" s="96"/>
      <c r="G22" s="96"/>
      <c r="H22" s="96"/>
      <c r="I22" s="96"/>
      <c r="L22" s="95"/>
    </row>
    <row r="23" spans="1:34" x14ac:dyDescent="0.3">
      <c r="A23" s="55" t="s">
        <v>3092</v>
      </c>
      <c r="E23" s="96"/>
      <c r="F23" s="96"/>
      <c r="G23" s="96"/>
      <c r="H23" s="96"/>
      <c r="I23" s="96"/>
      <c r="L23" s="95"/>
    </row>
    <row r="24" spans="1:34" x14ac:dyDescent="0.3">
      <c r="A24" s="74" t="s">
        <v>1829</v>
      </c>
      <c r="B24" s="10" t="s">
        <v>1877</v>
      </c>
      <c r="C24" s="10" t="s">
        <v>1878</v>
      </c>
      <c r="D24" s="11">
        <v>45471</v>
      </c>
      <c r="E24" s="12">
        <v>65625</v>
      </c>
      <c r="F24" s="10" t="s">
        <v>32</v>
      </c>
      <c r="G24" s="10" t="s">
        <v>33</v>
      </c>
      <c r="H24" s="12">
        <v>65625</v>
      </c>
      <c r="I24" s="12">
        <v>56000</v>
      </c>
      <c r="J24" s="13">
        <f t="shared" ref="J24:J27" si="7">I24/H24*100</f>
        <v>85.333333333333343</v>
      </c>
      <c r="K24" s="12">
        <v>128573</v>
      </c>
      <c r="L24" s="12">
        <f>H24-119145</f>
        <v>-53520</v>
      </c>
      <c r="M24" s="12">
        <v>9428</v>
      </c>
      <c r="N24" s="66">
        <f t="shared" ref="N24:N27" si="8">M24/E24</f>
        <v>0.14366476190476191</v>
      </c>
      <c r="O24" s="14">
        <v>46.9</v>
      </c>
      <c r="P24" s="15">
        <v>110</v>
      </c>
      <c r="Q24" s="16">
        <v>0.126</v>
      </c>
      <c r="R24" s="16">
        <v>0.126</v>
      </c>
      <c r="S24" s="12">
        <f t="shared" ref="S24:S27" si="9">L24/O24</f>
        <v>-1141.1513859275053</v>
      </c>
      <c r="T24" s="12">
        <f t="shared" ref="T24:T27" si="10">L24/Q24</f>
        <v>-424761.90476190473</v>
      </c>
      <c r="U24" s="17">
        <f t="shared" ref="U24:U27" si="11">L24/Q24/43560</f>
        <v>-9.7511915693733862</v>
      </c>
      <c r="V24" s="16">
        <v>50</v>
      </c>
      <c r="W24" s="16">
        <f t="shared" ref="W24:W27" si="12">0.2*E24</f>
        <v>13125</v>
      </c>
      <c r="X24" s="16">
        <f t="shared" ref="X24:X27" si="13">W24/V24</f>
        <v>262.5</v>
      </c>
      <c r="Y24" s="18" t="s">
        <v>1828</v>
      </c>
      <c r="Z24" s="10" t="s">
        <v>35</v>
      </c>
      <c r="AA24" s="10" t="s">
        <v>35</v>
      </c>
      <c r="AB24" s="10" t="s">
        <v>1829</v>
      </c>
      <c r="AC24" s="10">
        <v>0</v>
      </c>
      <c r="AD24" s="10">
        <v>1</v>
      </c>
      <c r="AE24" s="10" t="s">
        <v>42</v>
      </c>
      <c r="AF24" s="10" t="s">
        <v>43</v>
      </c>
      <c r="AG24" s="10" t="s">
        <v>38</v>
      </c>
      <c r="AH24" s="10" t="s">
        <v>1830</v>
      </c>
    </row>
    <row r="25" spans="1:34" x14ac:dyDescent="0.3">
      <c r="A25" s="74" t="s">
        <v>1829</v>
      </c>
      <c r="B25" s="10" t="s">
        <v>1875</v>
      </c>
      <c r="C25" s="10" t="s">
        <v>1876</v>
      </c>
      <c r="D25" s="11">
        <v>45092</v>
      </c>
      <c r="E25" s="12">
        <v>105000</v>
      </c>
      <c r="F25" s="10" t="s">
        <v>32</v>
      </c>
      <c r="G25" s="10" t="s">
        <v>33</v>
      </c>
      <c r="H25" s="12">
        <v>105000</v>
      </c>
      <c r="I25" s="12">
        <v>50800</v>
      </c>
      <c r="J25" s="13">
        <f t="shared" si="7"/>
        <v>48.38095238095238</v>
      </c>
      <c r="K25" s="12">
        <v>134238</v>
      </c>
      <c r="L25" s="12">
        <f>H25-122371</f>
        <v>-17371</v>
      </c>
      <c r="M25" s="12">
        <v>11867</v>
      </c>
      <c r="N25" s="66">
        <f t="shared" si="8"/>
        <v>0.11301904761904762</v>
      </c>
      <c r="O25" s="14">
        <v>59.04</v>
      </c>
      <c r="P25" s="15">
        <v>135</v>
      </c>
      <c r="Q25" s="16">
        <v>0.23499999999999999</v>
      </c>
      <c r="R25" s="16">
        <v>0.17299999999999999</v>
      </c>
      <c r="S25" s="12">
        <f t="shared" si="9"/>
        <v>-294.22425474254743</v>
      </c>
      <c r="T25" s="12">
        <f t="shared" si="10"/>
        <v>-73919.148936170212</v>
      </c>
      <c r="U25" s="17">
        <f t="shared" si="11"/>
        <v>-1.6969501592325578</v>
      </c>
      <c r="V25" s="16">
        <v>58.49</v>
      </c>
      <c r="W25" s="16">
        <f t="shared" si="12"/>
        <v>21000</v>
      </c>
      <c r="X25" s="16">
        <f t="shared" si="13"/>
        <v>359.03573260386389</v>
      </c>
      <c r="Y25" s="18" t="s">
        <v>1828</v>
      </c>
      <c r="Z25" s="10" t="s">
        <v>35</v>
      </c>
      <c r="AA25" s="10" t="s">
        <v>35</v>
      </c>
      <c r="AB25" s="10" t="s">
        <v>1829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1830</v>
      </c>
    </row>
    <row r="26" spans="1:34" x14ac:dyDescent="0.3">
      <c r="A26" s="74" t="s">
        <v>1829</v>
      </c>
      <c r="B26" s="10" t="s">
        <v>1869</v>
      </c>
      <c r="C26" s="10" t="s">
        <v>1870</v>
      </c>
      <c r="D26" s="11">
        <v>45132</v>
      </c>
      <c r="E26" s="12">
        <v>178000</v>
      </c>
      <c r="F26" s="10" t="s">
        <v>32</v>
      </c>
      <c r="G26" s="10" t="s">
        <v>33</v>
      </c>
      <c r="H26" s="12">
        <v>178000</v>
      </c>
      <c r="I26" s="12">
        <v>90100</v>
      </c>
      <c r="J26" s="13">
        <f t="shared" si="7"/>
        <v>50.617977528089888</v>
      </c>
      <c r="K26" s="12">
        <v>241140</v>
      </c>
      <c r="L26" s="12">
        <f>H26-214970</f>
        <v>-36970</v>
      </c>
      <c r="M26" s="12">
        <v>26170</v>
      </c>
      <c r="N26" s="66">
        <f t="shared" si="8"/>
        <v>0.14702247191011236</v>
      </c>
      <c r="O26" s="14">
        <v>130.19</v>
      </c>
      <c r="P26" s="15">
        <v>147.15</v>
      </c>
      <c r="Q26" s="16">
        <v>0.40500000000000003</v>
      </c>
      <c r="R26" s="16">
        <v>0.40500000000000003</v>
      </c>
      <c r="S26" s="12">
        <f t="shared" si="9"/>
        <v>-283.96958291727475</v>
      </c>
      <c r="T26" s="12">
        <f t="shared" si="10"/>
        <v>-91283.950617283946</v>
      </c>
      <c r="U26" s="17">
        <f t="shared" si="11"/>
        <v>-2.09559115283021</v>
      </c>
      <c r="V26" s="16">
        <v>120</v>
      </c>
      <c r="W26" s="16">
        <f t="shared" si="12"/>
        <v>35600</v>
      </c>
      <c r="X26" s="16">
        <f t="shared" si="13"/>
        <v>296.66666666666669</v>
      </c>
      <c r="Y26" s="18" t="s">
        <v>1828</v>
      </c>
      <c r="Z26" s="10" t="s">
        <v>35</v>
      </c>
      <c r="AA26" s="10" t="s">
        <v>35</v>
      </c>
      <c r="AB26" s="10" t="s">
        <v>1829</v>
      </c>
      <c r="AC26" s="10">
        <v>0</v>
      </c>
      <c r="AD26" s="10">
        <v>1</v>
      </c>
      <c r="AE26" s="10" t="s">
        <v>42</v>
      </c>
      <c r="AF26" s="10" t="s">
        <v>43</v>
      </c>
      <c r="AG26" s="10" t="s">
        <v>38</v>
      </c>
      <c r="AH26" s="10" t="s">
        <v>1830</v>
      </c>
    </row>
    <row r="27" spans="1:34" x14ac:dyDescent="0.3">
      <c r="A27" s="75" t="s">
        <v>1829</v>
      </c>
      <c r="B27" s="19" t="s">
        <v>1879</v>
      </c>
      <c r="C27" s="19" t="s">
        <v>1880</v>
      </c>
      <c r="D27" s="20">
        <v>45615</v>
      </c>
      <c r="E27" s="21">
        <v>140000</v>
      </c>
      <c r="F27" s="19" t="s">
        <v>32</v>
      </c>
      <c r="G27" s="19" t="s">
        <v>33</v>
      </c>
      <c r="H27" s="21">
        <v>140000</v>
      </c>
      <c r="I27" s="21">
        <v>65200</v>
      </c>
      <c r="J27" s="22">
        <f t="shared" si="7"/>
        <v>46.571428571428569</v>
      </c>
      <c r="K27" s="21">
        <v>145694</v>
      </c>
      <c r="L27" s="21">
        <f>H27-136266</f>
        <v>3734</v>
      </c>
      <c r="M27" s="21">
        <v>9428</v>
      </c>
      <c r="N27" s="67">
        <f t="shared" si="8"/>
        <v>6.7342857142857149E-2</v>
      </c>
      <c r="O27" s="23">
        <v>46.9</v>
      </c>
      <c r="P27" s="24">
        <v>110</v>
      </c>
      <c r="Q27" s="25">
        <v>0.126</v>
      </c>
      <c r="R27" s="25">
        <v>0.126</v>
      </c>
      <c r="S27" s="21">
        <f t="shared" si="9"/>
        <v>79.616204690831566</v>
      </c>
      <c r="T27" s="21">
        <f t="shared" si="10"/>
        <v>29634.920634920636</v>
      </c>
      <c r="U27" s="26">
        <f t="shared" si="11"/>
        <v>0.68032416517265004</v>
      </c>
      <c r="V27" s="25">
        <v>50</v>
      </c>
      <c r="W27" s="25">
        <f t="shared" si="12"/>
        <v>28000</v>
      </c>
      <c r="X27" s="25">
        <f t="shared" si="13"/>
        <v>560</v>
      </c>
      <c r="Y27" s="27" t="s">
        <v>1828</v>
      </c>
      <c r="Z27" s="19" t="s">
        <v>35</v>
      </c>
      <c r="AA27" s="19" t="s">
        <v>35</v>
      </c>
      <c r="AB27" s="19" t="s">
        <v>1829</v>
      </c>
      <c r="AC27" s="19">
        <v>0</v>
      </c>
      <c r="AD27" s="19">
        <v>1</v>
      </c>
      <c r="AE27" s="19" t="s">
        <v>42</v>
      </c>
      <c r="AF27" s="19" t="s">
        <v>35</v>
      </c>
      <c r="AG27" s="19" t="s">
        <v>38</v>
      </c>
      <c r="AH27" s="19" t="s">
        <v>1830</v>
      </c>
    </row>
    <row r="28" spans="1:34" x14ac:dyDescent="0.3">
      <c r="A28" s="74" t="s">
        <v>1829</v>
      </c>
      <c r="B28" s="10" t="s">
        <v>1891</v>
      </c>
      <c r="C28" s="10" t="s">
        <v>1892</v>
      </c>
      <c r="D28" s="11">
        <v>45568</v>
      </c>
      <c r="E28" s="12">
        <v>180000</v>
      </c>
      <c r="F28" s="10" t="s">
        <v>32</v>
      </c>
      <c r="G28" s="10" t="s">
        <v>33</v>
      </c>
      <c r="H28" s="12">
        <v>180000</v>
      </c>
      <c r="I28" s="12">
        <v>83200</v>
      </c>
      <c r="J28" s="13">
        <f>I28/H28*100</f>
        <v>46.222222222222221</v>
      </c>
      <c r="K28" s="12">
        <v>195296</v>
      </c>
      <c r="L28" s="12">
        <f>H28-170709</f>
        <v>9291</v>
      </c>
      <c r="M28" s="12">
        <v>24587</v>
      </c>
      <c r="N28" s="66">
        <f>M28/E28</f>
        <v>0.13659444444444444</v>
      </c>
      <c r="O28" s="14">
        <v>122.32</v>
      </c>
      <c r="P28" s="15">
        <v>114.14</v>
      </c>
      <c r="Q28" s="16">
        <v>0.33500000000000002</v>
      </c>
      <c r="R28" s="16">
        <v>0.33500000000000002</v>
      </c>
      <c r="S28" s="12">
        <f>L28/O28</f>
        <v>75.95650752125573</v>
      </c>
      <c r="T28" s="12">
        <f>L28/Q28</f>
        <v>27734.328358208953</v>
      </c>
      <c r="U28" s="17">
        <f>L28/Q28/43560</f>
        <v>0.63669257020681713</v>
      </c>
      <c r="V28" s="16">
        <v>128.01</v>
      </c>
      <c r="W28" s="16">
        <f>0.2*E28</f>
        <v>36000</v>
      </c>
      <c r="X28" s="16">
        <f>W28/V28</f>
        <v>281.22802906022969</v>
      </c>
      <c r="Y28" s="18" t="s">
        <v>1828</v>
      </c>
      <c r="Z28" s="10" t="s">
        <v>35</v>
      </c>
      <c r="AA28" s="10" t="s">
        <v>35</v>
      </c>
      <c r="AB28" s="10" t="s">
        <v>1829</v>
      </c>
      <c r="AC28" s="10">
        <v>0</v>
      </c>
      <c r="AD28" s="10">
        <v>1</v>
      </c>
      <c r="AE28" s="10" t="s">
        <v>37</v>
      </c>
      <c r="AF28" s="10" t="s">
        <v>43</v>
      </c>
      <c r="AG28" s="10" t="s">
        <v>38</v>
      </c>
      <c r="AH28" s="10" t="s">
        <v>1830</v>
      </c>
    </row>
    <row r="29" spans="1:34" x14ac:dyDescent="0.3">
      <c r="A29" s="75" t="s">
        <v>1829</v>
      </c>
      <c r="B29" s="19" t="s">
        <v>1879</v>
      </c>
      <c r="C29" s="19" t="s">
        <v>1880</v>
      </c>
      <c r="D29" s="20">
        <v>45615</v>
      </c>
      <c r="E29" s="21">
        <v>140000</v>
      </c>
      <c r="F29" s="19" t="s">
        <v>32</v>
      </c>
      <c r="G29" s="19" t="s">
        <v>33</v>
      </c>
      <c r="H29" s="21">
        <v>140000</v>
      </c>
      <c r="I29" s="21">
        <v>65200</v>
      </c>
      <c r="J29" s="22">
        <f>I29/H29*100</f>
        <v>46.571428571428569</v>
      </c>
      <c r="K29" s="21">
        <v>145694</v>
      </c>
      <c r="L29" s="21">
        <f>H29-136266</f>
        <v>3734</v>
      </c>
      <c r="M29" s="21">
        <v>9428</v>
      </c>
      <c r="N29" s="67">
        <f>M29/E29</f>
        <v>6.7342857142857149E-2</v>
      </c>
      <c r="O29" s="23">
        <v>46.9</v>
      </c>
      <c r="P29" s="24">
        <v>110</v>
      </c>
      <c r="Q29" s="25">
        <v>0.126</v>
      </c>
      <c r="R29" s="25">
        <v>0.126</v>
      </c>
      <c r="S29" s="21">
        <f>L29/O29</f>
        <v>79.616204690831566</v>
      </c>
      <c r="T29" s="21">
        <f>L29/Q29</f>
        <v>29634.920634920636</v>
      </c>
      <c r="U29" s="26">
        <f>L29/Q29/43560</f>
        <v>0.68032416517265004</v>
      </c>
      <c r="V29" s="25">
        <v>50</v>
      </c>
      <c r="W29" s="25">
        <f>0.2*E29</f>
        <v>28000</v>
      </c>
      <c r="X29" s="25">
        <f>W29/V29</f>
        <v>560</v>
      </c>
      <c r="Y29" s="27" t="s">
        <v>1828</v>
      </c>
      <c r="Z29" s="19" t="s">
        <v>35</v>
      </c>
      <c r="AA29" s="19" t="s">
        <v>35</v>
      </c>
      <c r="AB29" s="19" t="s">
        <v>1829</v>
      </c>
      <c r="AC29" s="19">
        <v>0</v>
      </c>
      <c r="AD29" s="19">
        <v>1</v>
      </c>
      <c r="AE29" s="19" t="s">
        <v>42</v>
      </c>
      <c r="AF29" s="19" t="s">
        <v>35</v>
      </c>
      <c r="AG29" s="19" t="s">
        <v>38</v>
      </c>
      <c r="AH29" s="19" t="s">
        <v>1830</v>
      </c>
    </row>
  </sheetData>
  <sortState xmlns:xlrd2="http://schemas.microsoft.com/office/spreadsheetml/2017/richdata2" ref="A2:AH13">
    <sortCondition ref="S2:S13"/>
  </sortState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00B050"/>
  </sheetPr>
  <dimension ref="A1:AH51"/>
  <sheetViews>
    <sheetView topLeftCell="A4" workbookViewId="0">
      <selection activeCell="E31" sqref="E31:L3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9.332031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1834</v>
      </c>
      <c r="B2" s="19" t="s">
        <v>1857</v>
      </c>
      <c r="C2" s="19" t="s">
        <v>1858</v>
      </c>
      <c r="D2" s="20">
        <v>45497</v>
      </c>
      <c r="E2" s="21">
        <v>182500</v>
      </c>
      <c r="F2" s="19" t="s">
        <v>32</v>
      </c>
      <c r="G2" s="19" t="s">
        <v>33</v>
      </c>
      <c r="H2" s="21">
        <v>182500</v>
      </c>
      <c r="I2" s="21">
        <v>145900</v>
      </c>
      <c r="J2" s="22">
        <f t="shared" ref="J2:J27" si="0">I2/H2*100</f>
        <v>79.945205479452056</v>
      </c>
      <c r="K2" s="21">
        <v>343715</v>
      </c>
      <c r="L2" s="21">
        <f>H2-333143</f>
        <v>-150643</v>
      </c>
      <c r="M2" s="21">
        <v>10572</v>
      </c>
      <c r="N2" s="67">
        <f t="shared" ref="N2:N27" si="1">M2/E2</f>
        <v>5.7928767123287671E-2</v>
      </c>
      <c r="O2" s="23">
        <v>66.069999999999993</v>
      </c>
      <c r="P2" s="24">
        <v>121.57</v>
      </c>
      <c r="Q2" s="25">
        <v>0.19600000000000001</v>
      </c>
      <c r="R2" s="25">
        <v>0.19600000000000001</v>
      </c>
      <c r="S2" s="21">
        <f t="shared" ref="S2:S27" si="2">L2/O2</f>
        <v>-2280.0514605721205</v>
      </c>
      <c r="T2" s="21">
        <f t="shared" ref="T2:T27" si="3">L2/Q2</f>
        <v>-768586.73469387752</v>
      </c>
      <c r="U2" s="26">
        <f t="shared" ref="U2:U27" si="4">L2/Q2/43560</f>
        <v>-17.644323569648243</v>
      </c>
      <c r="V2" s="25">
        <v>56.65</v>
      </c>
      <c r="W2" s="25">
        <f t="shared" ref="W2:W27" si="5">0.2*E2</f>
        <v>36500</v>
      </c>
      <c r="X2" s="25">
        <f t="shared" ref="X2:X27" si="6">W2/V2</f>
        <v>644.30714916151805</v>
      </c>
      <c r="Y2" s="27" t="s">
        <v>1833</v>
      </c>
      <c r="Z2" s="19" t="s">
        <v>35</v>
      </c>
      <c r="AA2" s="19" t="s">
        <v>35</v>
      </c>
      <c r="AB2" s="19" t="s">
        <v>1834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1834</v>
      </c>
      <c r="B3" s="10" t="s">
        <v>1899</v>
      </c>
      <c r="C3" s="10" t="s">
        <v>1900</v>
      </c>
      <c r="D3" s="11">
        <v>45393</v>
      </c>
      <c r="E3" s="12">
        <v>260000</v>
      </c>
      <c r="F3" s="10" t="s">
        <v>32</v>
      </c>
      <c r="G3" s="10" t="s">
        <v>33</v>
      </c>
      <c r="H3" s="12">
        <v>260000</v>
      </c>
      <c r="I3" s="12">
        <v>136000</v>
      </c>
      <c r="J3" s="13">
        <f t="shared" si="0"/>
        <v>52.307692307692314</v>
      </c>
      <c r="K3" s="12">
        <v>321038</v>
      </c>
      <c r="L3" s="12">
        <f>H3-311438</f>
        <v>-51438</v>
      </c>
      <c r="M3" s="12">
        <v>9600</v>
      </c>
      <c r="N3" s="66">
        <f t="shared" si="1"/>
        <v>3.6923076923076927E-2</v>
      </c>
      <c r="O3" s="14">
        <v>60</v>
      </c>
      <c r="P3" s="15">
        <v>120</v>
      </c>
      <c r="Q3" s="16">
        <v>0.16500000000000001</v>
      </c>
      <c r="R3" s="16">
        <v>0.16500000000000001</v>
      </c>
      <c r="S3" s="12">
        <f t="shared" si="2"/>
        <v>-857.3</v>
      </c>
      <c r="T3" s="12">
        <f t="shared" si="3"/>
        <v>-311745.45454545453</v>
      </c>
      <c r="U3" s="17">
        <f t="shared" si="4"/>
        <v>-7.1566908756991401</v>
      </c>
      <c r="V3" s="16">
        <v>60</v>
      </c>
      <c r="W3" s="16">
        <f t="shared" si="5"/>
        <v>52000</v>
      </c>
      <c r="X3" s="16">
        <f t="shared" si="6"/>
        <v>866.66666666666663</v>
      </c>
      <c r="Y3" s="18" t="s">
        <v>1833</v>
      </c>
      <c r="Z3" s="10" t="s">
        <v>35</v>
      </c>
      <c r="AA3" s="10" t="s">
        <v>35</v>
      </c>
      <c r="AB3" s="10" t="s">
        <v>1834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1834</v>
      </c>
      <c r="B4" s="10" t="s">
        <v>1839</v>
      </c>
      <c r="C4" s="10" t="s">
        <v>1840</v>
      </c>
      <c r="D4" s="11">
        <v>45330</v>
      </c>
      <c r="E4" s="12">
        <v>275000</v>
      </c>
      <c r="F4" s="10" t="s">
        <v>32</v>
      </c>
      <c r="G4" s="10" t="s">
        <v>33</v>
      </c>
      <c r="H4" s="12">
        <v>275000</v>
      </c>
      <c r="I4" s="12">
        <v>126800</v>
      </c>
      <c r="J4" s="13">
        <f t="shared" si="0"/>
        <v>46.109090909090909</v>
      </c>
      <c r="K4" s="12">
        <v>333151</v>
      </c>
      <c r="L4" s="12">
        <f>H4-323476</f>
        <v>-48476</v>
      </c>
      <c r="M4" s="12">
        <v>9675</v>
      </c>
      <c r="N4" s="66">
        <f t="shared" si="1"/>
        <v>3.5181818181818182E-2</v>
      </c>
      <c r="O4" s="14">
        <v>60.46</v>
      </c>
      <c r="P4" s="15">
        <v>121.88</v>
      </c>
      <c r="Q4" s="16">
        <v>0.16800000000000001</v>
      </c>
      <c r="R4" s="16">
        <v>0.16800000000000001</v>
      </c>
      <c r="S4" s="12">
        <f t="shared" si="2"/>
        <v>-801.78630499503799</v>
      </c>
      <c r="T4" s="12">
        <f t="shared" si="3"/>
        <v>-288547.61904761905</v>
      </c>
      <c r="U4" s="17">
        <f t="shared" si="4"/>
        <v>-6.6241418514145787</v>
      </c>
      <c r="V4" s="16">
        <v>60</v>
      </c>
      <c r="W4" s="16">
        <f t="shared" si="5"/>
        <v>55000</v>
      </c>
      <c r="X4" s="16">
        <f t="shared" si="6"/>
        <v>916.66666666666663</v>
      </c>
      <c r="Y4" s="18" t="s">
        <v>1833</v>
      </c>
      <c r="Z4" s="10" t="s">
        <v>35</v>
      </c>
      <c r="AA4" s="10" t="s">
        <v>35</v>
      </c>
      <c r="AB4" s="10" t="s">
        <v>1834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1834</v>
      </c>
      <c r="B5" s="19" t="s">
        <v>1909</v>
      </c>
      <c r="C5" s="19" t="s">
        <v>1910</v>
      </c>
      <c r="D5" s="20">
        <v>45380</v>
      </c>
      <c r="E5" s="21">
        <v>215000</v>
      </c>
      <c r="F5" s="19" t="s">
        <v>32</v>
      </c>
      <c r="G5" s="19" t="s">
        <v>33</v>
      </c>
      <c r="H5" s="21">
        <v>215000</v>
      </c>
      <c r="I5" s="21">
        <v>106200</v>
      </c>
      <c r="J5" s="22">
        <f t="shared" si="0"/>
        <v>49.395348837209305</v>
      </c>
      <c r="K5" s="21">
        <v>274813</v>
      </c>
      <c r="L5" s="21">
        <f>H5-264199</f>
        <v>-49199</v>
      </c>
      <c r="M5" s="21">
        <v>10614</v>
      </c>
      <c r="N5" s="67">
        <f t="shared" si="1"/>
        <v>4.9367441860465114E-2</v>
      </c>
      <c r="O5" s="23">
        <v>66.33</v>
      </c>
      <c r="P5" s="24">
        <v>146.69</v>
      </c>
      <c r="Q5" s="25">
        <v>0.20200000000000001</v>
      </c>
      <c r="R5" s="25">
        <v>0.20200000000000001</v>
      </c>
      <c r="S5" s="21">
        <f t="shared" si="2"/>
        <v>-741.730740238203</v>
      </c>
      <c r="T5" s="21">
        <f t="shared" si="3"/>
        <v>-243559.40594059404</v>
      </c>
      <c r="U5" s="26">
        <f t="shared" si="4"/>
        <v>-5.5913545900044541</v>
      </c>
      <c r="V5" s="25">
        <v>60</v>
      </c>
      <c r="W5" s="25">
        <f t="shared" si="5"/>
        <v>43000</v>
      </c>
      <c r="X5" s="25">
        <f t="shared" si="6"/>
        <v>716.66666666666663</v>
      </c>
      <c r="Y5" s="27" t="s">
        <v>1833</v>
      </c>
      <c r="Z5" s="19" t="s">
        <v>35</v>
      </c>
      <c r="AA5" s="19" t="s">
        <v>35</v>
      </c>
      <c r="AB5" s="19" t="s">
        <v>1834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1834</v>
      </c>
      <c r="B6" s="19" t="s">
        <v>1893</v>
      </c>
      <c r="C6" s="19" t="s">
        <v>1894</v>
      </c>
      <c r="D6" s="20">
        <v>45548</v>
      </c>
      <c r="E6" s="21">
        <v>270000</v>
      </c>
      <c r="F6" s="19" t="s">
        <v>32</v>
      </c>
      <c r="G6" s="19" t="s">
        <v>33</v>
      </c>
      <c r="H6" s="21">
        <v>270000</v>
      </c>
      <c r="I6" s="21">
        <v>133900</v>
      </c>
      <c r="J6" s="22">
        <f t="shared" si="0"/>
        <v>49.592592592592595</v>
      </c>
      <c r="K6" s="21">
        <v>316782</v>
      </c>
      <c r="L6" s="21">
        <f>H6-307182</f>
        <v>-37182</v>
      </c>
      <c r="M6" s="21">
        <v>9600</v>
      </c>
      <c r="N6" s="67">
        <f t="shared" si="1"/>
        <v>3.5555555555555556E-2</v>
      </c>
      <c r="O6" s="23">
        <v>60</v>
      </c>
      <c r="P6" s="24">
        <v>120</v>
      </c>
      <c r="Q6" s="25">
        <v>0.16500000000000001</v>
      </c>
      <c r="R6" s="25">
        <v>0.16500000000000001</v>
      </c>
      <c r="S6" s="21">
        <f t="shared" si="2"/>
        <v>-619.70000000000005</v>
      </c>
      <c r="T6" s="21">
        <f t="shared" si="3"/>
        <v>-225345.45454545453</v>
      </c>
      <c r="U6" s="26">
        <f t="shared" si="4"/>
        <v>-5.1732198013189743</v>
      </c>
      <c r="V6" s="25">
        <v>60</v>
      </c>
      <c r="W6" s="25">
        <f t="shared" si="5"/>
        <v>54000</v>
      </c>
      <c r="X6" s="25">
        <f t="shared" si="6"/>
        <v>900</v>
      </c>
      <c r="Y6" s="27" t="s">
        <v>1833</v>
      </c>
      <c r="Z6" s="19" t="s">
        <v>35</v>
      </c>
      <c r="AA6" s="19" t="s">
        <v>35</v>
      </c>
      <c r="AB6" s="19" t="s">
        <v>1834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1834</v>
      </c>
      <c r="B7" s="19" t="s">
        <v>1849</v>
      </c>
      <c r="C7" s="19" t="s">
        <v>1850</v>
      </c>
      <c r="D7" s="20">
        <v>45106</v>
      </c>
      <c r="E7" s="21">
        <v>220000</v>
      </c>
      <c r="F7" s="19" t="s">
        <v>32</v>
      </c>
      <c r="G7" s="19" t="s">
        <v>33</v>
      </c>
      <c r="H7" s="21">
        <v>220000</v>
      </c>
      <c r="I7" s="21">
        <v>102600</v>
      </c>
      <c r="J7" s="22">
        <f t="shared" si="0"/>
        <v>46.63636363636364</v>
      </c>
      <c r="K7" s="21">
        <v>263033</v>
      </c>
      <c r="L7" s="21">
        <f>H7-251892</f>
        <v>-31892</v>
      </c>
      <c r="M7" s="21">
        <v>11141</v>
      </c>
      <c r="N7" s="67">
        <f t="shared" si="1"/>
        <v>5.0640909090909091E-2</v>
      </c>
      <c r="O7" s="23">
        <v>69.63</v>
      </c>
      <c r="P7" s="24">
        <v>100</v>
      </c>
      <c r="Q7" s="25">
        <v>0.17499999999999999</v>
      </c>
      <c r="R7" s="25">
        <v>0.17499999999999999</v>
      </c>
      <c r="S7" s="21">
        <f t="shared" si="2"/>
        <v>-458.02096797357461</v>
      </c>
      <c r="T7" s="21">
        <f t="shared" si="3"/>
        <v>-182240</v>
      </c>
      <c r="U7" s="26">
        <f t="shared" si="4"/>
        <v>-4.1836547291092749</v>
      </c>
      <c r="V7" s="25">
        <v>76.28</v>
      </c>
      <c r="W7" s="25">
        <f t="shared" si="5"/>
        <v>44000</v>
      </c>
      <c r="X7" s="25">
        <f t="shared" si="6"/>
        <v>576.82223387519662</v>
      </c>
      <c r="Y7" s="27" t="s">
        <v>1833</v>
      </c>
      <c r="Z7" s="19" t="s">
        <v>35</v>
      </c>
      <c r="AA7" s="19" t="s">
        <v>35</v>
      </c>
      <c r="AB7" s="19" t="s">
        <v>1834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1834</v>
      </c>
      <c r="B8" s="19" t="s">
        <v>1857</v>
      </c>
      <c r="C8" s="19" t="s">
        <v>1858</v>
      </c>
      <c r="D8" s="20">
        <v>45667</v>
      </c>
      <c r="E8" s="21">
        <v>311000</v>
      </c>
      <c r="F8" s="19" t="s">
        <v>32</v>
      </c>
      <c r="G8" s="19" t="s">
        <v>33</v>
      </c>
      <c r="H8" s="21">
        <v>311000</v>
      </c>
      <c r="I8" s="21">
        <v>145900</v>
      </c>
      <c r="J8" s="22">
        <f t="shared" si="0"/>
        <v>46.913183279742768</v>
      </c>
      <c r="K8" s="21">
        <v>343715</v>
      </c>
      <c r="L8" s="21">
        <f>H8-333143</f>
        <v>-22143</v>
      </c>
      <c r="M8" s="21">
        <v>10572</v>
      </c>
      <c r="N8" s="67">
        <f t="shared" si="1"/>
        <v>3.3993569131832796E-2</v>
      </c>
      <c r="O8" s="23">
        <v>66.069999999999993</v>
      </c>
      <c r="P8" s="24">
        <v>121.57</v>
      </c>
      <c r="Q8" s="25">
        <v>0.19600000000000001</v>
      </c>
      <c r="R8" s="25">
        <v>0.19600000000000001</v>
      </c>
      <c r="S8" s="21">
        <f t="shared" si="2"/>
        <v>-335.14454366580901</v>
      </c>
      <c r="T8" s="21">
        <f t="shared" si="3"/>
        <v>-112974.48979591836</v>
      </c>
      <c r="U8" s="26">
        <f t="shared" si="4"/>
        <v>-2.593537414965986</v>
      </c>
      <c r="V8" s="25">
        <v>56.65</v>
      </c>
      <c r="W8" s="25">
        <f t="shared" si="5"/>
        <v>62200</v>
      </c>
      <c r="X8" s="25">
        <f t="shared" si="6"/>
        <v>1097.9699911738746</v>
      </c>
      <c r="Y8" s="27" t="s">
        <v>1833</v>
      </c>
      <c r="Z8" s="19" t="s">
        <v>35</v>
      </c>
      <c r="AA8" s="19" t="s">
        <v>35</v>
      </c>
      <c r="AB8" s="19" t="s">
        <v>1834</v>
      </c>
      <c r="AC8" s="19">
        <v>0</v>
      </c>
      <c r="AD8" s="19">
        <v>1</v>
      </c>
      <c r="AE8" s="19" t="s">
        <v>42</v>
      </c>
      <c r="AF8" s="19" t="s">
        <v>35</v>
      </c>
      <c r="AG8" s="19" t="s">
        <v>38</v>
      </c>
      <c r="AH8" s="19" t="s">
        <v>92</v>
      </c>
    </row>
    <row r="9" spans="1:34" x14ac:dyDescent="0.3">
      <c r="A9" s="74" t="s">
        <v>1834</v>
      </c>
      <c r="B9" s="10" t="s">
        <v>1861</v>
      </c>
      <c r="C9" s="10" t="s">
        <v>1862</v>
      </c>
      <c r="D9" s="11">
        <v>45467</v>
      </c>
      <c r="E9" s="12">
        <v>270000</v>
      </c>
      <c r="F9" s="10" t="s">
        <v>32</v>
      </c>
      <c r="G9" s="10" t="s">
        <v>33</v>
      </c>
      <c r="H9" s="12">
        <v>270000</v>
      </c>
      <c r="I9" s="12">
        <v>128500</v>
      </c>
      <c r="J9" s="13">
        <f t="shared" si="0"/>
        <v>47.592592592592595</v>
      </c>
      <c r="K9" s="12">
        <v>299104</v>
      </c>
      <c r="L9" s="12">
        <f>H9-288043</f>
        <v>-18043</v>
      </c>
      <c r="M9" s="12">
        <v>11061</v>
      </c>
      <c r="N9" s="66">
        <f t="shared" si="1"/>
        <v>4.0966666666666665E-2</v>
      </c>
      <c r="O9" s="14">
        <v>69.13</v>
      </c>
      <c r="P9" s="15">
        <v>120</v>
      </c>
      <c r="Q9" s="16">
        <v>0.18099999999999999</v>
      </c>
      <c r="R9" s="16">
        <v>0.18099999999999999</v>
      </c>
      <c r="S9" s="12">
        <f t="shared" si="2"/>
        <v>-261.00101258498484</v>
      </c>
      <c r="T9" s="12">
        <f t="shared" si="3"/>
        <v>-99685.082872928178</v>
      </c>
      <c r="U9" s="17">
        <f t="shared" si="4"/>
        <v>-2.2884546114079014</v>
      </c>
      <c r="V9" s="16">
        <v>75.66</v>
      </c>
      <c r="W9" s="16">
        <f t="shared" si="5"/>
        <v>54000</v>
      </c>
      <c r="X9" s="16">
        <f t="shared" si="6"/>
        <v>713.71927042030143</v>
      </c>
      <c r="Y9" s="18" t="s">
        <v>1833</v>
      </c>
      <c r="Z9" s="10" t="s">
        <v>35</v>
      </c>
      <c r="AA9" s="10" t="s">
        <v>35</v>
      </c>
      <c r="AB9" s="10" t="s">
        <v>1834</v>
      </c>
      <c r="AC9" s="10">
        <v>0</v>
      </c>
      <c r="AD9" s="10">
        <v>1</v>
      </c>
      <c r="AE9" s="10" t="s">
        <v>42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4" t="s">
        <v>1834</v>
      </c>
      <c r="B10" s="10" t="s">
        <v>1859</v>
      </c>
      <c r="C10" s="10" t="s">
        <v>1860</v>
      </c>
      <c r="D10" s="11">
        <v>45709</v>
      </c>
      <c r="E10" s="12">
        <v>285000</v>
      </c>
      <c r="F10" s="10" t="s">
        <v>32</v>
      </c>
      <c r="G10" s="10" t="s">
        <v>33</v>
      </c>
      <c r="H10" s="12">
        <v>285000</v>
      </c>
      <c r="I10" s="12">
        <v>132900</v>
      </c>
      <c r="J10" s="13">
        <f t="shared" si="0"/>
        <v>46.631578947368418</v>
      </c>
      <c r="K10" s="12">
        <v>309640</v>
      </c>
      <c r="L10" s="12">
        <f>H10-298173</f>
        <v>-13173</v>
      </c>
      <c r="M10" s="12">
        <v>11467</v>
      </c>
      <c r="N10" s="66">
        <f t="shared" si="1"/>
        <v>4.0235087719298249E-2</v>
      </c>
      <c r="O10" s="14">
        <v>71.66</v>
      </c>
      <c r="P10" s="15">
        <v>111.91</v>
      </c>
      <c r="Q10" s="16">
        <v>0.17799999999999999</v>
      </c>
      <c r="R10" s="16">
        <v>0.17799999999999999</v>
      </c>
      <c r="S10" s="12">
        <f t="shared" si="2"/>
        <v>-183.82640245604244</v>
      </c>
      <c r="T10" s="12">
        <f t="shared" si="3"/>
        <v>-74005.617977528091</v>
      </c>
      <c r="U10" s="17">
        <f t="shared" si="4"/>
        <v>-1.6989352152784227</v>
      </c>
      <c r="V10" s="16">
        <v>84.27</v>
      </c>
      <c r="W10" s="16">
        <f t="shared" si="5"/>
        <v>57000</v>
      </c>
      <c r="X10" s="16">
        <f t="shared" si="6"/>
        <v>676.39729441082238</v>
      </c>
      <c r="Y10" s="18" t="s">
        <v>1833</v>
      </c>
      <c r="Z10" s="10" t="s">
        <v>35</v>
      </c>
      <c r="AA10" s="10" t="s">
        <v>35</v>
      </c>
      <c r="AB10" s="10" t="s">
        <v>1834</v>
      </c>
      <c r="AC10" s="10">
        <v>0</v>
      </c>
      <c r="AD10" s="10">
        <v>1</v>
      </c>
      <c r="AE10" s="10" t="s">
        <v>37</v>
      </c>
      <c r="AF10" s="10" t="s">
        <v>35</v>
      </c>
      <c r="AG10" s="10" t="s">
        <v>38</v>
      </c>
      <c r="AH10" s="10" t="s">
        <v>92</v>
      </c>
    </row>
    <row r="11" spans="1:34" x14ac:dyDescent="0.3">
      <c r="A11" s="75" t="s">
        <v>1834</v>
      </c>
      <c r="B11" s="19" t="s">
        <v>1911</v>
      </c>
      <c r="C11" s="19" t="s">
        <v>1912</v>
      </c>
      <c r="D11" s="20">
        <v>45202</v>
      </c>
      <c r="E11" s="21">
        <v>290000</v>
      </c>
      <c r="F11" s="19" t="s">
        <v>32</v>
      </c>
      <c r="G11" s="19" t="s">
        <v>33</v>
      </c>
      <c r="H11" s="21">
        <v>290000</v>
      </c>
      <c r="I11" s="21">
        <v>118300</v>
      </c>
      <c r="J11" s="22">
        <f t="shared" si="0"/>
        <v>40.793103448275865</v>
      </c>
      <c r="K11" s="21">
        <v>310358</v>
      </c>
      <c r="L11" s="21">
        <f>H11-299741</f>
        <v>-9741</v>
      </c>
      <c r="M11" s="21">
        <v>10617</v>
      </c>
      <c r="N11" s="67">
        <f t="shared" si="1"/>
        <v>3.6610344827586204E-2</v>
      </c>
      <c r="O11" s="23">
        <v>66.349999999999994</v>
      </c>
      <c r="P11" s="24">
        <v>146.78</v>
      </c>
      <c r="Q11" s="25">
        <v>0.20200000000000001</v>
      </c>
      <c r="R11" s="25">
        <v>0.20200000000000001</v>
      </c>
      <c r="S11" s="21">
        <f t="shared" si="2"/>
        <v>-146.81235870384327</v>
      </c>
      <c r="T11" s="21">
        <f t="shared" si="3"/>
        <v>-48222.772277227719</v>
      </c>
      <c r="U11" s="26">
        <f t="shared" si="4"/>
        <v>-1.1070425224340614</v>
      </c>
      <c r="V11" s="25">
        <v>60</v>
      </c>
      <c r="W11" s="25">
        <f t="shared" si="5"/>
        <v>58000</v>
      </c>
      <c r="X11" s="25">
        <f t="shared" si="6"/>
        <v>966.66666666666663</v>
      </c>
      <c r="Y11" s="27" t="s">
        <v>1833</v>
      </c>
      <c r="Z11" s="19" t="s">
        <v>35</v>
      </c>
      <c r="AA11" s="19" t="s">
        <v>35</v>
      </c>
      <c r="AB11" s="19" t="s">
        <v>1834</v>
      </c>
      <c r="AC11" s="19">
        <v>0</v>
      </c>
      <c r="AD11" s="19">
        <v>1</v>
      </c>
      <c r="AE11" s="19" t="s">
        <v>42</v>
      </c>
      <c r="AF11" s="19" t="s">
        <v>43</v>
      </c>
      <c r="AG11" s="19" t="s">
        <v>38</v>
      </c>
      <c r="AH11" s="19" t="s">
        <v>92</v>
      </c>
    </row>
    <row r="12" spans="1:34" x14ac:dyDescent="0.3">
      <c r="A12" s="74" t="s">
        <v>1834</v>
      </c>
      <c r="B12" s="10" t="s">
        <v>1847</v>
      </c>
      <c r="C12" s="10" t="s">
        <v>1848</v>
      </c>
      <c r="D12" s="11">
        <v>45344</v>
      </c>
      <c r="E12" s="12">
        <v>224900</v>
      </c>
      <c r="F12" s="10" t="s">
        <v>32</v>
      </c>
      <c r="G12" s="10" t="s">
        <v>33</v>
      </c>
      <c r="H12" s="12">
        <v>224900</v>
      </c>
      <c r="I12" s="12">
        <v>94200</v>
      </c>
      <c r="J12" s="13">
        <f t="shared" si="0"/>
        <v>41.885282347710096</v>
      </c>
      <c r="K12" s="12">
        <v>242215</v>
      </c>
      <c r="L12" s="12">
        <f>H12-232615</f>
        <v>-7715</v>
      </c>
      <c r="M12" s="12">
        <v>9600</v>
      </c>
      <c r="N12" s="66">
        <f t="shared" si="1"/>
        <v>4.2685638061360602E-2</v>
      </c>
      <c r="O12" s="14">
        <v>60</v>
      </c>
      <c r="P12" s="15">
        <v>120</v>
      </c>
      <c r="Q12" s="16">
        <v>0.16500000000000001</v>
      </c>
      <c r="R12" s="16">
        <v>0.16500000000000001</v>
      </c>
      <c r="S12" s="12">
        <f t="shared" si="2"/>
        <v>-128.58333333333334</v>
      </c>
      <c r="T12" s="12">
        <f t="shared" si="3"/>
        <v>-46757.575757575753</v>
      </c>
      <c r="U12" s="17">
        <f t="shared" si="4"/>
        <v>-1.0734062386954948</v>
      </c>
      <c r="V12" s="16">
        <v>60</v>
      </c>
      <c r="W12" s="16">
        <f t="shared" si="5"/>
        <v>44980</v>
      </c>
      <c r="X12" s="16">
        <f t="shared" si="6"/>
        <v>749.66666666666663</v>
      </c>
      <c r="Y12" s="18" t="s">
        <v>1833</v>
      </c>
      <c r="Z12" s="10" t="s">
        <v>35</v>
      </c>
      <c r="AA12" s="10" t="s">
        <v>35</v>
      </c>
      <c r="AB12" s="10" t="s">
        <v>1834</v>
      </c>
      <c r="AC12" s="10">
        <v>0</v>
      </c>
      <c r="AD12" s="10">
        <v>1</v>
      </c>
      <c r="AE12" s="10" t="s">
        <v>37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5" t="s">
        <v>1834</v>
      </c>
      <c r="B13" s="19" t="s">
        <v>1895</v>
      </c>
      <c r="C13" s="19" t="s">
        <v>1896</v>
      </c>
      <c r="D13" s="20">
        <v>45385</v>
      </c>
      <c r="E13" s="21">
        <v>260000</v>
      </c>
      <c r="F13" s="19" t="s">
        <v>32</v>
      </c>
      <c r="G13" s="19" t="s">
        <v>33</v>
      </c>
      <c r="H13" s="21">
        <v>260000</v>
      </c>
      <c r="I13" s="21">
        <v>119000</v>
      </c>
      <c r="J13" s="22">
        <f t="shared" si="0"/>
        <v>45.769230769230766</v>
      </c>
      <c r="K13" s="21">
        <v>275976</v>
      </c>
      <c r="L13" s="21">
        <f>H13-266376</f>
        <v>-6376</v>
      </c>
      <c r="M13" s="21">
        <v>9600</v>
      </c>
      <c r="N13" s="67">
        <f t="shared" si="1"/>
        <v>3.6923076923076927E-2</v>
      </c>
      <c r="O13" s="23">
        <v>60</v>
      </c>
      <c r="P13" s="24">
        <v>120</v>
      </c>
      <c r="Q13" s="25">
        <v>0.16500000000000001</v>
      </c>
      <c r="R13" s="25">
        <v>0.16500000000000001</v>
      </c>
      <c r="S13" s="21">
        <f t="shared" si="2"/>
        <v>-106.26666666666667</v>
      </c>
      <c r="T13" s="21">
        <f t="shared" si="3"/>
        <v>-38642.42424242424</v>
      </c>
      <c r="U13" s="26">
        <f t="shared" si="4"/>
        <v>-0.88710799454601097</v>
      </c>
      <c r="V13" s="25">
        <v>60</v>
      </c>
      <c r="W13" s="25">
        <f t="shared" si="5"/>
        <v>52000</v>
      </c>
      <c r="X13" s="25">
        <f t="shared" si="6"/>
        <v>866.66666666666663</v>
      </c>
      <c r="Y13" s="27" t="s">
        <v>1833</v>
      </c>
      <c r="Z13" s="19" t="s">
        <v>35</v>
      </c>
      <c r="AA13" s="19" t="s">
        <v>35</v>
      </c>
      <c r="AB13" s="19" t="s">
        <v>1834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4" t="s">
        <v>1834</v>
      </c>
      <c r="B14" s="10" t="s">
        <v>1837</v>
      </c>
      <c r="C14" s="10" t="s">
        <v>1838</v>
      </c>
      <c r="D14" s="11">
        <v>45086</v>
      </c>
      <c r="E14" s="12">
        <v>287500</v>
      </c>
      <c r="F14" s="10" t="s">
        <v>32</v>
      </c>
      <c r="G14" s="10" t="s">
        <v>33</v>
      </c>
      <c r="H14" s="12">
        <v>287500</v>
      </c>
      <c r="I14" s="12">
        <v>115900</v>
      </c>
      <c r="J14" s="13">
        <f t="shared" si="0"/>
        <v>40.313043478260866</v>
      </c>
      <c r="K14" s="12">
        <v>301860</v>
      </c>
      <c r="L14" s="12">
        <f>H14-292180</f>
        <v>-4680</v>
      </c>
      <c r="M14" s="12">
        <v>9680</v>
      </c>
      <c r="N14" s="66">
        <f t="shared" si="1"/>
        <v>3.3669565217391305E-2</v>
      </c>
      <c r="O14" s="14">
        <v>60.49</v>
      </c>
      <c r="P14" s="15">
        <v>110.3</v>
      </c>
      <c r="Q14" s="16">
        <v>0.16900000000000001</v>
      </c>
      <c r="R14" s="16">
        <v>0.16900000000000001</v>
      </c>
      <c r="S14" s="12">
        <f t="shared" si="2"/>
        <v>-77.368160026450653</v>
      </c>
      <c r="T14" s="12">
        <f t="shared" si="3"/>
        <v>-27692.307692307691</v>
      </c>
      <c r="U14" s="17">
        <f t="shared" si="4"/>
        <v>-0.63572790845518112</v>
      </c>
      <c r="V14" s="16">
        <v>55.91</v>
      </c>
      <c r="W14" s="16">
        <f t="shared" si="5"/>
        <v>57500</v>
      </c>
      <c r="X14" s="16">
        <f t="shared" si="6"/>
        <v>1028.4385619746022</v>
      </c>
      <c r="Y14" s="18" t="s">
        <v>1833</v>
      </c>
      <c r="Z14" s="10" t="s">
        <v>35</v>
      </c>
      <c r="AA14" s="10" t="s">
        <v>35</v>
      </c>
      <c r="AB14" s="10" t="s">
        <v>1834</v>
      </c>
      <c r="AC14" s="10">
        <v>0</v>
      </c>
      <c r="AD14" s="10">
        <v>1</v>
      </c>
      <c r="AE14" s="10" t="s">
        <v>37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4" t="s">
        <v>1834</v>
      </c>
      <c r="B15" s="10" t="s">
        <v>1897</v>
      </c>
      <c r="C15" s="10" t="s">
        <v>1898</v>
      </c>
      <c r="D15" s="11">
        <v>45483</v>
      </c>
      <c r="E15" s="12">
        <v>265000</v>
      </c>
      <c r="F15" s="10" t="s">
        <v>32</v>
      </c>
      <c r="G15" s="10" t="s">
        <v>33</v>
      </c>
      <c r="H15" s="12">
        <v>265000</v>
      </c>
      <c r="I15" s="12">
        <v>118800</v>
      </c>
      <c r="J15" s="13">
        <f t="shared" si="0"/>
        <v>44.830188679245282</v>
      </c>
      <c r="K15" s="12">
        <v>279177</v>
      </c>
      <c r="L15" s="12">
        <f>H15-269401</f>
        <v>-4401</v>
      </c>
      <c r="M15" s="12">
        <v>9776</v>
      </c>
      <c r="N15" s="66">
        <f t="shared" si="1"/>
        <v>3.6890566037735849E-2</v>
      </c>
      <c r="O15" s="14">
        <v>61.09</v>
      </c>
      <c r="P15" s="15">
        <v>123.22</v>
      </c>
      <c r="Q15" s="16">
        <v>0.17</v>
      </c>
      <c r="R15" s="16">
        <v>0.17</v>
      </c>
      <c r="S15" s="12">
        <f t="shared" si="2"/>
        <v>-72.041250613848419</v>
      </c>
      <c r="T15" s="12">
        <f t="shared" si="3"/>
        <v>-25888.235294117647</v>
      </c>
      <c r="U15" s="17">
        <f t="shared" si="4"/>
        <v>-0.59431210500729215</v>
      </c>
      <c r="V15" s="16">
        <v>60.44</v>
      </c>
      <c r="W15" s="16">
        <f t="shared" si="5"/>
        <v>53000</v>
      </c>
      <c r="X15" s="16">
        <f t="shared" si="6"/>
        <v>876.9027134348114</v>
      </c>
      <c r="Y15" s="18" t="s">
        <v>1833</v>
      </c>
      <c r="Z15" s="10" t="s">
        <v>35</v>
      </c>
      <c r="AA15" s="10" t="s">
        <v>35</v>
      </c>
      <c r="AB15" s="10" t="s">
        <v>1834</v>
      </c>
      <c r="AC15" s="10">
        <v>0</v>
      </c>
      <c r="AD15" s="10">
        <v>1</v>
      </c>
      <c r="AE15" s="10" t="s">
        <v>37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5" t="s">
        <v>1834</v>
      </c>
      <c r="B16" s="19" t="s">
        <v>1835</v>
      </c>
      <c r="C16" s="19" t="s">
        <v>1836</v>
      </c>
      <c r="D16" s="20">
        <v>45191</v>
      </c>
      <c r="E16" s="21">
        <v>227500</v>
      </c>
      <c r="F16" s="19" t="s">
        <v>32</v>
      </c>
      <c r="G16" s="19" t="s">
        <v>33</v>
      </c>
      <c r="H16" s="21">
        <v>227500</v>
      </c>
      <c r="I16" s="21">
        <v>94200</v>
      </c>
      <c r="J16" s="22">
        <f t="shared" si="0"/>
        <v>41.406593406593409</v>
      </c>
      <c r="K16" s="21">
        <v>242747</v>
      </c>
      <c r="L16" s="21">
        <f>H16-231851</f>
        <v>-4351</v>
      </c>
      <c r="M16" s="21">
        <v>10896</v>
      </c>
      <c r="N16" s="67">
        <f t="shared" si="1"/>
        <v>4.7894505494505496E-2</v>
      </c>
      <c r="O16" s="23">
        <v>68.09</v>
      </c>
      <c r="P16" s="24">
        <v>131.77000000000001</v>
      </c>
      <c r="Q16" s="25">
        <v>0.21199999999999999</v>
      </c>
      <c r="R16" s="25">
        <v>0.21199999999999999</v>
      </c>
      <c r="S16" s="21">
        <f t="shared" si="2"/>
        <v>-63.900719635776177</v>
      </c>
      <c r="T16" s="21">
        <f t="shared" si="3"/>
        <v>-20523.584905660377</v>
      </c>
      <c r="U16" s="26">
        <f t="shared" si="4"/>
        <v>-0.4711566782750316</v>
      </c>
      <c r="V16" s="25">
        <v>54.56</v>
      </c>
      <c r="W16" s="25">
        <f t="shared" si="5"/>
        <v>45500</v>
      </c>
      <c r="X16" s="25">
        <f t="shared" si="6"/>
        <v>833.94428152492662</v>
      </c>
      <c r="Y16" s="27" t="s">
        <v>1833</v>
      </c>
      <c r="Z16" s="19" t="s">
        <v>35</v>
      </c>
      <c r="AA16" s="19" t="s">
        <v>35</v>
      </c>
      <c r="AB16" s="19" t="s">
        <v>1834</v>
      </c>
      <c r="AC16" s="19">
        <v>0</v>
      </c>
      <c r="AD16" s="19">
        <v>1</v>
      </c>
      <c r="AE16" s="19" t="s">
        <v>42</v>
      </c>
      <c r="AF16" s="19" t="s">
        <v>43</v>
      </c>
      <c r="AG16" s="19" t="s">
        <v>38</v>
      </c>
      <c r="AH16" s="19" t="s">
        <v>92</v>
      </c>
    </row>
    <row r="17" spans="1:34" x14ac:dyDescent="0.3">
      <c r="A17" s="74" t="s">
        <v>1834</v>
      </c>
      <c r="B17" s="10" t="s">
        <v>1905</v>
      </c>
      <c r="C17" s="10" t="s">
        <v>1906</v>
      </c>
      <c r="D17" s="11">
        <v>45134</v>
      </c>
      <c r="E17" s="12">
        <v>261000</v>
      </c>
      <c r="F17" s="10" t="s">
        <v>32</v>
      </c>
      <c r="G17" s="10" t="s">
        <v>33</v>
      </c>
      <c r="H17" s="12">
        <v>261000</v>
      </c>
      <c r="I17" s="12">
        <v>112100</v>
      </c>
      <c r="J17" s="13">
        <f t="shared" si="0"/>
        <v>42.950191570881223</v>
      </c>
      <c r="K17" s="12">
        <v>288996</v>
      </c>
      <c r="L17" s="12">
        <f>H17-266731</f>
        <v>-5731</v>
      </c>
      <c r="M17" s="12">
        <v>22265</v>
      </c>
      <c r="N17" s="66">
        <f t="shared" si="1"/>
        <v>8.530651340996169E-2</v>
      </c>
      <c r="O17" s="14">
        <v>139.15</v>
      </c>
      <c r="P17" s="15">
        <v>150.96</v>
      </c>
      <c r="Q17" s="16">
        <v>0.4</v>
      </c>
      <c r="R17" s="16">
        <v>0.4</v>
      </c>
      <c r="S17" s="12">
        <f t="shared" si="2"/>
        <v>-41.185770750988141</v>
      </c>
      <c r="T17" s="12">
        <f t="shared" si="3"/>
        <v>-14327.5</v>
      </c>
      <c r="U17" s="17">
        <f t="shared" si="4"/>
        <v>-0.32891414141414144</v>
      </c>
      <c r="V17" s="16">
        <v>141.6</v>
      </c>
      <c r="W17" s="16">
        <f t="shared" si="5"/>
        <v>52200</v>
      </c>
      <c r="X17" s="16">
        <f t="shared" si="6"/>
        <v>368.64406779661016</v>
      </c>
      <c r="Y17" s="18" t="s">
        <v>1833</v>
      </c>
      <c r="Z17" s="10" t="s">
        <v>35</v>
      </c>
      <c r="AA17" s="10" t="s">
        <v>35</v>
      </c>
      <c r="AB17" s="10" t="s">
        <v>1834</v>
      </c>
      <c r="AC17" s="10">
        <v>0</v>
      </c>
      <c r="AD17" s="10">
        <v>1</v>
      </c>
      <c r="AE17" s="10" t="s">
        <v>42</v>
      </c>
      <c r="AF17" s="10" t="s">
        <v>43</v>
      </c>
      <c r="AG17" s="10" t="s">
        <v>38</v>
      </c>
      <c r="AH17" s="10" t="s">
        <v>92</v>
      </c>
    </row>
    <row r="18" spans="1:34" x14ac:dyDescent="0.3">
      <c r="A18" s="75" t="s">
        <v>1834</v>
      </c>
      <c r="B18" s="19" t="s">
        <v>1851</v>
      </c>
      <c r="C18" s="19" t="s">
        <v>1852</v>
      </c>
      <c r="D18" s="20">
        <v>45545</v>
      </c>
      <c r="E18" s="21">
        <v>310000</v>
      </c>
      <c r="F18" s="19" t="s">
        <v>32</v>
      </c>
      <c r="G18" s="19" t="s">
        <v>33</v>
      </c>
      <c r="H18" s="21">
        <v>310000</v>
      </c>
      <c r="I18" s="21">
        <v>134400</v>
      </c>
      <c r="J18" s="22">
        <f t="shared" si="0"/>
        <v>43.354838709677416</v>
      </c>
      <c r="K18" s="21">
        <v>319257</v>
      </c>
      <c r="L18" s="21">
        <f>H18-309657</f>
        <v>343</v>
      </c>
      <c r="M18" s="21">
        <v>9600</v>
      </c>
      <c r="N18" s="67">
        <f t="shared" si="1"/>
        <v>3.0967741935483871E-2</v>
      </c>
      <c r="O18" s="23">
        <v>60</v>
      </c>
      <c r="P18" s="24">
        <v>120</v>
      </c>
      <c r="Q18" s="25">
        <v>0.16500000000000001</v>
      </c>
      <c r="R18" s="25">
        <v>0.16500000000000001</v>
      </c>
      <c r="S18" s="21">
        <f t="shared" si="2"/>
        <v>5.7166666666666668</v>
      </c>
      <c r="T18" s="21">
        <f t="shared" si="3"/>
        <v>2078.7878787878785</v>
      </c>
      <c r="U18" s="26">
        <f t="shared" si="4"/>
        <v>4.7722403094303915E-2</v>
      </c>
      <c r="V18" s="25">
        <v>60</v>
      </c>
      <c r="W18" s="25">
        <f t="shared" si="5"/>
        <v>62000</v>
      </c>
      <c r="X18" s="25">
        <f t="shared" si="6"/>
        <v>1033.3333333333333</v>
      </c>
      <c r="Y18" s="27" t="s">
        <v>1833</v>
      </c>
      <c r="Z18" s="19" t="s">
        <v>35</v>
      </c>
      <c r="AA18" s="19" t="s">
        <v>35</v>
      </c>
      <c r="AB18" s="19" t="s">
        <v>1834</v>
      </c>
      <c r="AC18" s="19">
        <v>0</v>
      </c>
      <c r="AD18" s="19">
        <v>1</v>
      </c>
      <c r="AE18" s="19" t="s">
        <v>42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1834</v>
      </c>
      <c r="B19" s="10" t="s">
        <v>1853</v>
      </c>
      <c r="C19" s="10" t="s">
        <v>1854</v>
      </c>
      <c r="D19" s="11">
        <v>45301</v>
      </c>
      <c r="E19" s="12">
        <v>295000</v>
      </c>
      <c r="F19" s="10" t="s">
        <v>32</v>
      </c>
      <c r="G19" s="10" t="s">
        <v>33</v>
      </c>
      <c r="H19" s="12">
        <v>295000</v>
      </c>
      <c r="I19" s="12">
        <v>115900</v>
      </c>
      <c r="J19" s="13">
        <f t="shared" si="0"/>
        <v>39.288135593220339</v>
      </c>
      <c r="K19" s="12">
        <v>304049</v>
      </c>
      <c r="L19" s="12">
        <f>H19-294449</f>
        <v>551</v>
      </c>
      <c r="M19" s="12">
        <v>9600</v>
      </c>
      <c r="N19" s="66">
        <f t="shared" si="1"/>
        <v>3.2542372881355933E-2</v>
      </c>
      <c r="O19" s="14">
        <v>60</v>
      </c>
      <c r="P19" s="15">
        <v>120</v>
      </c>
      <c r="Q19" s="16">
        <v>0.16500000000000001</v>
      </c>
      <c r="R19" s="16">
        <v>0.16500000000000001</v>
      </c>
      <c r="S19" s="12">
        <f t="shared" si="2"/>
        <v>9.1833333333333336</v>
      </c>
      <c r="T19" s="12">
        <f t="shared" si="3"/>
        <v>3339.393939393939</v>
      </c>
      <c r="U19" s="17">
        <f t="shared" si="4"/>
        <v>7.6661936166068395E-2</v>
      </c>
      <c r="V19" s="16">
        <v>60</v>
      </c>
      <c r="W19" s="16">
        <f t="shared" si="5"/>
        <v>59000</v>
      </c>
      <c r="X19" s="16">
        <f t="shared" si="6"/>
        <v>983.33333333333337</v>
      </c>
      <c r="Y19" s="18" t="s">
        <v>1833</v>
      </c>
      <c r="Z19" s="10" t="s">
        <v>35</v>
      </c>
      <c r="AA19" s="10" t="s">
        <v>35</v>
      </c>
      <c r="AB19" s="10" t="s">
        <v>1834</v>
      </c>
      <c r="AC19" s="10">
        <v>0</v>
      </c>
      <c r="AD19" s="10">
        <v>1</v>
      </c>
      <c r="AE19" s="10" t="s">
        <v>37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4" t="s">
        <v>1834</v>
      </c>
      <c r="B20" s="10" t="s">
        <v>1855</v>
      </c>
      <c r="C20" s="10" t="s">
        <v>1856</v>
      </c>
      <c r="D20" s="11">
        <v>45520</v>
      </c>
      <c r="E20" s="12">
        <v>275000</v>
      </c>
      <c r="F20" s="10" t="s">
        <v>32</v>
      </c>
      <c r="G20" s="10" t="s">
        <v>33</v>
      </c>
      <c r="H20" s="12">
        <v>275000</v>
      </c>
      <c r="I20" s="12">
        <v>117600</v>
      </c>
      <c r="J20" s="13">
        <f t="shared" si="0"/>
        <v>42.763636363636365</v>
      </c>
      <c r="K20" s="12">
        <v>277480</v>
      </c>
      <c r="L20" s="12">
        <f>H20-267880</f>
        <v>7120</v>
      </c>
      <c r="M20" s="12">
        <v>9600</v>
      </c>
      <c r="N20" s="66">
        <f t="shared" si="1"/>
        <v>3.490909090909091E-2</v>
      </c>
      <c r="O20" s="14">
        <v>60</v>
      </c>
      <c r="P20" s="15">
        <v>120</v>
      </c>
      <c r="Q20" s="16">
        <v>0.16500000000000001</v>
      </c>
      <c r="R20" s="16">
        <v>0.16500000000000001</v>
      </c>
      <c r="S20" s="12">
        <f t="shared" si="2"/>
        <v>118.66666666666667</v>
      </c>
      <c r="T20" s="12">
        <f t="shared" si="3"/>
        <v>43151.515151515152</v>
      </c>
      <c r="U20" s="17">
        <f t="shared" si="4"/>
        <v>0.99062247822578398</v>
      </c>
      <c r="V20" s="16">
        <v>60</v>
      </c>
      <c r="W20" s="16">
        <f t="shared" si="5"/>
        <v>55000</v>
      </c>
      <c r="X20" s="16">
        <f t="shared" si="6"/>
        <v>916.66666666666663</v>
      </c>
      <c r="Y20" s="18" t="s">
        <v>1833</v>
      </c>
      <c r="Z20" s="10" t="s">
        <v>35</v>
      </c>
      <c r="AA20" s="10" t="s">
        <v>35</v>
      </c>
      <c r="AB20" s="10" t="s">
        <v>1834</v>
      </c>
      <c r="AC20" s="10">
        <v>0</v>
      </c>
      <c r="AD20" s="10">
        <v>1</v>
      </c>
      <c r="AE20" s="10" t="s">
        <v>42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1834</v>
      </c>
      <c r="B21" s="19" t="s">
        <v>1843</v>
      </c>
      <c r="C21" s="19" t="s">
        <v>1844</v>
      </c>
      <c r="D21" s="20">
        <v>45510</v>
      </c>
      <c r="E21" s="21">
        <v>326500</v>
      </c>
      <c r="F21" s="19" t="s">
        <v>32</v>
      </c>
      <c r="G21" s="19" t="s">
        <v>33</v>
      </c>
      <c r="H21" s="21">
        <v>326500</v>
      </c>
      <c r="I21" s="21">
        <v>138200</v>
      </c>
      <c r="J21" s="22">
        <f t="shared" si="0"/>
        <v>42.32771822358346</v>
      </c>
      <c r="K21" s="21">
        <v>327020</v>
      </c>
      <c r="L21" s="21">
        <f>H21-317418</f>
        <v>9082</v>
      </c>
      <c r="M21" s="21">
        <v>9602</v>
      </c>
      <c r="N21" s="67">
        <f t="shared" si="1"/>
        <v>2.9408882082695254E-2</v>
      </c>
      <c r="O21" s="23">
        <v>60.01</v>
      </c>
      <c r="P21" s="24">
        <v>120.05</v>
      </c>
      <c r="Q21" s="25">
        <v>0.16500000000000001</v>
      </c>
      <c r="R21" s="25">
        <v>0.16500000000000001</v>
      </c>
      <c r="S21" s="21">
        <f t="shared" si="2"/>
        <v>151.34144309281785</v>
      </c>
      <c r="T21" s="21">
        <f t="shared" si="3"/>
        <v>55042.42424242424</v>
      </c>
      <c r="U21" s="26">
        <f t="shared" si="4"/>
        <v>1.2636001892200239</v>
      </c>
      <c r="V21" s="25">
        <v>60</v>
      </c>
      <c r="W21" s="25">
        <f t="shared" si="5"/>
        <v>65300</v>
      </c>
      <c r="X21" s="25">
        <f t="shared" si="6"/>
        <v>1088.3333333333333</v>
      </c>
      <c r="Y21" s="27" t="s">
        <v>1833</v>
      </c>
      <c r="Z21" s="19" t="s">
        <v>35</v>
      </c>
      <c r="AA21" s="19" t="s">
        <v>35</v>
      </c>
      <c r="AB21" s="19" t="s">
        <v>1834</v>
      </c>
      <c r="AC21" s="19">
        <v>0</v>
      </c>
      <c r="AD21" s="19">
        <v>1</v>
      </c>
      <c r="AE21" s="19" t="s">
        <v>42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5" t="s">
        <v>1834</v>
      </c>
      <c r="B22" s="19" t="s">
        <v>1831</v>
      </c>
      <c r="C22" s="19" t="s">
        <v>1832</v>
      </c>
      <c r="D22" s="20">
        <v>45686</v>
      </c>
      <c r="E22" s="21">
        <v>295000</v>
      </c>
      <c r="F22" s="19" t="s">
        <v>32</v>
      </c>
      <c r="G22" s="19" t="s">
        <v>33</v>
      </c>
      <c r="H22" s="21">
        <v>295000</v>
      </c>
      <c r="I22" s="21">
        <v>120900</v>
      </c>
      <c r="J22" s="22">
        <f t="shared" si="0"/>
        <v>40.983050847457626</v>
      </c>
      <c r="K22" s="21">
        <v>286258</v>
      </c>
      <c r="L22" s="21">
        <f>H22-273645</f>
        <v>21355</v>
      </c>
      <c r="M22" s="21">
        <v>12613</v>
      </c>
      <c r="N22" s="67">
        <f t="shared" si="1"/>
        <v>4.2755932203389829E-2</v>
      </c>
      <c r="O22" s="23">
        <v>78.819999999999993</v>
      </c>
      <c r="P22" s="24">
        <v>155.38999999999999</v>
      </c>
      <c r="Q22" s="25">
        <v>0.21</v>
      </c>
      <c r="R22" s="25">
        <v>0.21</v>
      </c>
      <c r="S22" s="21">
        <f t="shared" si="2"/>
        <v>270.93377315402182</v>
      </c>
      <c r="T22" s="21">
        <f t="shared" si="3"/>
        <v>101690.4761904762</v>
      </c>
      <c r="U22" s="26">
        <f t="shared" si="4"/>
        <v>2.3344921072193801</v>
      </c>
      <c r="V22" s="25">
        <v>90.22</v>
      </c>
      <c r="W22" s="25">
        <f t="shared" si="5"/>
        <v>59000</v>
      </c>
      <c r="X22" s="25">
        <f t="shared" si="6"/>
        <v>653.95699401463094</v>
      </c>
      <c r="Y22" s="27" t="s">
        <v>1833</v>
      </c>
      <c r="Z22" s="19" t="s">
        <v>35</v>
      </c>
      <c r="AA22" s="19" t="s">
        <v>35</v>
      </c>
      <c r="AB22" s="19" t="s">
        <v>1834</v>
      </c>
      <c r="AC22" s="19">
        <v>0</v>
      </c>
      <c r="AD22" s="19">
        <v>1</v>
      </c>
      <c r="AE22" s="19" t="s">
        <v>37</v>
      </c>
      <c r="AF22" s="19" t="s">
        <v>35</v>
      </c>
      <c r="AG22" s="19" t="s">
        <v>38</v>
      </c>
      <c r="AH22" s="19" t="s">
        <v>92</v>
      </c>
    </row>
    <row r="23" spans="1:34" x14ac:dyDescent="0.3">
      <c r="A23" s="74" t="s">
        <v>1834</v>
      </c>
      <c r="B23" s="10" t="s">
        <v>1845</v>
      </c>
      <c r="C23" s="10" t="s">
        <v>1846</v>
      </c>
      <c r="D23" s="11">
        <v>45435</v>
      </c>
      <c r="E23" s="12">
        <v>288000</v>
      </c>
      <c r="F23" s="10" t="s">
        <v>32</v>
      </c>
      <c r="G23" s="10" t="s">
        <v>33</v>
      </c>
      <c r="H23" s="12">
        <v>288000</v>
      </c>
      <c r="I23" s="12">
        <v>117900</v>
      </c>
      <c r="J23" s="13">
        <f t="shared" si="0"/>
        <v>40.9375</v>
      </c>
      <c r="K23" s="12">
        <v>279024</v>
      </c>
      <c r="L23" s="12">
        <f>H23-269424</f>
        <v>18576</v>
      </c>
      <c r="M23" s="12">
        <v>9600</v>
      </c>
      <c r="N23" s="66">
        <f t="shared" si="1"/>
        <v>3.3333333333333333E-2</v>
      </c>
      <c r="O23" s="14">
        <v>60</v>
      </c>
      <c r="P23" s="15">
        <v>120</v>
      </c>
      <c r="Q23" s="16">
        <v>0.16500000000000001</v>
      </c>
      <c r="R23" s="16">
        <v>0.16500000000000001</v>
      </c>
      <c r="S23" s="12">
        <f t="shared" si="2"/>
        <v>309.60000000000002</v>
      </c>
      <c r="T23" s="12">
        <f t="shared" si="3"/>
        <v>112581.81818181818</v>
      </c>
      <c r="U23" s="17">
        <f t="shared" si="4"/>
        <v>2.5845229151014273</v>
      </c>
      <c r="V23" s="16">
        <v>60</v>
      </c>
      <c r="W23" s="16">
        <f t="shared" si="5"/>
        <v>57600</v>
      </c>
      <c r="X23" s="16">
        <f t="shared" si="6"/>
        <v>960</v>
      </c>
      <c r="Y23" s="18" t="s">
        <v>1833</v>
      </c>
      <c r="Z23" s="10" t="s">
        <v>35</v>
      </c>
      <c r="AA23" s="10" t="s">
        <v>35</v>
      </c>
      <c r="AB23" s="10" t="s">
        <v>1834</v>
      </c>
      <c r="AC23" s="10">
        <v>0</v>
      </c>
      <c r="AD23" s="10">
        <v>1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1834</v>
      </c>
      <c r="B24" s="19" t="s">
        <v>1903</v>
      </c>
      <c r="C24" s="19" t="s">
        <v>1904</v>
      </c>
      <c r="D24" s="20">
        <v>45737</v>
      </c>
      <c r="E24" s="21">
        <v>267500</v>
      </c>
      <c r="F24" s="19" t="s">
        <v>32</v>
      </c>
      <c r="G24" s="19" t="s">
        <v>33</v>
      </c>
      <c r="H24" s="21">
        <v>267500</v>
      </c>
      <c r="I24" s="21">
        <v>110700</v>
      </c>
      <c r="J24" s="22">
        <f t="shared" si="0"/>
        <v>41.383177570093459</v>
      </c>
      <c r="K24" s="21">
        <v>256150</v>
      </c>
      <c r="L24" s="21">
        <f>H24-245625</f>
        <v>21875</v>
      </c>
      <c r="M24" s="21">
        <v>10525</v>
      </c>
      <c r="N24" s="67">
        <f t="shared" si="1"/>
        <v>3.9345794392523364E-2</v>
      </c>
      <c r="O24" s="23">
        <v>65.77</v>
      </c>
      <c r="P24" s="24">
        <v>144.22999999999999</v>
      </c>
      <c r="Q24" s="25">
        <v>0.19900000000000001</v>
      </c>
      <c r="R24" s="25">
        <v>0.19900000000000001</v>
      </c>
      <c r="S24" s="21">
        <f t="shared" si="2"/>
        <v>332.59844914094572</v>
      </c>
      <c r="T24" s="21">
        <f t="shared" si="3"/>
        <v>109924.62311557788</v>
      </c>
      <c r="U24" s="26">
        <f t="shared" si="4"/>
        <v>2.5235221100913194</v>
      </c>
      <c r="V24" s="25">
        <v>60</v>
      </c>
      <c r="W24" s="25">
        <f t="shared" si="5"/>
        <v>53500</v>
      </c>
      <c r="X24" s="25">
        <f t="shared" si="6"/>
        <v>891.66666666666663</v>
      </c>
      <c r="Y24" s="27" t="s">
        <v>1833</v>
      </c>
      <c r="Z24" s="19" t="s">
        <v>35</v>
      </c>
      <c r="AA24" s="19" t="s">
        <v>35</v>
      </c>
      <c r="AB24" s="19" t="s">
        <v>1834</v>
      </c>
      <c r="AC24" s="19">
        <v>0</v>
      </c>
      <c r="AD24" s="19">
        <v>1</v>
      </c>
      <c r="AE24" s="19" t="s">
        <v>42</v>
      </c>
      <c r="AF24" s="19" t="s">
        <v>35</v>
      </c>
      <c r="AG24" s="19" t="s">
        <v>38</v>
      </c>
      <c r="AH24" s="19" t="s">
        <v>92</v>
      </c>
    </row>
    <row r="25" spans="1:34" x14ac:dyDescent="0.3">
      <c r="A25" s="74" t="s">
        <v>1834</v>
      </c>
      <c r="B25" s="10" t="s">
        <v>1907</v>
      </c>
      <c r="C25" s="10" t="s">
        <v>1908</v>
      </c>
      <c r="D25" s="11">
        <v>45201</v>
      </c>
      <c r="E25" s="12">
        <v>250000</v>
      </c>
      <c r="F25" s="10" t="s">
        <v>32</v>
      </c>
      <c r="G25" s="10" t="s">
        <v>33</v>
      </c>
      <c r="H25" s="12">
        <v>250000</v>
      </c>
      <c r="I25" s="12">
        <v>92200</v>
      </c>
      <c r="J25" s="13">
        <f t="shared" si="0"/>
        <v>36.880000000000003</v>
      </c>
      <c r="K25" s="12">
        <v>237461</v>
      </c>
      <c r="L25" s="12">
        <f>H25-226854</f>
        <v>23146</v>
      </c>
      <c r="M25" s="12">
        <v>10607</v>
      </c>
      <c r="N25" s="66">
        <f t="shared" si="1"/>
        <v>4.2428E-2</v>
      </c>
      <c r="O25" s="14">
        <v>66.290000000000006</v>
      </c>
      <c r="P25" s="15">
        <v>146.5</v>
      </c>
      <c r="Q25" s="16">
        <v>0.20200000000000001</v>
      </c>
      <c r="R25" s="16">
        <v>0.20200000000000001</v>
      </c>
      <c r="S25" s="12">
        <f t="shared" si="2"/>
        <v>349.16276964851409</v>
      </c>
      <c r="T25" s="12">
        <f t="shared" si="3"/>
        <v>114584.15841584158</v>
      </c>
      <c r="U25" s="17">
        <f t="shared" si="4"/>
        <v>2.6304903217594484</v>
      </c>
      <c r="V25" s="16">
        <v>60</v>
      </c>
      <c r="W25" s="16">
        <f t="shared" si="5"/>
        <v>50000</v>
      </c>
      <c r="X25" s="16">
        <f t="shared" si="6"/>
        <v>833.33333333333337</v>
      </c>
      <c r="Y25" s="18" t="s">
        <v>1833</v>
      </c>
      <c r="Z25" s="10" t="s">
        <v>35</v>
      </c>
      <c r="AA25" s="10" t="s">
        <v>35</v>
      </c>
      <c r="AB25" s="10" t="s">
        <v>1834</v>
      </c>
      <c r="AC25" s="10">
        <v>0</v>
      </c>
      <c r="AD25" s="10">
        <v>1</v>
      </c>
      <c r="AE25" s="10" t="s">
        <v>42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5" t="s">
        <v>1834</v>
      </c>
      <c r="B26" s="19" t="s">
        <v>1901</v>
      </c>
      <c r="C26" s="19" t="s">
        <v>1902</v>
      </c>
      <c r="D26" s="20">
        <v>45349</v>
      </c>
      <c r="E26" s="21">
        <v>267000</v>
      </c>
      <c r="F26" s="19" t="s">
        <v>32</v>
      </c>
      <c r="G26" s="19" t="s">
        <v>33</v>
      </c>
      <c r="H26" s="21">
        <v>267000</v>
      </c>
      <c r="I26" s="21">
        <v>90800</v>
      </c>
      <c r="J26" s="22">
        <f t="shared" si="0"/>
        <v>34.007490636704119</v>
      </c>
      <c r="K26" s="21">
        <v>234104</v>
      </c>
      <c r="L26" s="21">
        <f>H26-224504</f>
        <v>42496</v>
      </c>
      <c r="M26" s="21">
        <v>9600</v>
      </c>
      <c r="N26" s="67">
        <f t="shared" si="1"/>
        <v>3.5955056179775284E-2</v>
      </c>
      <c r="O26" s="23">
        <v>60</v>
      </c>
      <c r="P26" s="24">
        <v>120</v>
      </c>
      <c r="Q26" s="25">
        <v>0.16500000000000001</v>
      </c>
      <c r="R26" s="25">
        <v>0.16500000000000001</v>
      </c>
      <c r="S26" s="21">
        <f t="shared" si="2"/>
        <v>708.26666666666665</v>
      </c>
      <c r="T26" s="21">
        <f t="shared" si="3"/>
        <v>257551.51515151514</v>
      </c>
      <c r="U26" s="26">
        <f t="shared" si="4"/>
        <v>5.9125692183543421</v>
      </c>
      <c r="V26" s="25">
        <v>60</v>
      </c>
      <c r="W26" s="25">
        <f t="shared" si="5"/>
        <v>53400</v>
      </c>
      <c r="X26" s="25">
        <f t="shared" si="6"/>
        <v>890</v>
      </c>
      <c r="Y26" s="27" t="s">
        <v>1833</v>
      </c>
      <c r="Z26" s="19" t="s">
        <v>35</v>
      </c>
      <c r="AA26" s="19" t="s">
        <v>35</v>
      </c>
      <c r="AB26" s="19" t="s">
        <v>1834</v>
      </c>
      <c r="AC26" s="19">
        <v>0</v>
      </c>
      <c r="AD26" s="19">
        <v>1</v>
      </c>
      <c r="AE26" s="19" t="s">
        <v>37</v>
      </c>
      <c r="AF26" s="19" t="s">
        <v>43</v>
      </c>
      <c r="AG26" s="19" t="s">
        <v>38</v>
      </c>
      <c r="AH26" s="19" t="s">
        <v>92</v>
      </c>
    </row>
    <row r="27" spans="1:34" ht="15" thickBot="1" x14ac:dyDescent="0.35">
      <c r="A27" s="75" t="s">
        <v>1834</v>
      </c>
      <c r="B27" s="19" t="s">
        <v>1841</v>
      </c>
      <c r="C27" s="19" t="s">
        <v>1842</v>
      </c>
      <c r="D27" s="20">
        <v>45639</v>
      </c>
      <c r="E27" s="21">
        <v>300000</v>
      </c>
      <c r="F27" s="19" t="s">
        <v>32</v>
      </c>
      <c r="G27" s="19" t="s">
        <v>33</v>
      </c>
      <c r="H27" s="21">
        <v>300000</v>
      </c>
      <c r="I27" s="21">
        <v>109600</v>
      </c>
      <c r="J27" s="22">
        <f t="shared" si="0"/>
        <v>36.533333333333331</v>
      </c>
      <c r="K27" s="21">
        <v>253657</v>
      </c>
      <c r="L27" s="21">
        <f>H27-244057</f>
        <v>55943</v>
      </c>
      <c r="M27" s="21">
        <v>9600</v>
      </c>
      <c r="N27" s="67">
        <f t="shared" si="1"/>
        <v>3.2000000000000001E-2</v>
      </c>
      <c r="O27" s="23">
        <v>60</v>
      </c>
      <c r="P27" s="24">
        <v>120</v>
      </c>
      <c r="Q27" s="25">
        <v>0.16500000000000001</v>
      </c>
      <c r="R27" s="25">
        <v>0.16500000000000001</v>
      </c>
      <c r="S27" s="21">
        <f t="shared" si="2"/>
        <v>932.38333333333333</v>
      </c>
      <c r="T27" s="21">
        <f t="shared" si="3"/>
        <v>339048.4848484848</v>
      </c>
      <c r="U27" s="26">
        <f t="shared" si="4"/>
        <v>7.7834822049698076</v>
      </c>
      <c r="V27" s="25">
        <v>60</v>
      </c>
      <c r="W27" s="25">
        <f t="shared" si="5"/>
        <v>60000</v>
      </c>
      <c r="X27" s="25">
        <f t="shared" si="6"/>
        <v>1000</v>
      </c>
      <c r="Y27" s="27" t="s">
        <v>1833</v>
      </c>
      <c r="Z27" s="19" t="s">
        <v>35</v>
      </c>
      <c r="AA27" s="19" t="s">
        <v>35</v>
      </c>
      <c r="AB27" s="19" t="s">
        <v>1834</v>
      </c>
      <c r="AC27" s="19">
        <v>0</v>
      </c>
      <c r="AD27" s="19">
        <v>1</v>
      </c>
      <c r="AE27" s="19" t="s">
        <v>37</v>
      </c>
      <c r="AF27" s="19" t="s">
        <v>35</v>
      </c>
      <c r="AG27" s="19" t="s">
        <v>38</v>
      </c>
      <c r="AH27" s="19" t="s">
        <v>92</v>
      </c>
    </row>
    <row r="28" spans="1:34" ht="15" thickTop="1" x14ac:dyDescent="0.3">
      <c r="A28" s="76"/>
      <c r="B28" s="37"/>
      <c r="C28" s="37"/>
      <c r="D28" s="38" t="s">
        <v>2876</v>
      </c>
      <c r="E28" s="39">
        <f>+SUM(E2:E27)</f>
        <v>6978400</v>
      </c>
      <c r="F28" s="37"/>
      <c r="G28" s="37"/>
      <c r="H28" s="39">
        <f>+SUM(H2:H27)</f>
        <v>6978400</v>
      </c>
      <c r="I28" s="39">
        <f>+SUM(I2:I27)</f>
        <v>3079400</v>
      </c>
      <c r="J28" s="40"/>
      <c r="K28" s="39">
        <f>+SUM(K2:K27)</f>
        <v>7520780</v>
      </c>
      <c r="L28" s="39">
        <f>+SUM(L2:L27)</f>
        <v>-264697</v>
      </c>
      <c r="M28" s="39">
        <f>+SUM(M2:M27)</f>
        <v>277683</v>
      </c>
      <c r="N28" s="81">
        <f>AVERAGE(N2:N27)</f>
        <v>4.0554588697775999E-2</v>
      </c>
      <c r="O28" s="41">
        <f>+SUM(O2:O27)</f>
        <v>1735.41</v>
      </c>
      <c r="P28" s="42"/>
      <c r="Q28" s="43">
        <f>+SUM(Q2:Q27)</f>
        <v>4.875</v>
      </c>
      <c r="R28" s="43">
        <f>+SUM(R2:R27)</f>
        <v>4.875</v>
      </c>
      <c r="S28" s="39"/>
      <c r="T28" s="39"/>
      <c r="U28" s="44"/>
      <c r="V28" s="43"/>
      <c r="W28" s="82">
        <f>AVERAGE(W2:W27)</f>
        <v>53680</v>
      </c>
      <c r="X28" s="83">
        <f>AVERAGE(X2:X27)</f>
        <v>848.10650863284468</v>
      </c>
      <c r="Y28" s="45"/>
      <c r="Z28" s="37"/>
      <c r="AA28" s="37"/>
      <c r="AB28" s="37"/>
      <c r="AC28" s="37"/>
      <c r="AD28" s="37"/>
      <c r="AE28" s="37"/>
      <c r="AF28" s="37"/>
      <c r="AG28" s="37"/>
      <c r="AH28" s="37"/>
    </row>
    <row r="29" spans="1:34" x14ac:dyDescent="0.3">
      <c r="A29" s="77"/>
      <c r="B29" s="28"/>
      <c r="C29" s="28"/>
      <c r="D29" s="29"/>
      <c r="E29" s="30"/>
      <c r="F29" s="28"/>
      <c r="G29" s="28"/>
      <c r="H29" s="30"/>
      <c r="I29" s="30" t="s">
        <v>2877</v>
      </c>
      <c r="J29" s="31">
        <f>I28/H28*100</f>
        <v>44.127593717757648</v>
      </c>
      <c r="K29" s="30"/>
      <c r="L29" s="30"/>
      <c r="M29" s="30" t="s">
        <v>2879</v>
      </c>
      <c r="N29" s="79"/>
      <c r="O29" s="32"/>
      <c r="P29" s="33"/>
      <c r="Q29" s="34" t="s">
        <v>2879</v>
      </c>
      <c r="R29" s="34"/>
      <c r="S29" s="30"/>
      <c r="T29" s="30" t="s">
        <v>2879</v>
      </c>
      <c r="U29" s="35"/>
      <c r="V29" s="34"/>
      <c r="W29" s="63"/>
      <c r="X29" s="68"/>
      <c r="Y29" s="36"/>
      <c r="Z29" s="28"/>
      <c r="AA29" s="28"/>
      <c r="AB29" s="28"/>
      <c r="AC29" s="28"/>
      <c r="AD29" s="28"/>
      <c r="AE29" s="28"/>
      <c r="AF29" s="28"/>
      <c r="AG29" s="28"/>
      <c r="AH29" s="28"/>
    </row>
    <row r="30" spans="1:34" x14ac:dyDescent="0.3">
      <c r="A30" s="78"/>
      <c r="B30" s="46"/>
      <c r="C30" s="46"/>
      <c r="D30" s="47"/>
      <c r="E30" s="48"/>
      <c r="F30" s="46"/>
      <c r="G30" s="46"/>
      <c r="H30" s="48"/>
      <c r="I30" s="48" t="s">
        <v>2878</v>
      </c>
      <c r="J30" s="49">
        <f>STDEV(J2:J27)</f>
        <v>8.3616379289848624</v>
      </c>
      <c r="K30" s="48"/>
      <c r="L30" s="48"/>
      <c r="M30" s="48" t="s">
        <v>2880</v>
      </c>
      <c r="N30" s="80"/>
      <c r="O30" s="54">
        <f>L28/O28</f>
        <v>-152.5270685313557</v>
      </c>
      <c r="P30" s="50"/>
      <c r="Q30" s="51" t="s">
        <v>2881</v>
      </c>
      <c r="R30" s="51">
        <f>L28/Q28</f>
        <v>-54296.820512820515</v>
      </c>
      <c r="S30" s="48"/>
      <c r="T30" s="48" t="s">
        <v>2882</v>
      </c>
      <c r="U30" s="52">
        <f>L28/Q28/43560</f>
        <v>-1.2464834828471192</v>
      </c>
      <c r="V30" s="51"/>
      <c r="W30" s="64"/>
      <c r="X30" s="69"/>
      <c r="Y30" s="53"/>
      <c r="Z30" s="46"/>
      <c r="AA30" s="46"/>
      <c r="AB30" s="46"/>
      <c r="AC30" s="46"/>
      <c r="AD30" s="46"/>
      <c r="AE30" s="46"/>
      <c r="AF30" s="46"/>
      <c r="AG30" s="46"/>
      <c r="AH30" s="46"/>
    </row>
    <row r="31" spans="1:34" x14ac:dyDescent="0.3">
      <c r="E31" s="94" t="s">
        <v>3099</v>
      </c>
      <c r="L31" s="95"/>
    </row>
    <row r="32" spans="1:34" x14ac:dyDescent="0.3">
      <c r="E32" s="383" t="s">
        <v>3163</v>
      </c>
      <c r="F32" s="383"/>
      <c r="G32" s="383"/>
      <c r="H32" s="383"/>
      <c r="I32" s="383"/>
      <c r="J32" s="383"/>
      <c r="K32" s="383"/>
      <c r="L32" s="383"/>
    </row>
    <row r="33" spans="1:34" x14ac:dyDescent="0.3">
      <c r="E33" s="383" t="s">
        <v>3164</v>
      </c>
      <c r="F33" s="383"/>
      <c r="G33" s="383"/>
      <c r="H33" s="383"/>
      <c r="I33" s="383"/>
      <c r="J33" s="383"/>
      <c r="K33" s="383"/>
      <c r="L33" s="383"/>
    </row>
    <row r="34" spans="1:34" x14ac:dyDescent="0.3">
      <c r="E34" s="383" t="s">
        <v>3165</v>
      </c>
      <c r="F34" s="383"/>
      <c r="G34" s="383"/>
      <c r="H34" s="383"/>
      <c r="I34" s="383"/>
      <c r="J34" s="383"/>
      <c r="K34" s="383"/>
      <c r="L34" s="383"/>
    </row>
    <row r="35" spans="1:34" x14ac:dyDescent="0.3">
      <c r="E35" s="383" t="s">
        <v>3166</v>
      </c>
      <c r="F35" s="383"/>
      <c r="G35" s="383"/>
      <c r="H35" s="383"/>
      <c r="I35" s="383"/>
      <c r="J35" s="96"/>
      <c r="K35" s="96"/>
      <c r="L35" s="96"/>
    </row>
    <row r="36" spans="1:34" x14ac:dyDescent="0.3">
      <c r="E36" s="383" t="s">
        <v>3167</v>
      </c>
      <c r="F36" s="383"/>
      <c r="G36" s="383"/>
      <c r="H36" s="383"/>
      <c r="I36" s="383"/>
      <c r="L36" s="95"/>
    </row>
    <row r="37" spans="1:34" x14ac:dyDescent="0.3">
      <c r="E37" s="383" t="s">
        <v>3100</v>
      </c>
      <c r="F37" s="383"/>
      <c r="G37" s="383"/>
      <c r="H37" s="383"/>
      <c r="I37" s="383"/>
      <c r="L37" s="95"/>
    </row>
    <row r="38" spans="1:34" x14ac:dyDescent="0.3">
      <c r="E38" s="96"/>
      <c r="F38" s="96"/>
      <c r="G38" s="96"/>
      <c r="H38" s="96"/>
      <c r="I38" s="96"/>
      <c r="L38" s="95"/>
    </row>
    <row r="39" spans="1:34" x14ac:dyDescent="0.3">
      <c r="A39" s="55" t="s">
        <v>3092</v>
      </c>
      <c r="E39" s="96"/>
      <c r="F39" s="96"/>
      <c r="G39" s="96"/>
      <c r="H39" s="96"/>
      <c r="I39" s="96"/>
      <c r="L39" s="95"/>
    </row>
    <row r="40" spans="1:34" x14ac:dyDescent="0.3">
      <c r="A40" s="75" t="s">
        <v>1834</v>
      </c>
      <c r="B40" s="19" t="s">
        <v>1857</v>
      </c>
      <c r="C40" s="19" t="s">
        <v>1858</v>
      </c>
      <c r="D40" s="20">
        <v>45497</v>
      </c>
      <c r="E40" s="21">
        <v>182500</v>
      </c>
      <c r="F40" s="19" t="s">
        <v>32</v>
      </c>
      <c r="G40" s="19" t="s">
        <v>33</v>
      </c>
      <c r="H40" s="21">
        <v>182500</v>
      </c>
      <c r="I40" s="21">
        <v>145900</v>
      </c>
      <c r="J40" s="22">
        <f t="shared" ref="J40:J51" si="7">I40/H40*100</f>
        <v>79.945205479452056</v>
      </c>
      <c r="K40" s="21">
        <v>343715</v>
      </c>
      <c r="L40" s="21">
        <f>H40-333143</f>
        <v>-150643</v>
      </c>
      <c r="M40" s="21">
        <v>10572</v>
      </c>
      <c r="N40" s="67">
        <f t="shared" ref="N40:N51" si="8">M40/E40</f>
        <v>5.7928767123287671E-2</v>
      </c>
      <c r="O40" s="23">
        <v>66.069999999999993</v>
      </c>
      <c r="P40" s="24">
        <v>121.57</v>
      </c>
      <c r="Q40" s="25">
        <v>0.19600000000000001</v>
      </c>
      <c r="R40" s="25">
        <v>0.19600000000000001</v>
      </c>
      <c r="S40" s="21">
        <f t="shared" ref="S40:S51" si="9">L40/O40</f>
        <v>-2280.0514605721205</v>
      </c>
      <c r="T40" s="21">
        <f t="shared" ref="T40:T51" si="10">L40/Q40</f>
        <v>-768586.73469387752</v>
      </c>
      <c r="U40" s="26">
        <f t="shared" ref="U40:U51" si="11">L40/Q40/43560</f>
        <v>-17.644323569648243</v>
      </c>
      <c r="V40" s="25">
        <v>56.65</v>
      </c>
      <c r="W40" s="25">
        <f t="shared" ref="W40:W51" si="12">0.2*E40</f>
        <v>36500</v>
      </c>
      <c r="X40" s="25">
        <f t="shared" ref="X40:X51" si="13">W40/V40</f>
        <v>644.30714916151805</v>
      </c>
      <c r="Y40" s="27" t="s">
        <v>1833</v>
      </c>
      <c r="Z40" s="19" t="s">
        <v>35</v>
      </c>
      <c r="AA40" s="19" t="s">
        <v>35</v>
      </c>
      <c r="AB40" s="19" t="s">
        <v>1834</v>
      </c>
      <c r="AC40" s="19">
        <v>0</v>
      </c>
      <c r="AD40" s="19">
        <v>1</v>
      </c>
      <c r="AE40" s="19" t="s">
        <v>42</v>
      </c>
      <c r="AF40" s="19" t="s">
        <v>43</v>
      </c>
      <c r="AG40" s="19" t="s">
        <v>38</v>
      </c>
      <c r="AH40" s="19" t="s">
        <v>92</v>
      </c>
    </row>
    <row r="41" spans="1:34" x14ac:dyDescent="0.3">
      <c r="A41" s="74" t="s">
        <v>1834</v>
      </c>
      <c r="B41" s="10" t="s">
        <v>1899</v>
      </c>
      <c r="C41" s="10" t="s">
        <v>1900</v>
      </c>
      <c r="D41" s="11">
        <v>45393</v>
      </c>
      <c r="E41" s="12">
        <v>260000</v>
      </c>
      <c r="F41" s="10" t="s">
        <v>32</v>
      </c>
      <c r="G41" s="10" t="s">
        <v>33</v>
      </c>
      <c r="H41" s="12">
        <v>260000</v>
      </c>
      <c r="I41" s="12">
        <v>136000</v>
      </c>
      <c r="J41" s="13">
        <f t="shared" si="7"/>
        <v>52.307692307692314</v>
      </c>
      <c r="K41" s="12">
        <v>321038</v>
      </c>
      <c r="L41" s="12">
        <f>H41-311438</f>
        <v>-51438</v>
      </c>
      <c r="M41" s="12">
        <v>9600</v>
      </c>
      <c r="N41" s="66">
        <f t="shared" si="8"/>
        <v>3.6923076923076927E-2</v>
      </c>
      <c r="O41" s="14">
        <v>60</v>
      </c>
      <c r="P41" s="15">
        <v>120</v>
      </c>
      <c r="Q41" s="16">
        <v>0.16500000000000001</v>
      </c>
      <c r="R41" s="16">
        <v>0.16500000000000001</v>
      </c>
      <c r="S41" s="12">
        <f t="shared" si="9"/>
        <v>-857.3</v>
      </c>
      <c r="T41" s="12">
        <f t="shared" si="10"/>
        <v>-311745.45454545453</v>
      </c>
      <c r="U41" s="17">
        <f t="shared" si="11"/>
        <v>-7.1566908756991401</v>
      </c>
      <c r="V41" s="16">
        <v>60</v>
      </c>
      <c r="W41" s="16">
        <f t="shared" si="12"/>
        <v>52000</v>
      </c>
      <c r="X41" s="16">
        <f t="shared" si="13"/>
        <v>866.66666666666663</v>
      </c>
      <c r="Y41" s="18" t="s">
        <v>1833</v>
      </c>
      <c r="Z41" s="10" t="s">
        <v>35</v>
      </c>
      <c r="AA41" s="10" t="s">
        <v>35</v>
      </c>
      <c r="AB41" s="10" t="s">
        <v>1834</v>
      </c>
      <c r="AC41" s="10">
        <v>0</v>
      </c>
      <c r="AD41" s="10">
        <v>1</v>
      </c>
      <c r="AE41" s="10" t="s">
        <v>42</v>
      </c>
      <c r="AF41" s="10" t="s">
        <v>43</v>
      </c>
      <c r="AG41" s="10" t="s">
        <v>38</v>
      </c>
      <c r="AH41" s="10" t="s">
        <v>92</v>
      </c>
    </row>
    <row r="42" spans="1:34" x14ac:dyDescent="0.3">
      <c r="A42" s="74" t="s">
        <v>1834</v>
      </c>
      <c r="B42" s="10" t="s">
        <v>1839</v>
      </c>
      <c r="C42" s="10" t="s">
        <v>1840</v>
      </c>
      <c r="D42" s="11">
        <v>45330</v>
      </c>
      <c r="E42" s="12">
        <v>275000</v>
      </c>
      <c r="F42" s="10" t="s">
        <v>32</v>
      </c>
      <c r="G42" s="10" t="s">
        <v>33</v>
      </c>
      <c r="H42" s="12">
        <v>275000</v>
      </c>
      <c r="I42" s="12">
        <v>126800</v>
      </c>
      <c r="J42" s="13">
        <f t="shared" si="7"/>
        <v>46.109090909090909</v>
      </c>
      <c r="K42" s="12">
        <v>333151</v>
      </c>
      <c r="L42" s="12">
        <f>H42-323476</f>
        <v>-48476</v>
      </c>
      <c r="M42" s="12">
        <v>9675</v>
      </c>
      <c r="N42" s="66">
        <f t="shared" si="8"/>
        <v>3.5181818181818182E-2</v>
      </c>
      <c r="O42" s="14">
        <v>60.46</v>
      </c>
      <c r="P42" s="15">
        <v>121.88</v>
      </c>
      <c r="Q42" s="16">
        <v>0.16800000000000001</v>
      </c>
      <c r="R42" s="16">
        <v>0.16800000000000001</v>
      </c>
      <c r="S42" s="12">
        <f t="shared" si="9"/>
        <v>-801.78630499503799</v>
      </c>
      <c r="T42" s="12">
        <f t="shared" si="10"/>
        <v>-288547.61904761905</v>
      </c>
      <c r="U42" s="17">
        <f t="shared" si="11"/>
        <v>-6.6241418514145787</v>
      </c>
      <c r="V42" s="16">
        <v>60</v>
      </c>
      <c r="W42" s="16">
        <f t="shared" si="12"/>
        <v>55000</v>
      </c>
      <c r="X42" s="16">
        <f t="shared" si="13"/>
        <v>916.66666666666663</v>
      </c>
      <c r="Y42" s="18" t="s">
        <v>1833</v>
      </c>
      <c r="Z42" s="10" t="s">
        <v>35</v>
      </c>
      <c r="AA42" s="10" t="s">
        <v>35</v>
      </c>
      <c r="AB42" s="10" t="s">
        <v>1834</v>
      </c>
      <c r="AC42" s="10">
        <v>0</v>
      </c>
      <c r="AD42" s="10">
        <v>1</v>
      </c>
      <c r="AE42" s="10" t="s">
        <v>42</v>
      </c>
      <c r="AF42" s="10" t="s">
        <v>43</v>
      </c>
      <c r="AG42" s="10" t="s">
        <v>38</v>
      </c>
      <c r="AH42" s="10" t="s">
        <v>92</v>
      </c>
    </row>
    <row r="43" spans="1:34" x14ac:dyDescent="0.3">
      <c r="A43" s="75" t="s">
        <v>1834</v>
      </c>
      <c r="B43" s="19" t="s">
        <v>1909</v>
      </c>
      <c r="C43" s="19" t="s">
        <v>1910</v>
      </c>
      <c r="D43" s="20">
        <v>45380</v>
      </c>
      <c r="E43" s="21">
        <v>215000</v>
      </c>
      <c r="F43" s="19" t="s">
        <v>32</v>
      </c>
      <c r="G43" s="19" t="s">
        <v>33</v>
      </c>
      <c r="H43" s="21">
        <v>215000</v>
      </c>
      <c r="I43" s="21">
        <v>106200</v>
      </c>
      <c r="J43" s="22">
        <f t="shared" si="7"/>
        <v>49.395348837209305</v>
      </c>
      <c r="K43" s="21">
        <v>274813</v>
      </c>
      <c r="L43" s="21">
        <f>H43-264199</f>
        <v>-49199</v>
      </c>
      <c r="M43" s="21">
        <v>10614</v>
      </c>
      <c r="N43" s="67">
        <f t="shared" si="8"/>
        <v>4.9367441860465114E-2</v>
      </c>
      <c r="O43" s="23">
        <v>66.33</v>
      </c>
      <c r="P43" s="24">
        <v>146.69</v>
      </c>
      <c r="Q43" s="25">
        <v>0.20200000000000001</v>
      </c>
      <c r="R43" s="25">
        <v>0.20200000000000001</v>
      </c>
      <c r="S43" s="21">
        <f t="shared" si="9"/>
        <v>-741.730740238203</v>
      </c>
      <c r="T43" s="21">
        <f t="shared" si="10"/>
        <v>-243559.40594059404</v>
      </c>
      <c r="U43" s="26">
        <f t="shared" si="11"/>
        <v>-5.5913545900044541</v>
      </c>
      <c r="V43" s="25">
        <v>60</v>
      </c>
      <c r="W43" s="25">
        <f t="shared" si="12"/>
        <v>43000</v>
      </c>
      <c r="X43" s="25">
        <f t="shared" si="13"/>
        <v>716.66666666666663</v>
      </c>
      <c r="Y43" s="27" t="s">
        <v>1833</v>
      </c>
      <c r="Z43" s="19" t="s">
        <v>35</v>
      </c>
      <c r="AA43" s="19" t="s">
        <v>35</v>
      </c>
      <c r="AB43" s="19" t="s">
        <v>1834</v>
      </c>
      <c r="AC43" s="19">
        <v>0</v>
      </c>
      <c r="AD43" s="19">
        <v>1</v>
      </c>
      <c r="AE43" s="19" t="s">
        <v>37</v>
      </c>
      <c r="AF43" s="19" t="s">
        <v>43</v>
      </c>
      <c r="AG43" s="19" t="s">
        <v>38</v>
      </c>
      <c r="AH43" s="19" t="s">
        <v>92</v>
      </c>
    </row>
    <row r="44" spans="1:34" x14ac:dyDescent="0.3">
      <c r="A44" s="75" t="s">
        <v>1834</v>
      </c>
      <c r="B44" s="19" t="s">
        <v>1893</v>
      </c>
      <c r="C44" s="19" t="s">
        <v>1894</v>
      </c>
      <c r="D44" s="20">
        <v>45548</v>
      </c>
      <c r="E44" s="21">
        <v>270000</v>
      </c>
      <c r="F44" s="19" t="s">
        <v>32</v>
      </c>
      <c r="G44" s="19" t="s">
        <v>33</v>
      </c>
      <c r="H44" s="21">
        <v>270000</v>
      </c>
      <c r="I44" s="21">
        <v>133900</v>
      </c>
      <c r="J44" s="22">
        <f t="shared" si="7"/>
        <v>49.592592592592595</v>
      </c>
      <c r="K44" s="21">
        <v>316782</v>
      </c>
      <c r="L44" s="21">
        <f>H44-307182</f>
        <v>-37182</v>
      </c>
      <c r="M44" s="21">
        <v>9600</v>
      </c>
      <c r="N44" s="67">
        <f t="shared" si="8"/>
        <v>3.5555555555555556E-2</v>
      </c>
      <c r="O44" s="23">
        <v>60</v>
      </c>
      <c r="P44" s="24">
        <v>120</v>
      </c>
      <c r="Q44" s="25">
        <v>0.16500000000000001</v>
      </c>
      <c r="R44" s="25">
        <v>0.16500000000000001</v>
      </c>
      <c r="S44" s="21">
        <f t="shared" si="9"/>
        <v>-619.70000000000005</v>
      </c>
      <c r="T44" s="21">
        <f t="shared" si="10"/>
        <v>-225345.45454545453</v>
      </c>
      <c r="U44" s="26">
        <f t="shared" si="11"/>
        <v>-5.1732198013189743</v>
      </c>
      <c r="V44" s="25">
        <v>60</v>
      </c>
      <c r="W44" s="25">
        <f t="shared" si="12"/>
        <v>54000</v>
      </c>
      <c r="X44" s="25">
        <f t="shared" si="13"/>
        <v>900</v>
      </c>
      <c r="Y44" s="27" t="s">
        <v>1833</v>
      </c>
      <c r="Z44" s="19" t="s">
        <v>35</v>
      </c>
      <c r="AA44" s="19" t="s">
        <v>35</v>
      </c>
      <c r="AB44" s="19" t="s">
        <v>1834</v>
      </c>
      <c r="AC44" s="19">
        <v>0</v>
      </c>
      <c r="AD44" s="19">
        <v>1</v>
      </c>
      <c r="AE44" s="19" t="s">
        <v>42</v>
      </c>
      <c r="AF44" s="19" t="s">
        <v>43</v>
      </c>
      <c r="AG44" s="19" t="s">
        <v>38</v>
      </c>
      <c r="AH44" s="19" t="s">
        <v>92</v>
      </c>
    </row>
    <row r="45" spans="1:34" x14ac:dyDescent="0.3">
      <c r="A45" s="75" t="s">
        <v>1834</v>
      </c>
      <c r="B45" s="19" t="s">
        <v>1849</v>
      </c>
      <c r="C45" s="19" t="s">
        <v>1850</v>
      </c>
      <c r="D45" s="20">
        <v>45106</v>
      </c>
      <c r="E45" s="21">
        <v>220000</v>
      </c>
      <c r="F45" s="19" t="s">
        <v>32</v>
      </c>
      <c r="G45" s="19" t="s">
        <v>33</v>
      </c>
      <c r="H45" s="21">
        <v>220000</v>
      </c>
      <c r="I45" s="21">
        <v>102600</v>
      </c>
      <c r="J45" s="22">
        <f t="shared" si="7"/>
        <v>46.63636363636364</v>
      </c>
      <c r="K45" s="21">
        <v>263033</v>
      </c>
      <c r="L45" s="21">
        <f>H45-251892</f>
        <v>-31892</v>
      </c>
      <c r="M45" s="21">
        <v>11141</v>
      </c>
      <c r="N45" s="67">
        <f t="shared" si="8"/>
        <v>5.0640909090909091E-2</v>
      </c>
      <c r="O45" s="23">
        <v>69.63</v>
      </c>
      <c r="P45" s="24">
        <v>100</v>
      </c>
      <c r="Q45" s="25">
        <v>0.17499999999999999</v>
      </c>
      <c r="R45" s="25">
        <v>0.17499999999999999</v>
      </c>
      <c r="S45" s="21">
        <f t="shared" si="9"/>
        <v>-458.02096797357461</v>
      </c>
      <c r="T45" s="21">
        <f t="shared" si="10"/>
        <v>-182240</v>
      </c>
      <c r="U45" s="26">
        <f t="shared" si="11"/>
        <v>-4.1836547291092749</v>
      </c>
      <c r="V45" s="25">
        <v>76.28</v>
      </c>
      <c r="W45" s="25">
        <f t="shared" si="12"/>
        <v>44000</v>
      </c>
      <c r="X45" s="25">
        <f t="shared" si="13"/>
        <v>576.82223387519662</v>
      </c>
      <c r="Y45" s="27" t="s">
        <v>1833</v>
      </c>
      <c r="Z45" s="19" t="s">
        <v>35</v>
      </c>
      <c r="AA45" s="19" t="s">
        <v>35</v>
      </c>
      <c r="AB45" s="19" t="s">
        <v>1834</v>
      </c>
      <c r="AC45" s="19">
        <v>0</v>
      </c>
      <c r="AD45" s="19">
        <v>1</v>
      </c>
      <c r="AE45" s="19" t="s">
        <v>37</v>
      </c>
      <c r="AF45" s="19" t="s">
        <v>43</v>
      </c>
      <c r="AG45" s="19" t="s">
        <v>38</v>
      </c>
      <c r="AH45" s="19" t="s">
        <v>92</v>
      </c>
    </row>
    <row r="46" spans="1:34" x14ac:dyDescent="0.3">
      <c r="A46" s="75" t="s">
        <v>1834</v>
      </c>
      <c r="B46" s="19" t="s">
        <v>1857</v>
      </c>
      <c r="C46" s="19" t="s">
        <v>1858</v>
      </c>
      <c r="D46" s="20">
        <v>45667</v>
      </c>
      <c r="E46" s="21">
        <v>311000</v>
      </c>
      <c r="F46" s="19" t="s">
        <v>32</v>
      </c>
      <c r="G46" s="19" t="s">
        <v>33</v>
      </c>
      <c r="H46" s="21">
        <v>311000</v>
      </c>
      <c r="I46" s="21">
        <v>145900</v>
      </c>
      <c r="J46" s="22">
        <f t="shared" si="7"/>
        <v>46.913183279742768</v>
      </c>
      <c r="K46" s="21">
        <v>343715</v>
      </c>
      <c r="L46" s="21">
        <f>H46-333143</f>
        <v>-22143</v>
      </c>
      <c r="M46" s="21">
        <v>10572</v>
      </c>
      <c r="N46" s="67">
        <f t="shared" si="8"/>
        <v>3.3993569131832796E-2</v>
      </c>
      <c r="O46" s="23">
        <v>66.069999999999993</v>
      </c>
      <c r="P46" s="24">
        <v>121.57</v>
      </c>
      <c r="Q46" s="25">
        <v>0.19600000000000001</v>
      </c>
      <c r="R46" s="25">
        <v>0.19600000000000001</v>
      </c>
      <c r="S46" s="21">
        <f t="shared" si="9"/>
        <v>-335.14454366580901</v>
      </c>
      <c r="T46" s="21">
        <f t="shared" si="10"/>
        <v>-112974.48979591836</v>
      </c>
      <c r="U46" s="26">
        <f t="shared" si="11"/>
        <v>-2.593537414965986</v>
      </c>
      <c r="V46" s="25">
        <v>56.65</v>
      </c>
      <c r="W46" s="25">
        <f t="shared" si="12"/>
        <v>62200</v>
      </c>
      <c r="X46" s="25">
        <f t="shared" si="13"/>
        <v>1097.9699911738746</v>
      </c>
      <c r="Y46" s="27" t="s">
        <v>1833</v>
      </c>
      <c r="Z46" s="19" t="s">
        <v>35</v>
      </c>
      <c r="AA46" s="19" t="s">
        <v>35</v>
      </c>
      <c r="AB46" s="19" t="s">
        <v>1834</v>
      </c>
      <c r="AC46" s="19">
        <v>0</v>
      </c>
      <c r="AD46" s="19">
        <v>1</v>
      </c>
      <c r="AE46" s="19" t="s">
        <v>42</v>
      </c>
      <c r="AF46" s="19" t="s">
        <v>35</v>
      </c>
      <c r="AG46" s="19" t="s">
        <v>38</v>
      </c>
      <c r="AH46" s="19" t="s">
        <v>92</v>
      </c>
    </row>
    <row r="47" spans="1:34" x14ac:dyDescent="0.3">
      <c r="A47" s="74" t="s">
        <v>1834</v>
      </c>
      <c r="B47" s="10" t="s">
        <v>1861</v>
      </c>
      <c r="C47" s="10" t="s">
        <v>1862</v>
      </c>
      <c r="D47" s="11">
        <v>45467</v>
      </c>
      <c r="E47" s="12">
        <v>270000</v>
      </c>
      <c r="F47" s="10" t="s">
        <v>32</v>
      </c>
      <c r="G47" s="10" t="s">
        <v>33</v>
      </c>
      <c r="H47" s="12">
        <v>270000</v>
      </c>
      <c r="I47" s="12">
        <v>128500</v>
      </c>
      <c r="J47" s="13">
        <f t="shared" si="7"/>
        <v>47.592592592592595</v>
      </c>
      <c r="K47" s="12">
        <v>299104</v>
      </c>
      <c r="L47" s="12">
        <f>H47-288043</f>
        <v>-18043</v>
      </c>
      <c r="M47" s="12">
        <v>11061</v>
      </c>
      <c r="N47" s="66">
        <f t="shared" si="8"/>
        <v>4.0966666666666665E-2</v>
      </c>
      <c r="O47" s="14">
        <v>69.13</v>
      </c>
      <c r="P47" s="15">
        <v>120</v>
      </c>
      <c r="Q47" s="16">
        <v>0.18099999999999999</v>
      </c>
      <c r="R47" s="16">
        <v>0.18099999999999999</v>
      </c>
      <c r="S47" s="12">
        <f t="shared" si="9"/>
        <v>-261.00101258498484</v>
      </c>
      <c r="T47" s="12">
        <f t="shared" si="10"/>
        <v>-99685.082872928178</v>
      </c>
      <c r="U47" s="17">
        <f t="shared" si="11"/>
        <v>-2.2884546114079014</v>
      </c>
      <c r="V47" s="16">
        <v>75.66</v>
      </c>
      <c r="W47" s="16">
        <f t="shared" si="12"/>
        <v>54000</v>
      </c>
      <c r="X47" s="16">
        <f t="shared" si="13"/>
        <v>713.71927042030143</v>
      </c>
      <c r="Y47" s="18" t="s">
        <v>1833</v>
      </c>
      <c r="Z47" s="10" t="s">
        <v>35</v>
      </c>
      <c r="AA47" s="10" t="s">
        <v>35</v>
      </c>
      <c r="AB47" s="10" t="s">
        <v>1834</v>
      </c>
      <c r="AC47" s="10">
        <v>0</v>
      </c>
      <c r="AD47" s="10">
        <v>1</v>
      </c>
      <c r="AE47" s="10" t="s">
        <v>42</v>
      </c>
      <c r="AF47" s="10" t="s">
        <v>43</v>
      </c>
      <c r="AG47" s="10" t="s">
        <v>38</v>
      </c>
      <c r="AH47" s="10" t="s">
        <v>92</v>
      </c>
    </row>
    <row r="48" spans="1:34" x14ac:dyDescent="0.3">
      <c r="A48" s="74" t="s">
        <v>1834</v>
      </c>
      <c r="B48" s="10" t="s">
        <v>1859</v>
      </c>
      <c r="C48" s="10" t="s">
        <v>1860</v>
      </c>
      <c r="D48" s="11">
        <v>45709</v>
      </c>
      <c r="E48" s="12">
        <v>285000</v>
      </c>
      <c r="F48" s="10" t="s">
        <v>32</v>
      </c>
      <c r="G48" s="10" t="s">
        <v>33</v>
      </c>
      <c r="H48" s="12">
        <v>285000</v>
      </c>
      <c r="I48" s="12">
        <v>132900</v>
      </c>
      <c r="J48" s="13">
        <f t="shared" si="7"/>
        <v>46.631578947368418</v>
      </c>
      <c r="K48" s="12">
        <v>309640</v>
      </c>
      <c r="L48" s="12">
        <f>H48-298173</f>
        <v>-13173</v>
      </c>
      <c r="M48" s="12">
        <v>11467</v>
      </c>
      <c r="N48" s="66">
        <f t="shared" si="8"/>
        <v>4.0235087719298249E-2</v>
      </c>
      <c r="O48" s="14">
        <v>71.66</v>
      </c>
      <c r="P48" s="15">
        <v>111.91</v>
      </c>
      <c r="Q48" s="16">
        <v>0.17799999999999999</v>
      </c>
      <c r="R48" s="16">
        <v>0.17799999999999999</v>
      </c>
      <c r="S48" s="12">
        <f t="shared" si="9"/>
        <v>-183.82640245604244</v>
      </c>
      <c r="T48" s="12">
        <f t="shared" si="10"/>
        <v>-74005.617977528091</v>
      </c>
      <c r="U48" s="17">
        <f t="shared" si="11"/>
        <v>-1.6989352152784227</v>
      </c>
      <c r="V48" s="16">
        <v>84.27</v>
      </c>
      <c r="W48" s="16">
        <f t="shared" si="12"/>
        <v>57000</v>
      </c>
      <c r="X48" s="16">
        <f t="shared" si="13"/>
        <v>676.39729441082238</v>
      </c>
      <c r="Y48" s="18" t="s">
        <v>1833</v>
      </c>
      <c r="Z48" s="10" t="s">
        <v>35</v>
      </c>
      <c r="AA48" s="10" t="s">
        <v>35</v>
      </c>
      <c r="AB48" s="10" t="s">
        <v>1834</v>
      </c>
      <c r="AC48" s="10">
        <v>0</v>
      </c>
      <c r="AD48" s="10">
        <v>1</v>
      </c>
      <c r="AE48" s="10" t="s">
        <v>37</v>
      </c>
      <c r="AF48" s="10" t="s">
        <v>35</v>
      </c>
      <c r="AG48" s="10" t="s">
        <v>38</v>
      </c>
      <c r="AH48" s="10" t="s">
        <v>92</v>
      </c>
    </row>
    <row r="49" spans="1:34" x14ac:dyDescent="0.3">
      <c r="A49" s="75" t="s">
        <v>1834</v>
      </c>
      <c r="B49" s="19" t="s">
        <v>1911</v>
      </c>
      <c r="C49" s="19" t="s">
        <v>1912</v>
      </c>
      <c r="D49" s="20">
        <v>45202</v>
      </c>
      <c r="E49" s="21">
        <v>290000</v>
      </c>
      <c r="F49" s="19" t="s">
        <v>32</v>
      </c>
      <c r="G49" s="19" t="s">
        <v>33</v>
      </c>
      <c r="H49" s="21">
        <v>290000</v>
      </c>
      <c r="I49" s="21">
        <v>118300</v>
      </c>
      <c r="J49" s="22">
        <f t="shared" si="7"/>
        <v>40.793103448275865</v>
      </c>
      <c r="K49" s="21">
        <v>310358</v>
      </c>
      <c r="L49" s="21">
        <f>H49-299741</f>
        <v>-9741</v>
      </c>
      <c r="M49" s="21">
        <v>10617</v>
      </c>
      <c r="N49" s="67">
        <f t="shared" si="8"/>
        <v>3.6610344827586204E-2</v>
      </c>
      <c r="O49" s="23">
        <v>66.349999999999994</v>
      </c>
      <c r="P49" s="24">
        <v>146.78</v>
      </c>
      <c r="Q49" s="25">
        <v>0.20200000000000001</v>
      </c>
      <c r="R49" s="25">
        <v>0.20200000000000001</v>
      </c>
      <c r="S49" s="21">
        <f t="shared" si="9"/>
        <v>-146.81235870384327</v>
      </c>
      <c r="T49" s="21">
        <f t="shared" si="10"/>
        <v>-48222.772277227719</v>
      </c>
      <c r="U49" s="26">
        <f t="shared" si="11"/>
        <v>-1.1070425224340614</v>
      </c>
      <c r="V49" s="25">
        <v>60</v>
      </c>
      <c r="W49" s="25">
        <f t="shared" si="12"/>
        <v>58000</v>
      </c>
      <c r="X49" s="25">
        <f t="shared" si="13"/>
        <v>966.66666666666663</v>
      </c>
      <c r="Y49" s="27" t="s">
        <v>1833</v>
      </c>
      <c r="Z49" s="19" t="s">
        <v>35</v>
      </c>
      <c r="AA49" s="19" t="s">
        <v>35</v>
      </c>
      <c r="AB49" s="19" t="s">
        <v>1834</v>
      </c>
      <c r="AC49" s="19">
        <v>0</v>
      </c>
      <c r="AD49" s="19">
        <v>1</v>
      </c>
      <c r="AE49" s="19" t="s">
        <v>42</v>
      </c>
      <c r="AF49" s="19" t="s">
        <v>43</v>
      </c>
      <c r="AG49" s="19" t="s">
        <v>38</v>
      </c>
      <c r="AH49" s="19" t="s">
        <v>92</v>
      </c>
    </row>
    <row r="50" spans="1:34" x14ac:dyDescent="0.3">
      <c r="A50" s="74" t="s">
        <v>1834</v>
      </c>
      <c r="B50" s="10" t="s">
        <v>1847</v>
      </c>
      <c r="C50" s="10" t="s">
        <v>1848</v>
      </c>
      <c r="D50" s="11">
        <v>45344</v>
      </c>
      <c r="E50" s="12">
        <v>224900</v>
      </c>
      <c r="F50" s="10" t="s">
        <v>32</v>
      </c>
      <c r="G50" s="10" t="s">
        <v>33</v>
      </c>
      <c r="H50" s="12">
        <v>224900</v>
      </c>
      <c r="I50" s="12">
        <v>94200</v>
      </c>
      <c r="J50" s="13">
        <f t="shared" si="7"/>
        <v>41.885282347710096</v>
      </c>
      <c r="K50" s="12">
        <v>242215</v>
      </c>
      <c r="L50" s="12">
        <f>H50-232615</f>
        <v>-7715</v>
      </c>
      <c r="M50" s="12">
        <v>9600</v>
      </c>
      <c r="N50" s="66">
        <f t="shared" si="8"/>
        <v>4.2685638061360602E-2</v>
      </c>
      <c r="O50" s="14">
        <v>60</v>
      </c>
      <c r="P50" s="15">
        <v>120</v>
      </c>
      <c r="Q50" s="16">
        <v>0.16500000000000001</v>
      </c>
      <c r="R50" s="16">
        <v>0.16500000000000001</v>
      </c>
      <c r="S50" s="12">
        <f t="shared" si="9"/>
        <v>-128.58333333333334</v>
      </c>
      <c r="T50" s="12">
        <f t="shared" si="10"/>
        <v>-46757.575757575753</v>
      </c>
      <c r="U50" s="17">
        <f t="shared" si="11"/>
        <v>-1.0734062386954948</v>
      </c>
      <c r="V50" s="16">
        <v>60</v>
      </c>
      <c r="W50" s="16">
        <f t="shared" si="12"/>
        <v>44980</v>
      </c>
      <c r="X50" s="16">
        <f t="shared" si="13"/>
        <v>749.66666666666663</v>
      </c>
      <c r="Y50" s="18" t="s">
        <v>1833</v>
      </c>
      <c r="Z50" s="10" t="s">
        <v>35</v>
      </c>
      <c r="AA50" s="10" t="s">
        <v>35</v>
      </c>
      <c r="AB50" s="10" t="s">
        <v>1834</v>
      </c>
      <c r="AC50" s="10">
        <v>0</v>
      </c>
      <c r="AD50" s="10">
        <v>1</v>
      </c>
      <c r="AE50" s="10" t="s">
        <v>37</v>
      </c>
      <c r="AF50" s="10" t="s">
        <v>43</v>
      </c>
      <c r="AG50" s="10" t="s">
        <v>38</v>
      </c>
      <c r="AH50" s="10" t="s">
        <v>92</v>
      </c>
    </row>
    <row r="51" spans="1:34" x14ac:dyDescent="0.3">
      <c r="A51" s="75" t="s">
        <v>1834</v>
      </c>
      <c r="B51" s="19" t="s">
        <v>1895</v>
      </c>
      <c r="C51" s="19" t="s">
        <v>1896</v>
      </c>
      <c r="D51" s="20">
        <v>45385</v>
      </c>
      <c r="E51" s="21">
        <v>260000</v>
      </c>
      <c r="F51" s="19" t="s">
        <v>32</v>
      </c>
      <c r="G51" s="19" t="s">
        <v>33</v>
      </c>
      <c r="H51" s="21">
        <v>260000</v>
      </c>
      <c r="I51" s="21">
        <v>119000</v>
      </c>
      <c r="J51" s="22">
        <f t="shared" si="7"/>
        <v>45.769230769230766</v>
      </c>
      <c r="K51" s="21">
        <v>275976</v>
      </c>
      <c r="L51" s="21">
        <f>H51-266376</f>
        <v>-6376</v>
      </c>
      <c r="M51" s="21">
        <v>9600</v>
      </c>
      <c r="N51" s="67">
        <f t="shared" si="8"/>
        <v>3.6923076923076927E-2</v>
      </c>
      <c r="O51" s="23">
        <v>60</v>
      </c>
      <c r="P51" s="24">
        <v>120</v>
      </c>
      <c r="Q51" s="25">
        <v>0.16500000000000001</v>
      </c>
      <c r="R51" s="25">
        <v>0.16500000000000001</v>
      </c>
      <c r="S51" s="21">
        <f t="shared" si="9"/>
        <v>-106.26666666666667</v>
      </c>
      <c r="T51" s="21">
        <f t="shared" si="10"/>
        <v>-38642.42424242424</v>
      </c>
      <c r="U51" s="26">
        <f t="shared" si="11"/>
        <v>-0.88710799454601097</v>
      </c>
      <c r="V51" s="25">
        <v>60</v>
      </c>
      <c r="W51" s="25">
        <f t="shared" si="12"/>
        <v>52000</v>
      </c>
      <c r="X51" s="25">
        <f t="shared" si="13"/>
        <v>866.66666666666663</v>
      </c>
      <c r="Y51" s="27" t="s">
        <v>1833</v>
      </c>
      <c r="Z51" s="19" t="s">
        <v>35</v>
      </c>
      <c r="AA51" s="19" t="s">
        <v>35</v>
      </c>
      <c r="AB51" s="19" t="s">
        <v>1834</v>
      </c>
      <c r="AC51" s="19">
        <v>0</v>
      </c>
      <c r="AD51" s="19">
        <v>1</v>
      </c>
      <c r="AE51" s="19" t="s">
        <v>42</v>
      </c>
      <c r="AF51" s="19" t="s">
        <v>43</v>
      </c>
      <c r="AG51" s="19" t="s">
        <v>38</v>
      </c>
      <c r="AH51" s="19" t="s">
        <v>92</v>
      </c>
    </row>
  </sheetData>
  <sortState xmlns:xlrd2="http://schemas.microsoft.com/office/spreadsheetml/2017/richdata2" ref="A2:AH27">
    <sortCondition ref="S2:S27"/>
  </sortState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00B050"/>
  </sheetPr>
  <dimension ref="A1:AH24"/>
  <sheetViews>
    <sheetView workbookViewId="0">
      <selection activeCell="E12" sqref="E12:L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664062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2168</v>
      </c>
      <c r="B2" s="10" t="s">
        <v>2176</v>
      </c>
      <c r="C2" s="10" t="s">
        <v>2177</v>
      </c>
      <c r="D2" s="11">
        <v>45071</v>
      </c>
      <c r="E2" s="12">
        <v>101000</v>
      </c>
      <c r="F2" s="10" t="s">
        <v>32</v>
      </c>
      <c r="G2" s="10" t="s">
        <v>33</v>
      </c>
      <c r="H2" s="12">
        <v>101000</v>
      </c>
      <c r="I2" s="12">
        <v>42200</v>
      </c>
      <c r="J2" s="13">
        <f t="shared" ref="J2:J8" si="0">I2/H2*100</f>
        <v>41.78217821782178</v>
      </c>
      <c r="K2" s="12">
        <v>110589</v>
      </c>
      <c r="L2" s="12">
        <f>H2-105060</f>
        <v>-4060</v>
      </c>
      <c r="M2" s="12">
        <v>5529</v>
      </c>
      <c r="N2" s="66">
        <f>M2/E2</f>
        <v>5.4742574257425743E-2</v>
      </c>
      <c r="O2" s="14">
        <v>41.56</v>
      </c>
      <c r="P2" s="15">
        <v>135</v>
      </c>
      <c r="Q2" s="16">
        <v>0.124</v>
      </c>
      <c r="R2" s="16">
        <v>0.124</v>
      </c>
      <c r="S2" s="12">
        <f t="shared" ref="S2:S8" si="1">L2/O2</f>
        <v>-97.690086621751675</v>
      </c>
      <c r="T2" s="12">
        <f t="shared" ref="T2:T8" si="2">L2/Q2</f>
        <v>-32741.93548387097</v>
      </c>
      <c r="U2" s="17">
        <f t="shared" ref="U2:U8" si="3">L2/Q2/43560</f>
        <v>-0.75165141147545844</v>
      </c>
      <c r="V2" s="16">
        <v>40</v>
      </c>
      <c r="W2" s="16">
        <f t="shared" ref="W2:W8" si="4">0.2*E2</f>
        <v>20200</v>
      </c>
      <c r="X2" s="16">
        <f t="shared" ref="X2:X8" si="5">W2/V2</f>
        <v>505</v>
      </c>
      <c r="Y2" s="18" t="s">
        <v>1562</v>
      </c>
      <c r="Z2" s="10" t="s">
        <v>35</v>
      </c>
      <c r="AA2" s="10" t="s">
        <v>35</v>
      </c>
      <c r="AB2" s="10" t="s">
        <v>2168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2168</v>
      </c>
      <c r="B3" s="19" t="s">
        <v>2185</v>
      </c>
      <c r="C3" s="19" t="s">
        <v>2186</v>
      </c>
      <c r="D3" s="20">
        <v>45089</v>
      </c>
      <c r="E3" s="21">
        <v>221500</v>
      </c>
      <c r="F3" s="19" t="s">
        <v>32</v>
      </c>
      <c r="G3" s="19" t="s">
        <v>33</v>
      </c>
      <c r="H3" s="21">
        <v>221500</v>
      </c>
      <c r="I3" s="21">
        <v>89600</v>
      </c>
      <c r="J3" s="22">
        <f t="shared" si="0"/>
        <v>40.451467268623027</v>
      </c>
      <c r="K3" s="21">
        <v>225497</v>
      </c>
      <c r="L3" s="21">
        <f>H3-211675</f>
        <v>9825</v>
      </c>
      <c r="M3" s="21">
        <v>13822</v>
      </c>
      <c r="N3" s="67">
        <f>M3/E3</f>
        <v>6.2401805869074491E-2</v>
      </c>
      <c r="O3" s="23">
        <v>103.92</v>
      </c>
      <c r="P3" s="24">
        <v>135</v>
      </c>
      <c r="Q3" s="25">
        <v>0.31</v>
      </c>
      <c r="R3" s="25">
        <v>0.31</v>
      </c>
      <c r="S3" s="21">
        <f t="shared" si="1"/>
        <v>94.543879907621246</v>
      </c>
      <c r="T3" s="21">
        <f t="shared" si="2"/>
        <v>31693.548387096773</v>
      </c>
      <c r="U3" s="26">
        <f t="shared" si="3"/>
        <v>0.72758375544299292</v>
      </c>
      <c r="V3" s="25">
        <v>100</v>
      </c>
      <c r="W3" s="25">
        <f t="shared" si="4"/>
        <v>44300</v>
      </c>
      <c r="X3" s="25">
        <f t="shared" si="5"/>
        <v>443</v>
      </c>
      <c r="Y3" s="27" t="s">
        <v>1562</v>
      </c>
      <c r="Z3" s="19" t="s">
        <v>35</v>
      </c>
      <c r="AA3" s="19" t="s">
        <v>35</v>
      </c>
      <c r="AB3" s="19" t="s">
        <v>2168</v>
      </c>
      <c r="AC3" s="19">
        <v>0</v>
      </c>
      <c r="AD3" s="19">
        <v>1</v>
      </c>
      <c r="AE3" s="19" t="s">
        <v>2187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2168</v>
      </c>
      <c r="B4" s="19" t="s">
        <v>2169</v>
      </c>
      <c r="C4" s="19" t="s">
        <v>2170</v>
      </c>
      <c r="D4" s="20">
        <v>45159</v>
      </c>
      <c r="E4" s="21">
        <v>108000</v>
      </c>
      <c r="F4" s="19" t="s">
        <v>32</v>
      </c>
      <c r="G4" s="19" t="s">
        <v>33</v>
      </c>
      <c r="H4" s="21">
        <v>108000</v>
      </c>
      <c r="I4" s="21">
        <v>40600</v>
      </c>
      <c r="J4" s="22">
        <f t="shared" si="0"/>
        <v>37.592592592592595</v>
      </c>
      <c r="K4" s="21">
        <v>108128</v>
      </c>
      <c r="L4" s="21">
        <f>H4-102558</f>
        <v>5442</v>
      </c>
      <c r="M4" s="21">
        <v>5570</v>
      </c>
      <c r="N4" s="67">
        <f>M4/E4</f>
        <v>5.1574074074074071E-2</v>
      </c>
      <c r="O4" s="23">
        <v>41.87</v>
      </c>
      <c r="P4" s="24">
        <v>137</v>
      </c>
      <c r="Q4" s="25">
        <v>0.126</v>
      </c>
      <c r="R4" s="25">
        <v>0.126</v>
      </c>
      <c r="S4" s="21">
        <f t="shared" si="1"/>
        <v>129.973728206353</v>
      </c>
      <c r="T4" s="21">
        <f t="shared" si="2"/>
        <v>43190.476190476191</v>
      </c>
      <c r="U4" s="26">
        <f t="shared" si="3"/>
        <v>0.99151690060780973</v>
      </c>
      <c r="V4" s="25">
        <v>40</v>
      </c>
      <c r="W4" s="25">
        <f t="shared" si="4"/>
        <v>21600</v>
      </c>
      <c r="X4" s="25">
        <f t="shared" si="5"/>
        <v>540</v>
      </c>
      <c r="Y4" s="27" t="s">
        <v>1562</v>
      </c>
      <c r="Z4" s="19" t="s">
        <v>35</v>
      </c>
      <c r="AA4" s="19" t="s">
        <v>35</v>
      </c>
      <c r="AB4" s="19" t="s">
        <v>2168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2168</v>
      </c>
      <c r="B5" s="19" t="s">
        <v>2180</v>
      </c>
      <c r="C5" s="19" t="s">
        <v>2181</v>
      </c>
      <c r="D5" s="20">
        <v>45072</v>
      </c>
      <c r="E5" s="21">
        <v>94000</v>
      </c>
      <c r="F5" s="19" t="s">
        <v>32</v>
      </c>
      <c r="G5" s="19" t="s">
        <v>66</v>
      </c>
      <c r="H5" s="21">
        <v>94000</v>
      </c>
      <c r="I5" s="21">
        <v>35600</v>
      </c>
      <c r="J5" s="22">
        <f t="shared" si="0"/>
        <v>37.872340425531917</v>
      </c>
      <c r="K5" s="21">
        <v>93721</v>
      </c>
      <c r="L5" s="21">
        <f>H5-82663</f>
        <v>11337</v>
      </c>
      <c r="M5" s="21">
        <v>11058</v>
      </c>
      <c r="N5" s="67">
        <f>M5/E5</f>
        <v>0.11763829787234042</v>
      </c>
      <c r="O5" s="23">
        <v>83.13</v>
      </c>
      <c r="P5" s="24">
        <v>270</v>
      </c>
      <c r="Q5" s="25">
        <v>0.248</v>
      </c>
      <c r="R5" s="25">
        <v>0.124</v>
      </c>
      <c r="S5" s="21">
        <f t="shared" si="1"/>
        <v>136.37675929267414</v>
      </c>
      <c r="T5" s="21">
        <f t="shared" si="2"/>
        <v>45713.709677419356</v>
      </c>
      <c r="U5" s="26">
        <f t="shared" si="3"/>
        <v>1.0494423709233094</v>
      </c>
      <c r="V5" s="25">
        <v>80</v>
      </c>
      <c r="W5" s="25">
        <f t="shared" si="4"/>
        <v>18800</v>
      </c>
      <c r="X5" s="25">
        <f t="shared" si="5"/>
        <v>235</v>
      </c>
      <c r="Y5" s="27" t="s">
        <v>1562</v>
      </c>
      <c r="Z5" s="19" t="s">
        <v>35</v>
      </c>
      <c r="AA5" s="19" t="s">
        <v>2182</v>
      </c>
      <c r="AB5" s="19" t="s">
        <v>2168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2168</v>
      </c>
      <c r="B6" s="19" t="s">
        <v>2188</v>
      </c>
      <c r="C6" s="19" t="s">
        <v>2189</v>
      </c>
      <c r="D6" s="20">
        <v>45506</v>
      </c>
      <c r="E6" s="21">
        <v>13500</v>
      </c>
      <c r="F6" s="19" t="s">
        <v>32</v>
      </c>
      <c r="G6" s="19" t="s">
        <v>33</v>
      </c>
      <c r="H6" s="21">
        <v>13500</v>
      </c>
      <c r="I6" s="21">
        <v>4800</v>
      </c>
      <c r="J6" s="22">
        <f t="shared" si="0"/>
        <v>35.555555555555557</v>
      </c>
      <c r="K6" s="21">
        <v>10643</v>
      </c>
      <c r="L6" s="21">
        <f>H6-0</f>
        <v>13500</v>
      </c>
      <c r="M6" s="21">
        <v>10643</v>
      </c>
      <c r="N6" s="67">
        <v>0</v>
      </c>
      <c r="O6" s="23">
        <v>80.02</v>
      </c>
      <c r="P6" s="24">
        <v>135</v>
      </c>
      <c r="Q6" s="25">
        <v>0.23899999999999999</v>
      </c>
      <c r="R6" s="25">
        <v>0.23899999999999999</v>
      </c>
      <c r="S6" s="21">
        <f t="shared" si="1"/>
        <v>168.70782304423895</v>
      </c>
      <c r="T6" s="21">
        <f t="shared" si="2"/>
        <v>56485.355648535566</v>
      </c>
      <c r="U6" s="26">
        <f t="shared" si="3"/>
        <v>1.2967253362841038</v>
      </c>
      <c r="V6" s="25">
        <v>77</v>
      </c>
      <c r="W6" s="25">
        <f t="shared" si="4"/>
        <v>2700</v>
      </c>
      <c r="X6" s="25">
        <f t="shared" si="5"/>
        <v>35.064935064935064</v>
      </c>
      <c r="Y6" s="27" t="s">
        <v>1562</v>
      </c>
      <c r="Z6" s="19" t="s">
        <v>35</v>
      </c>
      <c r="AA6" s="19" t="s">
        <v>35</v>
      </c>
      <c r="AB6" s="19" t="s">
        <v>2168</v>
      </c>
      <c r="AC6" s="19">
        <v>0</v>
      </c>
      <c r="AD6" s="19">
        <v>0</v>
      </c>
      <c r="AE6" s="19" t="s">
        <v>37</v>
      </c>
      <c r="AF6" s="19" t="s">
        <v>43</v>
      </c>
      <c r="AG6" s="19" t="s">
        <v>61</v>
      </c>
      <c r="AH6" s="19" t="s">
        <v>92</v>
      </c>
    </row>
    <row r="7" spans="1:34" x14ac:dyDescent="0.3">
      <c r="A7" s="74" t="s">
        <v>2168</v>
      </c>
      <c r="B7" s="10" t="s">
        <v>2166</v>
      </c>
      <c r="C7" s="10" t="s">
        <v>2167</v>
      </c>
      <c r="D7" s="11">
        <v>45686</v>
      </c>
      <c r="E7" s="12">
        <v>135000</v>
      </c>
      <c r="F7" s="10" t="s">
        <v>32</v>
      </c>
      <c r="G7" s="10" t="s">
        <v>33</v>
      </c>
      <c r="H7" s="12">
        <v>135000</v>
      </c>
      <c r="I7" s="12">
        <v>56700</v>
      </c>
      <c r="J7" s="13">
        <f t="shared" si="0"/>
        <v>42</v>
      </c>
      <c r="K7" s="12">
        <v>127565</v>
      </c>
      <c r="L7" s="12">
        <f>H7-111478</f>
        <v>23522</v>
      </c>
      <c r="M7" s="12">
        <v>16087</v>
      </c>
      <c r="N7" s="66">
        <f>M7/E7</f>
        <v>0.11916296296296296</v>
      </c>
      <c r="O7" s="14">
        <v>120.95</v>
      </c>
      <c r="P7" s="15">
        <v>127</v>
      </c>
      <c r="Q7" s="16">
        <v>0.35</v>
      </c>
      <c r="R7" s="16">
        <v>0.35</v>
      </c>
      <c r="S7" s="12">
        <f t="shared" si="1"/>
        <v>194.47705663497314</v>
      </c>
      <c r="T7" s="12">
        <f t="shared" si="2"/>
        <v>67205.71428571429</v>
      </c>
      <c r="U7" s="17">
        <f t="shared" si="3"/>
        <v>1.5428309064672703</v>
      </c>
      <c r="V7" s="16">
        <v>120</v>
      </c>
      <c r="W7" s="16">
        <f t="shared" si="4"/>
        <v>27000</v>
      </c>
      <c r="X7" s="16">
        <f t="shared" si="5"/>
        <v>225</v>
      </c>
      <c r="Y7" s="18" t="s">
        <v>1562</v>
      </c>
      <c r="Z7" s="10" t="s">
        <v>35</v>
      </c>
      <c r="AA7" s="10" t="s">
        <v>35</v>
      </c>
      <c r="AB7" s="10" t="s">
        <v>2168</v>
      </c>
      <c r="AC7" s="10">
        <v>0</v>
      </c>
      <c r="AD7" s="10">
        <v>1</v>
      </c>
      <c r="AE7" s="10" t="s">
        <v>42</v>
      </c>
      <c r="AF7" s="10" t="s">
        <v>35</v>
      </c>
      <c r="AG7" s="10" t="s">
        <v>38</v>
      </c>
      <c r="AH7" s="10" t="s">
        <v>92</v>
      </c>
    </row>
    <row r="8" spans="1:34" ht="15" thickBot="1" x14ac:dyDescent="0.35">
      <c r="A8" s="74" t="s">
        <v>2168</v>
      </c>
      <c r="B8" s="10" t="s">
        <v>2174</v>
      </c>
      <c r="C8" s="10" t="s">
        <v>2175</v>
      </c>
      <c r="D8" s="11">
        <v>45366</v>
      </c>
      <c r="E8" s="12">
        <v>130000</v>
      </c>
      <c r="F8" s="10" t="s">
        <v>32</v>
      </c>
      <c r="G8" s="10" t="s">
        <v>33</v>
      </c>
      <c r="H8" s="12">
        <v>130000</v>
      </c>
      <c r="I8" s="12">
        <v>42100</v>
      </c>
      <c r="J8" s="13">
        <f t="shared" si="0"/>
        <v>32.384615384615387</v>
      </c>
      <c r="K8" s="12">
        <v>111428</v>
      </c>
      <c r="L8" s="12">
        <f>H8-106087</f>
        <v>23913</v>
      </c>
      <c r="M8" s="12">
        <v>5341</v>
      </c>
      <c r="N8" s="66">
        <f>M8/E8</f>
        <v>4.1084615384615386E-2</v>
      </c>
      <c r="O8" s="14">
        <v>40.15</v>
      </c>
      <c r="P8" s="15">
        <v>126</v>
      </c>
      <c r="Q8" s="16">
        <v>0.124</v>
      </c>
      <c r="R8" s="16">
        <v>0.11600000000000001</v>
      </c>
      <c r="S8" s="12">
        <f t="shared" si="1"/>
        <v>595.5915317559153</v>
      </c>
      <c r="T8" s="12">
        <f t="shared" si="2"/>
        <v>192846.77419354839</v>
      </c>
      <c r="U8" s="17">
        <f t="shared" si="3"/>
        <v>4.4271527592641959</v>
      </c>
      <c r="V8" s="16">
        <v>40</v>
      </c>
      <c r="W8" s="16">
        <f t="shared" si="4"/>
        <v>26000</v>
      </c>
      <c r="X8" s="16">
        <f t="shared" si="5"/>
        <v>650</v>
      </c>
      <c r="Y8" s="18" t="s">
        <v>1562</v>
      </c>
      <c r="Z8" s="10" t="s">
        <v>35</v>
      </c>
      <c r="AA8" s="10" t="s">
        <v>35</v>
      </c>
      <c r="AB8" s="10" t="s">
        <v>2168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ht="15" thickTop="1" x14ac:dyDescent="0.3">
      <c r="A9" s="76"/>
      <c r="B9" s="37"/>
      <c r="C9" s="37"/>
      <c r="D9" s="38" t="s">
        <v>2876</v>
      </c>
      <c r="E9" s="39">
        <f>+SUM(E2:E8)</f>
        <v>803000</v>
      </c>
      <c r="F9" s="37"/>
      <c r="G9" s="37"/>
      <c r="H9" s="39">
        <f>+SUM(H2:H8)</f>
        <v>803000</v>
      </c>
      <c r="I9" s="39">
        <f>+SUM(I2:I8)</f>
        <v>311600</v>
      </c>
      <c r="J9" s="40"/>
      <c r="K9" s="39">
        <f>+SUM(K2:K8)</f>
        <v>787571</v>
      </c>
      <c r="L9" s="39">
        <f>+SUM(L2:L8)</f>
        <v>83479</v>
      </c>
      <c r="M9" s="39">
        <f>+SUM(M2:M8)</f>
        <v>68050</v>
      </c>
      <c r="N9" s="81">
        <f>AVERAGE(N2:N8)</f>
        <v>6.3800618631499009E-2</v>
      </c>
      <c r="O9" s="41">
        <f>+SUM(O2:O8)</f>
        <v>511.59999999999997</v>
      </c>
      <c r="P9" s="42"/>
      <c r="Q9" s="43">
        <f>+SUM(Q2:Q8)</f>
        <v>1.5210000000000004</v>
      </c>
      <c r="R9" s="43">
        <f>+SUM(R2:R8)</f>
        <v>1.3890000000000002</v>
      </c>
      <c r="S9" s="39"/>
      <c r="T9" s="39"/>
      <c r="U9" s="44"/>
      <c r="V9" s="43"/>
      <c r="W9" s="82">
        <f>AVERAGE(W2:W8)</f>
        <v>22942.857142857141</v>
      </c>
      <c r="X9" s="83">
        <f>AVERAGE(X2:X8)</f>
        <v>376.15213358070503</v>
      </c>
      <c r="Y9" s="45"/>
      <c r="Z9" s="37"/>
      <c r="AA9" s="37"/>
      <c r="AB9" s="37"/>
      <c r="AC9" s="37"/>
      <c r="AD9" s="37"/>
      <c r="AE9" s="37"/>
      <c r="AF9" s="37"/>
      <c r="AG9" s="37"/>
      <c r="AH9" s="37"/>
    </row>
    <row r="10" spans="1:34" x14ac:dyDescent="0.3">
      <c r="A10" s="77"/>
      <c r="B10" s="28"/>
      <c r="C10" s="28"/>
      <c r="D10" s="29"/>
      <c r="E10" s="30"/>
      <c r="F10" s="28"/>
      <c r="G10" s="28"/>
      <c r="H10" s="30"/>
      <c r="I10" s="30" t="s">
        <v>2877</v>
      </c>
      <c r="J10" s="31">
        <f>I9/H9*100</f>
        <v>38.804483188044827</v>
      </c>
      <c r="K10" s="30"/>
      <c r="L10" s="30"/>
      <c r="M10" s="30" t="s">
        <v>2879</v>
      </c>
      <c r="N10" s="79"/>
      <c r="O10" s="32"/>
      <c r="P10" s="33"/>
      <c r="Q10" s="34" t="s">
        <v>2879</v>
      </c>
      <c r="R10" s="34"/>
      <c r="S10" s="30"/>
      <c r="T10" s="30" t="s">
        <v>2879</v>
      </c>
      <c r="U10" s="35"/>
      <c r="V10" s="34"/>
      <c r="W10" s="63"/>
      <c r="X10" s="68"/>
      <c r="Y10" s="36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3">
      <c r="A11" s="78"/>
      <c r="B11" s="46"/>
      <c r="C11" s="46"/>
      <c r="D11" s="47"/>
      <c r="E11" s="48"/>
      <c r="F11" s="46"/>
      <c r="G11" s="46"/>
      <c r="H11" s="48"/>
      <c r="I11" s="48" t="s">
        <v>2878</v>
      </c>
      <c r="J11" s="49">
        <f>STDEV(J2:J8)</f>
        <v>3.5028810000568638</v>
      </c>
      <c r="K11" s="48"/>
      <c r="L11" s="48"/>
      <c r="M11" s="48" t="s">
        <v>2880</v>
      </c>
      <c r="N11" s="80"/>
      <c r="O11" s="54">
        <f>L9/O9</f>
        <v>163.17240031274434</v>
      </c>
      <c r="P11" s="50"/>
      <c r="Q11" s="51" t="s">
        <v>2881</v>
      </c>
      <c r="R11" s="51">
        <f>L9/Q9</f>
        <v>54884.286653517411</v>
      </c>
      <c r="S11" s="48"/>
      <c r="T11" s="48" t="s">
        <v>2882</v>
      </c>
      <c r="U11" s="52">
        <f>L9/Q9/43560</f>
        <v>1.2599698497134393</v>
      </c>
      <c r="V11" s="51"/>
      <c r="W11" s="64"/>
      <c r="X11" s="69"/>
      <c r="Y11" s="53"/>
      <c r="Z11" s="46"/>
      <c r="AA11" s="46"/>
      <c r="AB11" s="46"/>
      <c r="AC11" s="46"/>
      <c r="AD11" s="46"/>
      <c r="AE11" s="46"/>
      <c r="AF11" s="46"/>
      <c r="AG11" s="46"/>
      <c r="AH11" s="46"/>
    </row>
    <row r="12" spans="1:34" x14ac:dyDescent="0.3">
      <c r="E12" s="94" t="s">
        <v>3099</v>
      </c>
      <c r="L12" s="95"/>
    </row>
    <row r="13" spans="1:34" x14ac:dyDescent="0.3">
      <c r="E13" s="383" t="s">
        <v>3163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3164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3165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3166</v>
      </c>
      <c r="F16" s="383"/>
      <c r="G16" s="383"/>
      <c r="H16" s="383"/>
      <c r="I16" s="383"/>
      <c r="J16" s="96"/>
      <c r="K16" s="96"/>
      <c r="L16" s="96"/>
    </row>
    <row r="17" spans="1:34" x14ac:dyDescent="0.3">
      <c r="E17" s="383" t="s">
        <v>3167</v>
      </c>
      <c r="F17" s="383"/>
      <c r="G17" s="383"/>
      <c r="H17" s="383"/>
      <c r="I17" s="383"/>
      <c r="L17" s="95"/>
    </row>
    <row r="18" spans="1:34" x14ac:dyDescent="0.3">
      <c r="E18" s="383" t="s">
        <v>3100</v>
      </c>
      <c r="F18" s="383"/>
      <c r="G18" s="383"/>
      <c r="H18" s="383"/>
      <c r="I18" s="383"/>
      <c r="L18" s="95"/>
    </row>
    <row r="19" spans="1:34" x14ac:dyDescent="0.3">
      <c r="E19" s="96"/>
      <c r="F19" s="96"/>
      <c r="G19" s="96"/>
      <c r="H19" s="96"/>
      <c r="I19" s="96"/>
      <c r="L19" s="95"/>
    </row>
    <row r="20" spans="1:34" x14ac:dyDescent="0.3">
      <c r="A20" s="55" t="s">
        <v>3092</v>
      </c>
      <c r="E20" s="96"/>
      <c r="F20" s="96"/>
      <c r="G20" s="96"/>
      <c r="H20" s="96"/>
      <c r="I20" s="96"/>
      <c r="L20" s="95"/>
    </row>
    <row r="21" spans="1:34" x14ac:dyDescent="0.3">
      <c r="A21" s="74" t="s">
        <v>2168</v>
      </c>
      <c r="B21" s="10" t="s">
        <v>2183</v>
      </c>
      <c r="C21" s="10" t="s">
        <v>2184</v>
      </c>
      <c r="D21" s="11">
        <v>45609</v>
      </c>
      <c r="E21" s="12">
        <v>130000</v>
      </c>
      <c r="F21" s="10" t="s">
        <v>32</v>
      </c>
      <c r="G21" s="10" t="s">
        <v>33</v>
      </c>
      <c r="H21" s="12">
        <v>130000</v>
      </c>
      <c r="I21" s="12">
        <v>41000</v>
      </c>
      <c r="J21" s="13">
        <f>I21/H21*100</f>
        <v>31.538461538461537</v>
      </c>
      <c r="K21" s="12">
        <v>92193</v>
      </c>
      <c r="L21" s="12">
        <f>H21-86664</f>
        <v>43336</v>
      </c>
      <c r="M21" s="12">
        <v>5529</v>
      </c>
      <c r="N21" s="66">
        <f>M21/E21</f>
        <v>4.2530769230769233E-2</v>
      </c>
      <c r="O21" s="14">
        <v>41.56</v>
      </c>
      <c r="P21" s="15">
        <v>135</v>
      </c>
      <c r="Q21" s="16">
        <v>0.124</v>
      </c>
      <c r="R21" s="16">
        <v>0.124</v>
      </c>
      <c r="S21" s="12">
        <f>L21/O21</f>
        <v>1042.7333974975938</v>
      </c>
      <c r="T21" s="12">
        <f>L21/Q21</f>
        <v>349483.87096774194</v>
      </c>
      <c r="U21" s="17">
        <f>L21/Q21/43560</f>
        <v>8.0230457063301639</v>
      </c>
      <c r="V21" s="16">
        <v>40</v>
      </c>
      <c r="W21" s="16">
        <f>0.2*E21</f>
        <v>26000</v>
      </c>
      <c r="X21" s="16">
        <f>W21/V21</f>
        <v>650</v>
      </c>
      <c r="Y21" s="18" t="s">
        <v>1562</v>
      </c>
      <c r="Z21" s="10" t="s">
        <v>35</v>
      </c>
      <c r="AA21" s="10" t="s">
        <v>35</v>
      </c>
      <c r="AB21" s="10" t="s">
        <v>2168</v>
      </c>
      <c r="AC21" s="10">
        <v>0</v>
      </c>
      <c r="AD21" s="10">
        <v>1</v>
      </c>
      <c r="AE21" s="10" t="s">
        <v>37</v>
      </c>
      <c r="AF21" s="10" t="s">
        <v>35</v>
      </c>
      <c r="AG21" s="10" t="s">
        <v>38</v>
      </c>
      <c r="AH21" s="10" t="s">
        <v>92</v>
      </c>
    </row>
    <row r="22" spans="1:34" x14ac:dyDescent="0.3">
      <c r="A22" s="75" t="s">
        <v>2168</v>
      </c>
      <c r="B22" s="19" t="s">
        <v>2178</v>
      </c>
      <c r="C22" s="19" t="s">
        <v>2179</v>
      </c>
      <c r="D22" s="20">
        <v>45289</v>
      </c>
      <c r="E22" s="21">
        <v>140000</v>
      </c>
      <c r="F22" s="19" t="s">
        <v>32</v>
      </c>
      <c r="G22" s="19" t="s">
        <v>33</v>
      </c>
      <c r="H22" s="21">
        <v>140000</v>
      </c>
      <c r="I22" s="21">
        <v>66300</v>
      </c>
      <c r="J22" s="22">
        <f>I22/H22*100</f>
        <v>47.357142857142861</v>
      </c>
      <c r="K22" s="21">
        <v>178107</v>
      </c>
      <c r="L22" s="21">
        <f>H22-172578</f>
        <v>-32578</v>
      </c>
      <c r="M22" s="21">
        <v>5529</v>
      </c>
      <c r="N22" s="67">
        <f>M22/E22</f>
        <v>3.9492857142857142E-2</v>
      </c>
      <c r="O22" s="23">
        <v>41.56</v>
      </c>
      <c r="P22" s="24">
        <v>135</v>
      </c>
      <c r="Q22" s="25">
        <v>0.124</v>
      </c>
      <c r="R22" s="25">
        <v>0.124</v>
      </c>
      <c r="S22" s="21">
        <f>L22/O22</f>
        <v>-783.87872954764191</v>
      </c>
      <c r="T22" s="21">
        <f>L22/Q22</f>
        <v>-262725.80645161291</v>
      </c>
      <c r="U22" s="26">
        <f>L22/Q22/43560</f>
        <v>-6.0313546017358339</v>
      </c>
      <c r="V22" s="25">
        <v>40</v>
      </c>
      <c r="W22" s="25">
        <f>0.2*E22</f>
        <v>28000</v>
      </c>
      <c r="X22" s="25">
        <f>W22/V22</f>
        <v>700</v>
      </c>
      <c r="Y22" s="27" t="s">
        <v>1562</v>
      </c>
      <c r="Z22" s="19" t="s">
        <v>35</v>
      </c>
      <c r="AA22" s="19" t="s">
        <v>35</v>
      </c>
      <c r="AB22" s="19" t="s">
        <v>2168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4" t="s">
        <v>2168</v>
      </c>
      <c r="B23" s="10" t="s">
        <v>2183</v>
      </c>
      <c r="C23" s="10" t="s">
        <v>2184</v>
      </c>
      <c r="D23" s="11">
        <v>45434</v>
      </c>
      <c r="E23" s="12">
        <v>66300</v>
      </c>
      <c r="F23" s="10" t="s">
        <v>32</v>
      </c>
      <c r="G23" s="10" t="s">
        <v>33</v>
      </c>
      <c r="H23" s="12">
        <v>66300</v>
      </c>
      <c r="I23" s="12">
        <v>41000</v>
      </c>
      <c r="J23" s="13">
        <f>I23/H23*100</f>
        <v>61.840120663650076</v>
      </c>
      <c r="K23" s="12">
        <v>92193</v>
      </c>
      <c r="L23" s="12">
        <f>H23-86664</f>
        <v>-20364</v>
      </c>
      <c r="M23" s="12">
        <v>5529</v>
      </c>
      <c r="N23" s="66">
        <f>M23/E23</f>
        <v>8.3393665158371044E-2</v>
      </c>
      <c r="O23" s="14">
        <v>41.56</v>
      </c>
      <c r="P23" s="15">
        <v>135</v>
      </c>
      <c r="Q23" s="16">
        <v>0.124</v>
      </c>
      <c r="R23" s="16">
        <v>0.124</v>
      </c>
      <c r="S23" s="12">
        <f>L23/O23</f>
        <v>-489.99037536092396</v>
      </c>
      <c r="T23" s="12">
        <f>L23/Q23</f>
        <v>-164225.80645161291</v>
      </c>
      <c r="U23" s="17">
        <f>L23/Q23/43560</f>
        <v>-3.7701057495778905</v>
      </c>
      <c r="V23" s="16">
        <v>40</v>
      </c>
      <c r="W23" s="16">
        <f>0.2*E23</f>
        <v>13260</v>
      </c>
      <c r="X23" s="16">
        <f>W23/V23</f>
        <v>331.5</v>
      </c>
      <c r="Y23" s="18" t="s">
        <v>1562</v>
      </c>
      <c r="Z23" s="10" t="s">
        <v>35</v>
      </c>
      <c r="AA23" s="10" t="s">
        <v>35</v>
      </c>
      <c r="AB23" s="10" t="s">
        <v>2168</v>
      </c>
      <c r="AC23" s="10">
        <v>0</v>
      </c>
      <c r="AD23" s="10">
        <v>1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5" t="s">
        <v>2168</v>
      </c>
      <c r="B24" s="19" t="s">
        <v>2171</v>
      </c>
      <c r="C24" s="19" t="s">
        <v>2172</v>
      </c>
      <c r="D24" s="20">
        <v>45398</v>
      </c>
      <c r="E24" s="21">
        <v>160000</v>
      </c>
      <c r="F24" s="19" t="s">
        <v>32</v>
      </c>
      <c r="G24" s="19" t="s">
        <v>33</v>
      </c>
      <c r="H24" s="21">
        <v>160000</v>
      </c>
      <c r="I24" s="21">
        <v>88200</v>
      </c>
      <c r="J24" s="22">
        <f>I24/H24*100</f>
        <v>55.125</v>
      </c>
      <c r="K24" s="21">
        <v>191068</v>
      </c>
      <c r="L24" s="21">
        <f>H24-173663</f>
        <v>-13663</v>
      </c>
      <c r="M24" s="21">
        <v>17405</v>
      </c>
      <c r="N24" s="67">
        <f>M24/E24</f>
        <v>0.10878125</v>
      </c>
      <c r="O24" s="23">
        <v>130.86000000000001</v>
      </c>
      <c r="P24" s="24">
        <v>137</v>
      </c>
      <c r="Q24" s="25">
        <v>0.39300000000000002</v>
      </c>
      <c r="R24" s="25">
        <v>0.39300000000000002</v>
      </c>
      <c r="S24" s="21">
        <f>L24/O24</f>
        <v>-104.40929237352896</v>
      </c>
      <c r="T24" s="21">
        <f>L24/Q24</f>
        <v>-34765.903307888038</v>
      </c>
      <c r="U24" s="26">
        <f>L24/Q24/43560</f>
        <v>-0.79811531928117629</v>
      </c>
      <c r="V24" s="25">
        <v>125</v>
      </c>
      <c r="W24" s="25">
        <f>0.2*E24</f>
        <v>32000</v>
      </c>
      <c r="X24" s="25">
        <f>W24/V24</f>
        <v>256</v>
      </c>
      <c r="Y24" s="27" t="s">
        <v>1562</v>
      </c>
      <c r="Z24" s="19" t="s">
        <v>35</v>
      </c>
      <c r="AA24" s="19" t="s">
        <v>35</v>
      </c>
      <c r="AB24" s="19" t="s">
        <v>2168</v>
      </c>
      <c r="AC24" s="19">
        <v>0</v>
      </c>
      <c r="AD24" s="19">
        <v>1</v>
      </c>
      <c r="AE24" s="19" t="s">
        <v>2173</v>
      </c>
      <c r="AF24" s="19" t="s">
        <v>43</v>
      </c>
      <c r="AG24" s="19" t="s">
        <v>38</v>
      </c>
      <c r="AH24" s="19" t="s">
        <v>92</v>
      </c>
    </row>
  </sheetData>
  <sortState xmlns:xlrd2="http://schemas.microsoft.com/office/spreadsheetml/2017/richdata2" ref="A2:AH12">
    <sortCondition ref="S2:S12"/>
  </sortState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00B050"/>
  </sheetPr>
  <dimension ref="A1:AH18"/>
  <sheetViews>
    <sheetView workbookViewId="0">
      <selection activeCell="D9" sqref="D9:M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9.441406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2200</v>
      </c>
      <c r="B2" s="19" t="s">
        <v>2197</v>
      </c>
      <c r="C2" s="19" t="s">
        <v>2198</v>
      </c>
      <c r="D2" s="20">
        <v>45723</v>
      </c>
      <c r="E2" s="21">
        <v>95000</v>
      </c>
      <c r="F2" s="19" t="s">
        <v>32</v>
      </c>
      <c r="G2" s="19" t="s">
        <v>33</v>
      </c>
      <c r="H2" s="21">
        <v>95000</v>
      </c>
      <c r="I2" s="21">
        <v>78200</v>
      </c>
      <c r="J2" s="22">
        <f>I2/H2*100</f>
        <v>82.315789473684205</v>
      </c>
      <c r="K2" s="21">
        <v>179459</v>
      </c>
      <c r="L2" s="21">
        <f>H2-162616</f>
        <v>-67616</v>
      </c>
      <c r="M2" s="21">
        <v>16843</v>
      </c>
      <c r="N2" s="67">
        <f>M2/E2</f>
        <v>0.17729473684210525</v>
      </c>
      <c r="O2" s="23">
        <v>98.49</v>
      </c>
      <c r="P2" s="24">
        <v>66</v>
      </c>
      <c r="Q2" s="25">
        <v>0.52600000000000002</v>
      </c>
      <c r="R2" s="25">
        <v>0.318</v>
      </c>
      <c r="S2" s="21">
        <f>L2/O2</f>
        <v>-686.52655091887505</v>
      </c>
      <c r="T2" s="21">
        <f>L2/Q2</f>
        <v>-128547.52851711026</v>
      </c>
      <c r="U2" s="26">
        <f>L2/Q2/43560</f>
        <v>-2.951045190934579</v>
      </c>
      <c r="V2" s="25">
        <v>210</v>
      </c>
      <c r="W2" s="25">
        <f>0.2*E2</f>
        <v>19000</v>
      </c>
      <c r="X2" s="25">
        <f>W2/V2</f>
        <v>90.476190476190482</v>
      </c>
      <c r="Y2" s="27" t="s">
        <v>2199</v>
      </c>
      <c r="Z2" s="19" t="s">
        <v>35</v>
      </c>
      <c r="AA2" s="19" t="s">
        <v>35</v>
      </c>
      <c r="AB2" s="19" t="s">
        <v>2200</v>
      </c>
      <c r="AC2" s="19">
        <v>0</v>
      </c>
      <c r="AD2" s="19">
        <v>1</v>
      </c>
      <c r="AE2" s="19" t="s">
        <v>42</v>
      </c>
      <c r="AF2" s="19" t="s">
        <v>35</v>
      </c>
      <c r="AG2" s="19" t="s">
        <v>38</v>
      </c>
      <c r="AH2" s="19" t="s">
        <v>92</v>
      </c>
    </row>
    <row r="3" spans="1:34" x14ac:dyDescent="0.3">
      <c r="A3" s="74" t="s">
        <v>2200</v>
      </c>
      <c r="B3" s="10" t="s">
        <v>2203</v>
      </c>
      <c r="C3" s="10" t="s">
        <v>2204</v>
      </c>
      <c r="D3" s="11">
        <v>45238</v>
      </c>
      <c r="E3" s="12">
        <v>215000</v>
      </c>
      <c r="F3" s="10" t="s">
        <v>32</v>
      </c>
      <c r="G3" s="10" t="s">
        <v>33</v>
      </c>
      <c r="H3" s="12">
        <v>215000</v>
      </c>
      <c r="I3" s="12">
        <v>95300</v>
      </c>
      <c r="J3" s="13">
        <f>I3/H3*100</f>
        <v>44.325581395348841</v>
      </c>
      <c r="K3" s="12">
        <v>225038</v>
      </c>
      <c r="L3" s="12">
        <f>H3-202279</f>
        <v>12721</v>
      </c>
      <c r="M3" s="12">
        <v>22759</v>
      </c>
      <c r="N3" s="66">
        <f>M3/E3</f>
        <v>0.10585581395348838</v>
      </c>
      <c r="O3" s="14">
        <v>133.09</v>
      </c>
      <c r="P3" s="15">
        <v>305</v>
      </c>
      <c r="Q3" s="16">
        <v>0.92400000000000004</v>
      </c>
      <c r="R3" s="16">
        <v>0.92400000000000004</v>
      </c>
      <c r="S3" s="12">
        <f>L3/O3</f>
        <v>95.581937035089041</v>
      </c>
      <c r="T3" s="12">
        <f>L3/Q3</f>
        <v>13767.316017316016</v>
      </c>
      <c r="U3" s="17">
        <f>L3/Q3/43560</f>
        <v>0.31605408671524371</v>
      </c>
      <c r="V3" s="16">
        <v>132</v>
      </c>
      <c r="W3" s="16">
        <f>0.2*E3</f>
        <v>43000</v>
      </c>
      <c r="X3" s="16">
        <f>W3/V3</f>
        <v>325.75757575757575</v>
      </c>
      <c r="Y3" s="18" t="s">
        <v>2199</v>
      </c>
      <c r="Z3" s="10" t="s">
        <v>35</v>
      </c>
      <c r="AA3" s="10" t="s">
        <v>35</v>
      </c>
      <c r="AB3" s="10" t="s">
        <v>2200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2200</v>
      </c>
      <c r="B4" s="19" t="s">
        <v>2205</v>
      </c>
      <c r="C4" s="19" t="s">
        <v>2206</v>
      </c>
      <c r="D4" s="20">
        <v>45072</v>
      </c>
      <c r="E4" s="21">
        <v>170000</v>
      </c>
      <c r="F4" s="19" t="s">
        <v>32</v>
      </c>
      <c r="G4" s="19" t="s">
        <v>33</v>
      </c>
      <c r="H4" s="21">
        <v>170000</v>
      </c>
      <c r="I4" s="21">
        <v>58600</v>
      </c>
      <c r="J4" s="22">
        <f>I4/H4*100</f>
        <v>34.470588235294116</v>
      </c>
      <c r="K4" s="21">
        <v>146224</v>
      </c>
      <c r="L4" s="21">
        <f>H4-123465</f>
        <v>46535</v>
      </c>
      <c r="M4" s="21">
        <v>22759</v>
      </c>
      <c r="N4" s="67">
        <f>M4/E4</f>
        <v>0.13387647058823529</v>
      </c>
      <c r="O4" s="23">
        <v>133.09</v>
      </c>
      <c r="P4" s="24">
        <v>305</v>
      </c>
      <c r="Q4" s="25">
        <v>0.92400000000000004</v>
      </c>
      <c r="R4" s="25">
        <v>0.92400000000000004</v>
      </c>
      <c r="S4" s="21">
        <f>L4/O4</f>
        <v>349.65061236757083</v>
      </c>
      <c r="T4" s="21">
        <f>L4/Q4</f>
        <v>50362.554112554113</v>
      </c>
      <c r="U4" s="26">
        <f>L4/Q4/43560</f>
        <v>1.1561651540990383</v>
      </c>
      <c r="V4" s="25">
        <v>132</v>
      </c>
      <c r="W4" s="25">
        <f>0.2*E4</f>
        <v>34000</v>
      </c>
      <c r="X4" s="25">
        <f>W4/V4</f>
        <v>257.57575757575756</v>
      </c>
      <c r="Y4" s="27" t="s">
        <v>2199</v>
      </c>
      <c r="Z4" s="19" t="s">
        <v>35</v>
      </c>
      <c r="AA4" s="19" t="s">
        <v>35</v>
      </c>
      <c r="AB4" s="19" t="s">
        <v>2200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ht="15" thickBot="1" x14ac:dyDescent="0.35">
      <c r="A5" s="75" t="s">
        <v>2200</v>
      </c>
      <c r="B5" s="19" t="s">
        <v>2207</v>
      </c>
      <c r="C5" s="19" t="s">
        <v>2208</v>
      </c>
      <c r="D5" s="20">
        <v>45621</v>
      </c>
      <c r="E5" s="21">
        <v>215000</v>
      </c>
      <c r="F5" s="19" t="s">
        <v>32</v>
      </c>
      <c r="G5" s="19" t="s">
        <v>33</v>
      </c>
      <c r="H5" s="21">
        <v>215000</v>
      </c>
      <c r="I5" s="21">
        <v>72100</v>
      </c>
      <c r="J5" s="22">
        <f>I5/H5*100</f>
        <v>33.534883720930232</v>
      </c>
      <c r="K5" s="21">
        <v>158167</v>
      </c>
      <c r="L5" s="21">
        <f>H5-146903</f>
        <v>68097</v>
      </c>
      <c r="M5" s="21">
        <v>11264</v>
      </c>
      <c r="N5" s="67">
        <f>M5/E5</f>
        <v>5.2390697674418604E-2</v>
      </c>
      <c r="O5" s="23">
        <v>65.87</v>
      </c>
      <c r="P5" s="24">
        <v>298.83999999999997</v>
      </c>
      <c r="Q5" s="25">
        <v>0.45300000000000001</v>
      </c>
      <c r="R5" s="25">
        <v>0.45300000000000001</v>
      </c>
      <c r="S5" s="21">
        <f>L5/O5</f>
        <v>1033.8090177622589</v>
      </c>
      <c r="T5" s="21">
        <f>L5/Q5</f>
        <v>150324.50331125828</v>
      </c>
      <c r="U5" s="26">
        <f>L5/Q5/43560</f>
        <v>3.4509757417644233</v>
      </c>
      <c r="V5" s="25">
        <v>66</v>
      </c>
      <c r="W5" s="25">
        <f>0.2*E5</f>
        <v>43000</v>
      </c>
      <c r="X5" s="25">
        <f>W5/V5</f>
        <v>651.5151515151515</v>
      </c>
      <c r="Y5" s="27" t="s">
        <v>2199</v>
      </c>
      <c r="Z5" s="19" t="s">
        <v>35</v>
      </c>
      <c r="AA5" s="19" t="s">
        <v>35</v>
      </c>
      <c r="AB5" s="19" t="s">
        <v>2200</v>
      </c>
      <c r="AC5" s="19">
        <v>0</v>
      </c>
      <c r="AD5" s="19">
        <v>1</v>
      </c>
      <c r="AE5" s="19" t="s">
        <v>42</v>
      </c>
      <c r="AF5" s="19" t="s">
        <v>35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695000</v>
      </c>
      <c r="F6" s="37"/>
      <c r="G6" s="37"/>
      <c r="H6" s="39">
        <f>+SUM(H2:H5)</f>
        <v>695000</v>
      </c>
      <c r="I6" s="39">
        <f>+SUM(I2:I5)</f>
        <v>304200</v>
      </c>
      <c r="J6" s="40"/>
      <c r="K6" s="39">
        <f>+SUM(K2:K5)</f>
        <v>708888</v>
      </c>
      <c r="L6" s="39">
        <f>+SUM(L2:L5)</f>
        <v>59737</v>
      </c>
      <c r="M6" s="39">
        <f>+SUM(M2:M5)</f>
        <v>73625</v>
      </c>
      <c r="N6" s="81">
        <f>AVERAGE(N2:N5)</f>
        <v>0.1173544297645619</v>
      </c>
      <c r="O6" s="41">
        <f>+SUM(O2:O5)</f>
        <v>430.53999999999996</v>
      </c>
      <c r="P6" s="42"/>
      <c r="Q6" s="43">
        <f>+SUM(Q2:Q5)</f>
        <v>2.827</v>
      </c>
      <c r="R6" s="43">
        <f>+SUM(R2:R5)</f>
        <v>2.6189999999999998</v>
      </c>
      <c r="S6" s="39"/>
      <c r="T6" s="39"/>
      <c r="U6" s="44"/>
      <c r="V6" s="43"/>
      <c r="W6" s="82">
        <f>AVERAGE(W2:W5)</f>
        <v>34750</v>
      </c>
      <c r="X6" s="83">
        <f>AVERAGE(X2:X5)</f>
        <v>331.33116883116884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43.769784172661872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22.960893469222768</v>
      </c>
      <c r="K8" s="48"/>
      <c r="L8" s="48"/>
      <c r="M8" s="48" t="s">
        <v>2880</v>
      </c>
      <c r="N8" s="80"/>
      <c r="O8" s="54">
        <f>L6/O6</f>
        <v>138.74901286756167</v>
      </c>
      <c r="P8" s="50"/>
      <c r="Q8" s="51" t="s">
        <v>2881</v>
      </c>
      <c r="R8" s="51">
        <f>L6/Q6</f>
        <v>21130.880792359392</v>
      </c>
      <c r="S8" s="48"/>
      <c r="T8" s="48" t="s">
        <v>2882</v>
      </c>
      <c r="U8" s="52">
        <f>L6/Q6/43560</f>
        <v>0.48509827347014217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4" t="s">
        <v>2200</v>
      </c>
      <c r="B18" s="10" t="s">
        <v>2201</v>
      </c>
      <c r="C18" s="10" t="s">
        <v>2202</v>
      </c>
      <c r="D18" s="11">
        <v>45429</v>
      </c>
      <c r="E18" s="12">
        <v>110000</v>
      </c>
      <c r="F18" s="10" t="s">
        <v>32</v>
      </c>
      <c r="G18" s="10" t="s">
        <v>33</v>
      </c>
      <c r="H18" s="12">
        <v>110000</v>
      </c>
      <c r="I18" s="12">
        <v>114500</v>
      </c>
      <c r="J18" s="13">
        <f>I18/H18*100</f>
        <v>104.09090909090909</v>
      </c>
      <c r="K18" s="12">
        <v>275874</v>
      </c>
      <c r="L18" s="12">
        <f>H18-256555</f>
        <v>-146555</v>
      </c>
      <c r="M18" s="12">
        <v>19319</v>
      </c>
      <c r="N18" s="66">
        <f>M18/E18</f>
        <v>0.17562727272727272</v>
      </c>
      <c r="O18" s="14">
        <v>112.97</v>
      </c>
      <c r="P18" s="15">
        <v>462.34</v>
      </c>
      <c r="Q18" s="16">
        <v>0.96599999999999997</v>
      </c>
      <c r="R18" s="16">
        <v>0.96599999999999997</v>
      </c>
      <c r="S18" s="12">
        <f>L18/O18</f>
        <v>-1297.2913162786581</v>
      </c>
      <c r="T18" s="12">
        <f>L18/Q18</f>
        <v>-151713.25051759835</v>
      </c>
      <c r="U18" s="17">
        <f>L18/Q18/43560</f>
        <v>-3.4828569907621292</v>
      </c>
      <c r="V18" s="16">
        <v>91.01</v>
      </c>
      <c r="W18" s="16">
        <f>0.2*E18</f>
        <v>22000</v>
      </c>
      <c r="X18" s="16">
        <f>W18/V18</f>
        <v>241.73167783760024</v>
      </c>
      <c r="Y18" s="18" t="s">
        <v>2199</v>
      </c>
      <c r="Z18" s="10" t="s">
        <v>35</v>
      </c>
      <c r="AA18" s="10" t="s">
        <v>35</v>
      </c>
      <c r="AB18" s="10" t="s">
        <v>2200</v>
      </c>
      <c r="AC18" s="10">
        <v>0</v>
      </c>
      <c r="AD18" s="10">
        <v>1</v>
      </c>
      <c r="AE18" s="10" t="s">
        <v>42</v>
      </c>
      <c r="AF18" s="10" t="s">
        <v>43</v>
      </c>
      <c r="AG18" s="10" t="s">
        <v>38</v>
      </c>
      <c r="AH18" s="10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00B050"/>
  </sheetPr>
  <dimension ref="A1:AH20"/>
  <sheetViews>
    <sheetView workbookViewId="0">
      <selection activeCell="D10" sqref="D10:L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2212</v>
      </c>
      <c r="B2" s="19" t="s">
        <v>2217</v>
      </c>
      <c r="C2" s="19" t="s">
        <v>2218</v>
      </c>
      <c r="D2" s="20">
        <v>45646</v>
      </c>
      <c r="E2" s="21">
        <v>263000</v>
      </c>
      <c r="F2" s="19" t="s">
        <v>32</v>
      </c>
      <c r="G2" s="19" t="s">
        <v>33</v>
      </c>
      <c r="H2" s="21">
        <v>263000</v>
      </c>
      <c r="I2" s="21">
        <v>121400</v>
      </c>
      <c r="J2" s="22">
        <f t="shared" ref="J2:J6" si="0">I2/H2*100</f>
        <v>46.159695817490494</v>
      </c>
      <c r="K2" s="21">
        <v>283253</v>
      </c>
      <c r="L2" s="21">
        <f>H2-250123</f>
        <v>12877</v>
      </c>
      <c r="M2" s="21">
        <v>33130</v>
      </c>
      <c r="N2" s="67">
        <f t="shared" ref="N2:N6" si="1">M2/E2</f>
        <v>0.12596958174904943</v>
      </c>
      <c r="O2" s="23">
        <v>101.93</v>
      </c>
      <c r="P2" s="24">
        <v>95.29</v>
      </c>
      <c r="Q2" s="25">
        <v>0.23599999999999999</v>
      </c>
      <c r="R2" s="25">
        <v>0.23599999999999999</v>
      </c>
      <c r="S2" s="21">
        <f t="shared" ref="S2:S6" si="2">L2/O2</f>
        <v>126.33179633081525</v>
      </c>
      <c r="T2" s="21">
        <f t="shared" ref="T2:T6" si="3">L2/Q2</f>
        <v>54563.5593220339</v>
      </c>
      <c r="U2" s="26">
        <f t="shared" ref="U2:U6" si="4">L2/Q2/43560</f>
        <v>1.2526069633157462</v>
      </c>
      <c r="V2" s="25">
        <v>127.12</v>
      </c>
      <c r="W2" s="25">
        <f t="shared" ref="W2:W6" si="5">0.2*E2</f>
        <v>52600</v>
      </c>
      <c r="X2" s="25">
        <f t="shared" ref="X2:X6" si="6">W2/V2</f>
        <v>413.78225298930141</v>
      </c>
      <c r="Y2" s="27" t="s">
        <v>2211</v>
      </c>
      <c r="Z2" s="19" t="s">
        <v>35</v>
      </c>
      <c r="AA2" s="19" t="s">
        <v>35</v>
      </c>
      <c r="AB2" s="19" t="s">
        <v>2212</v>
      </c>
      <c r="AC2" s="19">
        <v>0</v>
      </c>
      <c r="AD2" s="19">
        <v>1</v>
      </c>
      <c r="AE2" s="19" t="s">
        <v>42</v>
      </c>
      <c r="AF2" s="19" t="s">
        <v>35</v>
      </c>
      <c r="AG2" s="19" t="s">
        <v>38</v>
      </c>
      <c r="AH2" s="19" t="s">
        <v>92</v>
      </c>
    </row>
    <row r="3" spans="1:34" x14ac:dyDescent="0.3">
      <c r="A3" s="75" t="s">
        <v>2212</v>
      </c>
      <c r="B3" s="19" t="s">
        <v>2223</v>
      </c>
      <c r="C3" s="19" t="s">
        <v>2224</v>
      </c>
      <c r="D3" s="20">
        <v>45079</v>
      </c>
      <c r="E3" s="21">
        <v>216000</v>
      </c>
      <c r="F3" s="19" t="s">
        <v>32</v>
      </c>
      <c r="G3" s="19" t="s">
        <v>33</v>
      </c>
      <c r="H3" s="21">
        <v>216000</v>
      </c>
      <c r="I3" s="21">
        <v>92900</v>
      </c>
      <c r="J3" s="22">
        <f t="shared" si="0"/>
        <v>43.00925925925926</v>
      </c>
      <c r="K3" s="21">
        <v>225278</v>
      </c>
      <c r="L3" s="21">
        <f>H3-203493</f>
        <v>12507</v>
      </c>
      <c r="M3" s="21">
        <v>21785</v>
      </c>
      <c r="N3" s="67">
        <f t="shared" si="1"/>
        <v>0.10085648148148148</v>
      </c>
      <c r="O3" s="23">
        <v>67.03</v>
      </c>
      <c r="P3" s="24">
        <v>113.25</v>
      </c>
      <c r="Q3" s="25">
        <v>0.17899999999999999</v>
      </c>
      <c r="R3" s="25">
        <v>0.17899999999999999</v>
      </c>
      <c r="S3" s="21">
        <f t="shared" si="2"/>
        <v>186.58809488288824</v>
      </c>
      <c r="T3" s="21">
        <f t="shared" si="3"/>
        <v>69871.50837988827</v>
      </c>
      <c r="U3" s="26">
        <f t="shared" si="4"/>
        <v>1.6040291179955986</v>
      </c>
      <c r="V3" s="25">
        <v>69</v>
      </c>
      <c r="W3" s="25">
        <f t="shared" si="5"/>
        <v>43200</v>
      </c>
      <c r="X3" s="25">
        <f t="shared" si="6"/>
        <v>626.08695652173913</v>
      </c>
      <c r="Y3" s="27" t="s">
        <v>2211</v>
      </c>
      <c r="Z3" s="19" t="s">
        <v>35</v>
      </c>
      <c r="AA3" s="19" t="s">
        <v>35</v>
      </c>
      <c r="AB3" s="19" t="s">
        <v>2212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2212</v>
      </c>
      <c r="B4" s="10" t="s">
        <v>2221</v>
      </c>
      <c r="C4" s="10" t="s">
        <v>2222</v>
      </c>
      <c r="D4" s="11">
        <v>45041</v>
      </c>
      <c r="E4" s="12">
        <v>212000</v>
      </c>
      <c r="F4" s="10" t="s">
        <v>32</v>
      </c>
      <c r="G4" s="10" t="s">
        <v>33</v>
      </c>
      <c r="H4" s="12">
        <v>212000</v>
      </c>
      <c r="I4" s="12">
        <v>90600</v>
      </c>
      <c r="J4" s="13">
        <f t="shared" si="0"/>
        <v>42.735849056603776</v>
      </c>
      <c r="K4" s="12">
        <v>218075</v>
      </c>
      <c r="L4" s="12">
        <f>H4-199241</f>
        <v>12759</v>
      </c>
      <c r="M4" s="12">
        <v>18834</v>
      </c>
      <c r="N4" s="66">
        <f t="shared" si="1"/>
        <v>8.8839622641509436E-2</v>
      </c>
      <c r="O4" s="14">
        <v>57.95</v>
      </c>
      <c r="P4" s="15">
        <v>115.77</v>
      </c>
      <c r="Q4" s="16">
        <v>0.157</v>
      </c>
      <c r="R4" s="16">
        <v>0.157</v>
      </c>
      <c r="S4" s="12">
        <f t="shared" si="2"/>
        <v>220.17256255392579</v>
      </c>
      <c r="T4" s="12">
        <f t="shared" si="3"/>
        <v>81267.515923566883</v>
      </c>
      <c r="U4" s="17">
        <f t="shared" si="4"/>
        <v>1.8656454527907915</v>
      </c>
      <c r="V4" s="16">
        <v>59</v>
      </c>
      <c r="W4" s="16">
        <f t="shared" si="5"/>
        <v>42400</v>
      </c>
      <c r="X4" s="16">
        <f t="shared" si="6"/>
        <v>718.64406779661022</v>
      </c>
      <c r="Y4" s="18" t="s">
        <v>2211</v>
      </c>
      <c r="Z4" s="10" t="s">
        <v>35</v>
      </c>
      <c r="AA4" s="10" t="s">
        <v>35</v>
      </c>
      <c r="AB4" s="10" t="s">
        <v>2212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2212</v>
      </c>
      <c r="B5" s="10" t="s">
        <v>2209</v>
      </c>
      <c r="C5" s="10" t="s">
        <v>2210</v>
      </c>
      <c r="D5" s="11">
        <v>45117</v>
      </c>
      <c r="E5" s="12">
        <v>220000</v>
      </c>
      <c r="F5" s="10" t="s">
        <v>32</v>
      </c>
      <c r="G5" s="10" t="s">
        <v>33</v>
      </c>
      <c r="H5" s="12">
        <v>220000</v>
      </c>
      <c r="I5" s="12">
        <v>88300</v>
      </c>
      <c r="J5" s="13">
        <f t="shared" si="0"/>
        <v>40.13636363636364</v>
      </c>
      <c r="K5" s="12">
        <v>214478</v>
      </c>
      <c r="L5" s="12">
        <f>H5-188966</f>
        <v>31034</v>
      </c>
      <c r="M5" s="12">
        <v>25512</v>
      </c>
      <c r="N5" s="66">
        <f t="shared" si="1"/>
        <v>0.11596363636363637</v>
      </c>
      <c r="O5" s="14">
        <v>78.489999999999995</v>
      </c>
      <c r="P5" s="15">
        <v>120</v>
      </c>
      <c r="Q5" s="16">
        <v>0.216</v>
      </c>
      <c r="R5" s="16">
        <v>0.216</v>
      </c>
      <c r="S5" s="12">
        <f t="shared" si="2"/>
        <v>395.38794750923688</v>
      </c>
      <c r="T5" s="12">
        <f t="shared" si="3"/>
        <v>143675.92592592593</v>
      </c>
      <c r="U5" s="17">
        <f t="shared" si="4"/>
        <v>3.2983454069312654</v>
      </c>
      <c r="V5" s="16">
        <v>78.97</v>
      </c>
      <c r="W5" s="16">
        <f t="shared" si="5"/>
        <v>44000</v>
      </c>
      <c r="X5" s="16">
        <f t="shared" si="6"/>
        <v>557.17361023173362</v>
      </c>
      <c r="Y5" s="18" t="s">
        <v>2211</v>
      </c>
      <c r="Z5" s="10" t="s">
        <v>35</v>
      </c>
      <c r="AA5" s="10" t="s">
        <v>35</v>
      </c>
      <c r="AB5" s="10" t="s">
        <v>2212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ht="15" thickBot="1" x14ac:dyDescent="0.35">
      <c r="A6" s="75" t="s">
        <v>2212</v>
      </c>
      <c r="B6" s="19" t="s">
        <v>2215</v>
      </c>
      <c r="C6" s="19" t="s">
        <v>2216</v>
      </c>
      <c r="D6" s="20">
        <v>45628</v>
      </c>
      <c r="E6" s="21">
        <v>236000</v>
      </c>
      <c r="F6" s="19" t="s">
        <v>32</v>
      </c>
      <c r="G6" s="19" t="s">
        <v>33</v>
      </c>
      <c r="H6" s="21">
        <v>236000</v>
      </c>
      <c r="I6" s="21">
        <v>101300</v>
      </c>
      <c r="J6" s="22">
        <f t="shared" si="0"/>
        <v>42.923728813559322</v>
      </c>
      <c r="K6" s="21">
        <v>215599</v>
      </c>
      <c r="L6" s="21">
        <f>H6-186218</f>
        <v>49782</v>
      </c>
      <c r="M6" s="21">
        <v>29381</v>
      </c>
      <c r="N6" s="67">
        <f t="shared" si="1"/>
        <v>0.12449576271186441</v>
      </c>
      <c r="O6" s="23">
        <v>90.4</v>
      </c>
      <c r="P6" s="24">
        <v>149.62</v>
      </c>
      <c r="Q6" s="25">
        <v>0.22600000000000001</v>
      </c>
      <c r="R6" s="25">
        <v>0.22600000000000001</v>
      </c>
      <c r="S6" s="21">
        <f t="shared" si="2"/>
        <v>550.68584070796453</v>
      </c>
      <c r="T6" s="21">
        <f t="shared" si="3"/>
        <v>220274.33628318584</v>
      </c>
      <c r="U6" s="26">
        <f t="shared" si="4"/>
        <v>5.0568029449767185</v>
      </c>
      <c r="V6" s="25">
        <v>111.44</v>
      </c>
      <c r="W6" s="25">
        <f t="shared" si="5"/>
        <v>47200</v>
      </c>
      <c r="X6" s="25">
        <f t="shared" si="6"/>
        <v>423.54630294328786</v>
      </c>
      <c r="Y6" s="27" t="s">
        <v>2211</v>
      </c>
      <c r="Z6" s="19" t="s">
        <v>35</v>
      </c>
      <c r="AA6" s="19" t="s">
        <v>35</v>
      </c>
      <c r="AB6" s="19" t="s">
        <v>2212</v>
      </c>
      <c r="AC6" s="19">
        <v>0</v>
      </c>
      <c r="AD6" s="19">
        <v>1</v>
      </c>
      <c r="AE6" s="19" t="s">
        <v>42</v>
      </c>
      <c r="AF6" s="19" t="s">
        <v>35</v>
      </c>
      <c r="AG6" s="19" t="s">
        <v>38</v>
      </c>
      <c r="AH6" s="19" t="s">
        <v>92</v>
      </c>
    </row>
    <row r="7" spans="1:34" ht="15" thickTop="1" x14ac:dyDescent="0.3">
      <c r="A7" s="76"/>
      <c r="B7" s="37"/>
      <c r="C7" s="37"/>
      <c r="D7" s="38" t="s">
        <v>2876</v>
      </c>
      <c r="E7" s="39">
        <f>+SUM(E2:E6)</f>
        <v>1147000</v>
      </c>
      <c r="F7" s="37"/>
      <c r="G7" s="37"/>
      <c r="H7" s="39">
        <f>+SUM(H2:H6)</f>
        <v>1147000</v>
      </c>
      <c r="I7" s="39">
        <f>+SUM(I2:I6)</f>
        <v>494500</v>
      </c>
      <c r="J7" s="40"/>
      <c r="K7" s="39">
        <f>+SUM(K2:K6)</f>
        <v>1156683</v>
      </c>
      <c r="L7" s="39">
        <f>+SUM(L2:L6)</f>
        <v>118959</v>
      </c>
      <c r="M7" s="39">
        <f>+SUM(M2:M6)</f>
        <v>128642</v>
      </c>
      <c r="N7" s="81">
        <f>AVERAGE(N2:N6)</f>
        <v>0.11122501698950824</v>
      </c>
      <c r="O7" s="41">
        <f>+SUM(O2:O6)</f>
        <v>395.80000000000007</v>
      </c>
      <c r="P7" s="42"/>
      <c r="Q7" s="43">
        <f>+SUM(Q2:Q6)</f>
        <v>1.014</v>
      </c>
      <c r="R7" s="43">
        <f>+SUM(R2:R6)</f>
        <v>1.014</v>
      </c>
      <c r="S7" s="39"/>
      <c r="T7" s="39"/>
      <c r="U7" s="44"/>
      <c r="V7" s="43"/>
      <c r="W7" s="82">
        <f>AVERAGE(W2:W6)</f>
        <v>45880</v>
      </c>
      <c r="X7" s="83">
        <f>AVERAGE(X2:X6)</f>
        <v>547.84663809653443</v>
      </c>
      <c r="Y7" s="45"/>
      <c r="Z7" s="37"/>
      <c r="AA7" s="37"/>
      <c r="AB7" s="37"/>
      <c r="AC7" s="37"/>
      <c r="AD7" s="37"/>
      <c r="AE7" s="37"/>
      <c r="AF7" s="37"/>
      <c r="AG7" s="37"/>
      <c r="AH7" s="37"/>
    </row>
    <row r="8" spans="1:34" x14ac:dyDescent="0.3">
      <c r="A8" s="77"/>
      <c r="B8" s="28"/>
      <c r="C8" s="28"/>
      <c r="D8" s="29"/>
      <c r="E8" s="30"/>
      <c r="F8" s="28"/>
      <c r="G8" s="28"/>
      <c r="H8" s="30"/>
      <c r="I8" s="30" t="s">
        <v>2877</v>
      </c>
      <c r="J8" s="31">
        <f>I7/H7*100</f>
        <v>43.112467306015695</v>
      </c>
      <c r="K8" s="30"/>
      <c r="L8" s="30"/>
      <c r="M8" s="30" t="s">
        <v>2879</v>
      </c>
      <c r="N8" s="79"/>
      <c r="O8" s="32"/>
      <c r="P8" s="33"/>
      <c r="Q8" s="34" t="s">
        <v>2879</v>
      </c>
      <c r="R8" s="34"/>
      <c r="S8" s="30"/>
      <c r="T8" s="30" t="s">
        <v>2879</v>
      </c>
      <c r="U8" s="35"/>
      <c r="V8" s="34"/>
      <c r="W8" s="63"/>
      <c r="X8" s="68"/>
      <c r="Y8" s="36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3">
      <c r="A9" s="78"/>
      <c r="B9" s="46"/>
      <c r="C9" s="46"/>
      <c r="D9" s="47"/>
      <c r="E9" s="48"/>
      <c r="F9" s="46"/>
      <c r="G9" s="46"/>
      <c r="H9" s="48"/>
      <c r="I9" s="48" t="s">
        <v>2878</v>
      </c>
      <c r="J9" s="49">
        <f>STDEV(J2:J6)</f>
        <v>2.1365581656541952</v>
      </c>
      <c r="K9" s="48"/>
      <c r="L9" s="48"/>
      <c r="M9" s="48" t="s">
        <v>2880</v>
      </c>
      <c r="N9" s="80"/>
      <c r="O9" s="54">
        <f>L7/O7</f>
        <v>300.55330975240014</v>
      </c>
      <c r="P9" s="50"/>
      <c r="Q9" s="51" t="s">
        <v>2881</v>
      </c>
      <c r="R9" s="51">
        <f>L7/Q7</f>
        <v>117316.56804733728</v>
      </c>
      <c r="S9" s="48"/>
      <c r="T9" s="48" t="s">
        <v>2882</v>
      </c>
      <c r="U9" s="52">
        <f>L7/Q7/43560</f>
        <v>2.693217815595438</v>
      </c>
      <c r="V9" s="51"/>
      <c r="W9" s="64"/>
      <c r="X9" s="69"/>
      <c r="Y9" s="53"/>
      <c r="Z9" s="46"/>
      <c r="AA9" s="46"/>
      <c r="AB9" s="46"/>
      <c r="AC9" s="46"/>
      <c r="AD9" s="46"/>
      <c r="AE9" s="46"/>
      <c r="AF9" s="46"/>
      <c r="AG9" s="46"/>
      <c r="AH9" s="46"/>
    </row>
    <row r="10" spans="1:34" x14ac:dyDescent="0.3">
      <c r="E10" s="94" t="s">
        <v>3099</v>
      </c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L15" s="95"/>
    </row>
    <row r="16" spans="1:34" x14ac:dyDescent="0.3">
      <c r="E16" s="383" t="s">
        <v>3100</v>
      </c>
      <c r="F16" s="383"/>
      <c r="G16" s="383"/>
      <c r="H16" s="383"/>
      <c r="I16" s="383"/>
      <c r="L16" s="95"/>
    </row>
    <row r="17" spans="1:34" x14ac:dyDescent="0.3">
      <c r="E17" s="96"/>
      <c r="F17" s="96"/>
      <c r="G17" s="96"/>
      <c r="H17" s="96"/>
      <c r="I17" s="96"/>
      <c r="L17" s="95"/>
    </row>
    <row r="18" spans="1:34" x14ac:dyDescent="0.3">
      <c r="A18" s="55" t="s">
        <v>3092</v>
      </c>
      <c r="E18" s="96"/>
      <c r="F18" s="96"/>
      <c r="G18" s="96"/>
      <c r="H18" s="96"/>
      <c r="I18" s="96"/>
      <c r="L18" s="95"/>
    </row>
    <row r="19" spans="1:34" x14ac:dyDescent="0.3">
      <c r="A19" s="74" t="s">
        <v>2212</v>
      </c>
      <c r="B19" s="10" t="s">
        <v>2219</v>
      </c>
      <c r="C19" s="10" t="s">
        <v>2220</v>
      </c>
      <c r="D19" s="11">
        <v>45219</v>
      </c>
      <c r="E19" s="12">
        <v>170000</v>
      </c>
      <c r="F19" s="10" t="s">
        <v>32</v>
      </c>
      <c r="G19" s="10" t="s">
        <v>33</v>
      </c>
      <c r="H19" s="12">
        <v>170000</v>
      </c>
      <c r="I19" s="12">
        <v>90500</v>
      </c>
      <c r="J19" s="13">
        <f t="shared" ref="J19:J20" si="7">I19/H19*100</f>
        <v>53.235294117647058</v>
      </c>
      <c r="K19" s="12">
        <v>224801</v>
      </c>
      <c r="L19" s="12">
        <f>H19-205947</f>
        <v>-35947</v>
      </c>
      <c r="M19" s="12">
        <v>18854</v>
      </c>
      <c r="N19" s="66">
        <f t="shared" ref="N19:N20" si="8">M19/E19</f>
        <v>0.11090588235294117</v>
      </c>
      <c r="O19" s="14">
        <v>58.01</v>
      </c>
      <c r="P19" s="15">
        <v>116.01</v>
      </c>
      <c r="Q19" s="16">
        <v>0.157</v>
      </c>
      <c r="R19" s="16">
        <v>0.157</v>
      </c>
      <c r="S19" s="12">
        <f t="shared" ref="S19:S20" si="9">L19/O19</f>
        <v>-619.66902258231346</v>
      </c>
      <c r="T19" s="12">
        <f t="shared" ref="T19:T20" si="10">L19/Q19</f>
        <v>-228961.78343949045</v>
      </c>
      <c r="U19" s="17">
        <f t="shared" ref="U19:U20" si="11">L19/Q19/43560</f>
        <v>-5.2562392892445002</v>
      </c>
      <c r="V19" s="16">
        <v>59</v>
      </c>
      <c r="W19" s="16">
        <f t="shared" ref="W19:W20" si="12">0.2*E19</f>
        <v>34000</v>
      </c>
      <c r="X19" s="16">
        <f t="shared" ref="X19:X20" si="13">W19/V19</f>
        <v>576.27118644067798</v>
      </c>
      <c r="Y19" s="18" t="s">
        <v>2211</v>
      </c>
      <c r="Z19" s="10" t="s">
        <v>35</v>
      </c>
      <c r="AA19" s="10" t="s">
        <v>35</v>
      </c>
      <c r="AB19" s="10" t="s">
        <v>2212</v>
      </c>
      <c r="AC19" s="10">
        <v>0</v>
      </c>
      <c r="AD19" s="10">
        <v>1</v>
      </c>
      <c r="AE19" s="10" t="s">
        <v>42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4" t="s">
        <v>2212</v>
      </c>
      <c r="B20" s="10" t="s">
        <v>2213</v>
      </c>
      <c r="C20" s="10" t="s">
        <v>2214</v>
      </c>
      <c r="D20" s="11">
        <v>45114</v>
      </c>
      <c r="E20" s="12">
        <v>191500</v>
      </c>
      <c r="F20" s="10" t="s">
        <v>32</v>
      </c>
      <c r="G20" s="10" t="s">
        <v>33</v>
      </c>
      <c r="H20" s="12">
        <v>191500</v>
      </c>
      <c r="I20" s="12">
        <v>84000</v>
      </c>
      <c r="J20" s="13">
        <f t="shared" si="7"/>
        <v>43.864229765013057</v>
      </c>
      <c r="K20" s="12">
        <v>205967</v>
      </c>
      <c r="L20" s="12">
        <f>H20-186467</f>
        <v>5033</v>
      </c>
      <c r="M20" s="12">
        <v>19500</v>
      </c>
      <c r="N20" s="66">
        <f t="shared" si="8"/>
        <v>0.10182767624020887</v>
      </c>
      <c r="O20" s="14">
        <v>60</v>
      </c>
      <c r="P20" s="15">
        <v>120</v>
      </c>
      <c r="Q20" s="16">
        <v>0.16500000000000001</v>
      </c>
      <c r="R20" s="16">
        <v>0.16500000000000001</v>
      </c>
      <c r="S20" s="12">
        <f t="shared" si="9"/>
        <v>83.88333333333334</v>
      </c>
      <c r="T20" s="12">
        <f t="shared" si="10"/>
        <v>30503.0303030303</v>
      </c>
      <c r="U20" s="17">
        <f t="shared" si="11"/>
        <v>0.70025322091437792</v>
      </c>
      <c r="V20" s="16">
        <v>60</v>
      </c>
      <c r="W20" s="16">
        <f t="shared" si="12"/>
        <v>38300</v>
      </c>
      <c r="X20" s="16">
        <f t="shared" si="13"/>
        <v>638.33333333333337</v>
      </c>
      <c r="Y20" s="18" t="s">
        <v>2211</v>
      </c>
      <c r="Z20" s="10" t="s">
        <v>35</v>
      </c>
      <c r="AA20" s="10" t="s">
        <v>35</v>
      </c>
      <c r="AB20" s="10" t="s">
        <v>2212</v>
      </c>
      <c r="AC20" s="10">
        <v>0</v>
      </c>
      <c r="AD20" s="10">
        <v>1</v>
      </c>
      <c r="AE20" s="10" t="s">
        <v>42</v>
      </c>
      <c r="AF20" s="10" t="s">
        <v>43</v>
      </c>
      <c r="AG20" s="10" t="s">
        <v>38</v>
      </c>
      <c r="AH20" s="10" t="s">
        <v>92</v>
      </c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3">
    <tabColor rgb="FF00B050"/>
  </sheetPr>
  <dimension ref="A1:AH18"/>
  <sheetViews>
    <sheetView workbookViewId="0">
      <selection activeCell="D8" sqref="D8:M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332031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2025</v>
      </c>
      <c r="B2" s="10" t="s">
        <v>2077</v>
      </c>
      <c r="C2" s="10" t="s">
        <v>2078</v>
      </c>
      <c r="D2" s="11">
        <v>45152</v>
      </c>
      <c r="E2" s="12">
        <v>133900</v>
      </c>
      <c r="F2" s="10" t="s">
        <v>32</v>
      </c>
      <c r="G2" s="10" t="s">
        <v>33</v>
      </c>
      <c r="H2" s="12">
        <v>133900</v>
      </c>
      <c r="I2" s="12">
        <v>62300</v>
      </c>
      <c r="J2" s="13">
        <f>I2/H2*100</f>
        <v>46.52725914861837</v>
      </c>
      <c r="K2" s="12">
        <v>181616</v>
      </c>
      <c r="L2" s="12">
        <f>H2-167596</f>
        <v>-33696</v>
      </c>
      <c r="M2" s="12">
        <v>14020</v>
      </c>
      <c r="N2" s="66">
        <f>M2/E2</f>
        <v>0.10470500373412994</v>
      </c>
      <c r="O2" s="14">
        <v>90.45</v>
      </c>
      <c r="P2" s="15">
        <v>180</v>
      </c>
      <c r="Q2" s="16">
        <v>0.5</v>
      </c>
      <c r="R2" s="16">
        <v>0.41299999999999998</v>
      </c>
      <c r="S2" s="12">
        <f>L2/O2</f>
        <v>-372.53731343283579</v>
      </c>
      <c r="T2" s="12">
        <f>L2/Q2</f>
        <v>-67392</v>
      </c>
      <c r="U2" s="17">
        <f>L2/Q2/43560</f>
        <v>-1.5471074380165288</v>
      </c>
      <c r="V2" s="16">
        <v>100</v>
      </c>
      <c r="W2" s="16">
        <f>0.2*E2</f>
        <v>26780</v>
      </c>
      <c r="X2" s="16">
        <f>W2/V2</f>
        <v>267.8</v>
      </c>
      <c r="Y2" s="18" t="s">
        <v>2024</v>
      </c>
      <c r="Z2" s="10" t="s">
        <v>35</v>
      </c>
      <c r="AA2" s="10" t="s">
        <v>35</v>
      </c>
      <c r="AB2" s="10" t="s">
        <v>2025</v>
      </c>
      <c r="AC2" s="10">
        <v>0</v>
      </c>
      <c r="AD2" s="10">
        <v>0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2025</v>
      </c>
      <c r="B3" s="10" t="s">
        <v>2026</v>
      </c>
      <c r="C3" s="10" t="s">
        <v>2027</v>
      </c>
      <c r="D3" s="11">
        <v>45153</v>
      </c>
      <c r="E3" s="12">
        <v>165000</v>
      </c>
      <c r="F3" s="10" t="s">
        <v>32</v>
      </c>
      <c r="G3" s="10" t="s">
        <v>33</v>
      </c>
      <c r="H3" s="12">
        <v>165000</v>
      </c>
      <c r="I3" s="12">
        <v>62400</v>
      </c>
      <c r="J3" s="13">
        <f>I3/H3*100</f>
        <v>37.81818181818182</v>
      </c>
      <c r="K3" s="12">
        <v>186807</v>
      </c>
      <c r="L3" s="12">
        <f>H3-174620</f>
        <v>-9620</v>
      </c>
      <c r="M3" s="12">
        <v>12187</v>
      </c>
      <c r="N3" s="66">
        <f>M3/E3</f>
        <v>7.3860606060606057E-2</v>
      </c>
      <c r="O3" s="14">
        <v>78.62</v>
      </c>
      <c r="P3" s="15">
        <v>136</v>
      </c>
      <c r="Q3" s="16">
        <v>0.312</v>
      </c>
      <c r="R3" s="16">
        <v>0.312</v>
      </c>
      <c r="S3" s="12">
        <f>L3/O3</f>
        <v>-122.36072246247774</v>
      </c>
      <c r="T3" s="12">
        <f>L3/Q3</f>
        <v>-30833.333333333332</v>
      </c>
      <c r="U3" s="17">
        <f>L3/Q3/43560</f>
        <v>-0.70783593510866238</v>
      </c>
      <c r="V3" s="16">
        <v>100</v>
      </c>
      <c r="W3" s="16">
        <f>0.2*E3</f>
        <v>33000</v>
      </c>
      <c r="X3" s="16">
        <f>W3/V3</f>
        <v>330</v>
      </c>
      <c r="Y3" s="18" t="s">
        <v>2024</v>
      </c>
      <c r="Z3" s="10" t="s">
        <v>35</v>
      </c>
      <c r="AA3" s="10" t="s">
        <v>35</v>
      </c>
      <c r="AB3" s="10" t="s">
        <v>2025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ht="15" thickBot="1" x14ac:dyDescent="0.35">
      <c r="A4" s="75" t="s">
        <v>2025</v>
      </c>
      <c r="B4" s="19" t="s">
        <v>2022</v>
      </c>
      <c r="C4" s="19" t="s">
        <v>2023</v>
      </c>
      <c r="D4" s="20">
        <v>45427</v>
      </c>
      <c r="E4" s="21">
        <v>430000</v>
      </c>
      <c r="F4" s="19" t="s">
        <v>32</v>
      </c>
      <c r="G4" s="19" t="s">
        <v>33</v>
      </c>
      <c r="H4" s="21">
        <v>430000</v>
      </c>
      <c r="I4" s="21">
        <v>142400</v>
      </c>
      <c r="J4" s="22">
        <f>I4/H4*100</f>
        <v>33.116279069767444</v>
      </c>
      <c r="K4" s="21">
        <v>327476</v>
      </c>
      <c r="L4" s="21">
        <f>H4-312554</f>
        <v>117446</v>
      </c>
      <c r="M4" s="21">
        <v>14922</v>
      </c>
      <c r="N4" s="67">
        <f>M4/E4</f>
        <v>3.4702325581395348E-2</v>
      </c>
      <c r="O4" s="23">
        <v>96.27</v>
      </c>
      <c r="P4" s="24">
        <v>310.7</v>
      </c>
      <c r="Q4" s="25">
        <v>0.57799999999999996</v>
      </c>
      <c r="R4" s="25">
        <v>0.57799999999999996</v>
      </c>
      <c r="S4" s="21">
        <f>L4/O4</f>
        <v>1219.9646826633427</v>
      </c>
      <c r="T4" s="21">
        <f>L4/Q4</f>
        <v>203193.77162629759</v>
      </c>
      <c r="U4" s="26">
        <f>L4/Q4/43560</f>
        <v>4.6646871355899355</v>
      </c>
      <c r="V4" s="25">
        <v>81.010000000000005</v>
      </c>
      <c r="W4" s="25">
        <f>0.2*E4</f>
        <v>86000</v>
      </c>
      <c r="X4" s="25">
        <f>W4/V4</f>
        <v>1061.5973336625107</v>
      </c>
      <c r="Y4" s="27" t="s">
        <v>2024</v>
      </c>
      <c r="Z4" s="19" t="s">
        <v>35</v>
      </c>
      <c r="AA4" s="19" t="s">
        <v>35</v>
      </c>
      <c r="AB4" s="19" t="s">
        <v>2025</v>
      </c>
      <c r="AC4" s="19">
        <v>0</v>
      </c>
      <c r="AD4" s="19">
        <v>1</v>
      </c>
      <c r="AE4" s="19" t="s">
        <v>205</v>
      </c>
      <c r="AF4" s="19" t="s">
        <v>43</v>
      </c>
      <c r="AG4" s="19" t="s">
        <v>38</v>
      </c>
      <c r="AH4" s="19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728900</v>
      </c>
      <c r="F5" s="37"/>
      <c r="G5" s="37"/>
      <c r="H5" s="39">
        <f>+SUM(H2:H4)</f>
        <v>728900</v>
      </c>
      <c r="I5" s="39">
        <f>+SUM(I2:I4)</f>
        <v>267100</v>
      </c>
      <c r="J5" s="40"/>
      <c r="K5" s="39">
        <f>+SUM(K2:K4)</f>
        <v>695899</v>
      </c>
      <c r="L5" s="39">
        <f>+SUM(L2:L4)</f>
        <v>74130</v>
      </c>
      <c r="M5" s="39">
        <f>+SUM(M2:M4)</f>
        <v>41129</v>
      </c>
      <c r="N5" s="81">
        <f>AVERAGE(N2:N4)</f>
        <v>7.1089311792043794E-2</v>
      </c>
      <c r="O5" s="41">
        <f>+SUM(O2:O4)</f>
        <v>265.33999999999997</v>
      </c>
      <c r="P5" s="42"/>
      <c r="Q5" s="43">
        <f>+SUM(Q2:Q4)</f>
        <v>1.3900000000000001</v>
      </c>
      <c r="R5" s="43">
        <f>+SUM(R2:R4)</f>
        <v>1.3029999999999999</v>
      </c>
      <c r="S5" s="39"/>
      <c r="T5" s="39"/>
      <c r="U5" s="44"/>
      <c r="V5" s="43"/>
      <c r="W5" s="82">
        <f>AVERAGE(W2:W4)</f>
        <v>48593.333333333336</v>
      </c>
      <c r="X5" s="83">
        <f>AVERAGE(X2:X4)</f>
        <v>553.13244455417021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36.644258471669637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6.8045365269356068</v>
      </c>
      <c r="K7" s="48"/>
      <c r="L7" s="48"/>
      <c r="M7" s="48" t="s">
        <v>2880</v>
      </c>
      <c r="N7" s="80"/>
      <c r="O7" s="54">
        <f>L5/O5</f>
        <v>279.37740257782468</v>
      </c>
      <c r="P7" s="50"/>
      <c r="Q7" s="51" t="s">
        <v>2881</v>
      </c>
      <c r="R7" s="51">
        <f>L5/Q5</f>
        <v>53330.935251798554</v>
      </c>
      <c r="S7" s="48"/>
      <c r="T7" s="48" t="s">
        <v>2882</v>
      </c>
      <c r="U7" s="52">
        <f>L5/Q5/43560</f>
        <v>1.2243098083516657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5" t="s">
        <v>2025</v>
      </c>
      <c r="B17" s="19" t="s">
        <v>2108</v>
      </c>
      <c r="C17" s="19" t="s">
        <v>2109</v>
      </c>
      <c r="D17" s="20">
        <v>45526</v>
      </c>
      <c r="E17" s="21">
        <v>95000</v>
      </c>
      <c r="F17" s="19" t="s">
        <v>32</v>
      </c>
      <c r="G17" s="19" t="s">
        <v>33</v>
      </c>
      <c r="H17" s="21">
        <v>95000</v>
      </c>
      <c r="I17" s="21">
        <v>60800</v>
      </c>
      <c r="J17" s="22">
        <f>I17/H17*100</f>
        <v>64</v>
      </c>
      <c r="K17" s="21">
        <v>144870</v>
      </c>
      <c r="L17" s="21">
        <f>H17-132200</f>
        <v>-37200</v>
      </c>
      <c r="M17" s="21">
        <v>12670</v>
      </c>
      <c r="N17" s="67">
        <f>M17/E17</f>
        <v>0.13336842105263158</v>
      </c>
      <c r="O17" s="23">
        <v>81.739999999999995</v>
      </c>
      <c r="P17" s="24">
        <v>300</v>
      </c>
      <c r="Q17" s="25">
        <v>0.48199999999999998</v>
      </c>
      <c r="R17" s="25">
        <v>0.48199999999999998</v>
      </c>
      <c r="S17" s="21">
        <f>L17/O17</f>
        <v>-455.10154147296311</v>
      </c>
      <c r="T17" s="21">
        <f>L17/Q17</f>
        <v>-77178.423236514529</v>
      </c>
      <c r="U17" s="26">
        <f>L17/Q17/43560</f>
        <v>-1.7717728015728771</v>
      </c>
      <c r="V17" s="25">
        <v>70</v>
      </c>
      <c r="W17" s="25">
        <f>0.2*E17</f>
        <v>19000</v>
      </c>
      <c r="X17" s="25">
        <f>W17/V17</f>
        <v>271.42857142857144</v>
      </c>
      <c r="Y17" s="27" t="s">
        <v>2024</v>
      </c>
      <c r="Z17" s="19" t="s">
        <v>35</v>
      </c>
      <c r="AA17" s="19" t="s">
        <v>35</v>
      </c>
      <c r="AB17" s="19" t="s">
        <v>2025</v>
      </c>
      <c r="AC17" s="19">
        <v>0</v>
      </c>
      <c r="AD17" s="19">
        <v>1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4" t="s">
        <v>2025</v>
      </c>
      <c r="B18" s="10" t="s">
        <v>2028</v>
      </c>
      <c r="C18" s="10" t="s">
        <v>2029</v>
      </c>
      <c r="D18" s="11">
        <v>45216</v>
      </c>
      <c r="E18" s="12">
        <v>10000</v>
      </c>
      <c r="F18" s="10" t="s">
        <v>32</v>
      </c>
      <c r="G18" s="10" t="s">
        <v>33</v>
      </c>
      <c r="H18" s="12">
        <v>10000</v>
      </c>
      <c r="I18" s="12">
        <v>5500</v>
      </c>
      <c r="J18" s="13">
        <f>I18/H18*100</f>
        <v>55.000000000000007</v>
      </c>
      <c r="K18" s="12">
        <v>12187</v>
      </c>
      <c r="L18" s="12">
        <f>H18-0</f>
        <v>10000</v>
      </c>
      <c r="M18" s="12">
        <v>12187</v>
      </c>
      <c r="N18" s="66">
        <f>M18/E18</f>
        <v>1.2186999999999999</v>
      </c>
      <c r="O18" s="14">
        <v>78.62</v>
      </c>
      <c r="P18" s="15">
        <v>136</v>
      </c>
      <c r="Q18" s="16">
        <v>0.312</v>
      </c>
      <c r="R18" s="16">
        <v>0.312</v>
      </c>
      <c r="S18" s="12">
        <f>L18/O18</f>
        <v>127.1940981938438</v>
      </c>
      <c r="T18" s="12">
        <f>L18/Q18</f>
        <v>32051.282051282051</v>
      </c>
      <c r="U18" s="17">
        <f>L18/Q18/43560</f>
        <v>0.7357961903416449</v>
      </c>
      <c r="V18" s="16">
        <v>100</v>
      </c>
      <c r="W18" s="16">
        <f>0.2*E18</f>
        <v>2000</v>
      </c>
      <c r="X18" s="16">
        <f>W18/V18</f>
        <v>20</v>
      </c>
      <c r="Y18" s="18" t="s">
        <v>2024</v>
      </c>
      <c r="Z18" s="10" t="s">
        <v>35</v>
      </c>
      <c r="AA18" s="10" t="s">
        <v>35</v>
      </c>
      <c r="AB18" s="10" t="s">
        <v>2025</v>
      </c>
      <c r="AC18" s="10">
        <v>0</v>
      </c>
      <c r="AD18" s="10">
        <v>1</v>
      </c>
      <c r="AE18" s="10" t="s">
        <v>37</v>
      </c>
      <c r="AF18" s="10" t="s">
        <v>43</v>
      </c>
      <c r="AG18" s="10" t="s">
        <v>61</v>
      </c>
      <c r="AH18" s="10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4">
    <tabColor rgb="FF00B050"/>
  </sheetPr>
  <dimension ref="A1:AH33"/>
  <sheetViews>
    <sheetView workbookViewId="0">
      <selection activeCell="C16" sqref="C16:L2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2033</v>
      </c>
      <c r="B2" s="10" t="s">
        <v>2063</v>
      </c>
      <c r="C2" s="10" t="s">
        <v>2064</v>
      </c>
      <c r="D2" s="11">
        <v>45559</v>
      </c>
      <c r="E2" s="12">
        <v>240000</v>
      </c>
      <c r="F2" s="10" t="s">
        <v>32</v>
      </c>
      <c r="G2" s="10" t="s">
        <v>33</v>
      </c>
      <c r="H2" s="12">
        <v>240000</v>
      </c>
      <c r="I2" s="12">
        <v>119200</v>
      </c>
      <c r="J2" s="13">
        <f t="shared" ref="J2:J12" si="0">I2/H2*100</f>
        <v>49.666666666666664</v>
      </c>
      <c r="K2" s="12">
        <v>250214</v>
      </c>
      <c r="L2" s="12">
        <f>H2-234272</f>
        <v>5728</v>
      </c>
      <c r="M2" s="12">
        <v>15942</v>
      </c>
      <c r="N2" s="66">
        <f t="shared" ref="N2:N12" si="1">M2/E2</f>
        <v>6.6424999999999998E-2</v>
      </c>
      <c r="O2" s="14">
        <v>78.53</v>
      </c>
      <c r="P2" s="15">
        <v>106</v>
      </c>
      <c r="Q2" s="16">
        <v>0.19500000000000001</v>
      </c>
      <c r="R2" s="16">
        <v>0.19500000000000001</v>
      </c>
      <c r="S2" s="12">
        <f t="shared" ref="S2:S12" si="2">L2/O2</f>
        <v>72.940277600916843</v>
      </c>
      <c r="T2" s="12">
        <f t="shared" ref="T2:T12" si="3">L2/Q2</f>
        <v>29374.358974358973</v>
      </c>
      <c r="U2" s="17">
        <f t="shared" ref="U2:U12" si="4">L2/Q2/43560</f>
        <v>0.67434249252431067</v>
      </c>
      <c r="V2" s="16">
        <v>80</v>
      </c>
      <c r="W2" s="16">
        <f t="shared" ref="W2:W12" si="5">0.2*E2</f>
        <v>48000</v>
      </c>
      <c r="X2" s="16">
        <f t="shared" ref="X2:X12" si="6">W2/V2</f>
        <v>600</v>
      </c>
      <c r="Y2" s="18" t="s">
        <v>2038</v>
      </c>
      <c r="Z2" s="10" t="s">
        <v>35</v>
      </c>
      <c r="AA2" s="10" t="s">
        <v>35</v>
      </c>
      <c r="AB2" s="10" t="s">
        <v>2033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2033</v>
      </c>
      <c r="B3" s="19" t="s">
        <v>2051</v>
      </c>
      <c r="C3" s="19" t="s">
        <v>2052</v>
      </c>
      <c r="D3" s="20">
        <v>45357</v>
      </c>
      <c r="E3" s="21">
        <v>200000</v>
      </c>
      <c r="F3" s="19" t="s">
        <v>32</v>
      </c>
      <c r="G3" s="19" t="s">
        <v>33</v>
      </c>
      <c r="H3" s="21">
        <v>200000</v>
      </c>
      <c r="I3" s="21">
        <v>89800</v>
      </c>
      <c r="J3" s="22">
        <f t="shared" si="0"/>
        <v>44.9</v>
      </c>
      <c r="K3" s="21">
        <v>209385</v>
      </c>
      <c r="L3" s="21">
        <f>H3-193518</f>
        <v>6482</v>
      </c>
      <c r="M3" s="21">
        <v>15867</v>
      </c>
      <c r="N3" s="67">
        <f t="shared" si="1"/>
        <v>7.9335000000000003E-2</v>
      </c>
      <c r="O3" s="23">
        <v>78.16</v>
      </c>
      <c r="P3" s="24">
        <v>105</v>
      </c>
      <c r="Q3" s="25">
        <v>0.193</v>
      </c>
      <c r="R3" s="25">
        <v>0.193</v>
      </c>
      <c r="S3" s="21">
        <f t="shared" si="2"/>
        <v>82.932446264073704</v>
      </c>
      <c r="T3" s="21">
        <f t="shared" si="3"/>
        <v>33585.492227979274</v>
      </c>
      <c r="U3" s="26">
        <f t="shared" si="4"/>
        <v>0.77101680964139752</v>
      </c>
      <c r="V3" s="25">
        <v>80</v>
      </c>
      <c r="W3" s="25">
        <f t="shared" si="5"/>
        <v>40000</v>
      </c>
      <c r="X3" s="25">
        <f t="shared" si="6"/>
        <v>500</v>
      </c>
      <c r="Y3" s="27" t="s">
        <v>2038</v>
      </c>
      <c r="Z3" s="19" t="s">
        <v>35</v>
      </c>
      <c r="AA3" s="19" t="s">
        <v>35</v>
      </c>
      <c r="AB3" s="19" t="s">
        <v>2033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2033</v>
      </c>
      <c r="B4" s="10" t="s">
        <v>2061</v>
      </c>
      <c r="C4" s="10" t="s">
        <v>2062</v>
      </c>
      <c r="D4" s="11">
        <v>45607</v>
      </c>
      <c r="E4" s="12">
        <v>220000</v>
      </c>
      <c r="F4" s="10" t="s">
        <v>32</v>
      </c>
      <c r="G4" s="10" t="s">
        <v>33</v>
      </c>
      <c r="H4" s="12">
        <v>220000</v>
      </c>
      <c r="I4" s="12">
        <v>106300</v>
      </c>
      <c r="J4" s="13">
        <f t="shared" si="0"/>
        <v>48.318181818181813</v>
      </c>
      <c r="K4" s="12">
        <v>224011</v>
      </c>
      <c r="L4" s="12">
        <f>H4-208069</f>
        <v>11931</v>
      </c>
      <c r="M4" s="12">
        <v>15942</v>
      </c>
      <c r="N4" s="66">
        <f t="shared" si="1"/>
        <v>7.2463636363636369E-2</v>
      </c>
      <c r="O4" s="14">
        <v>78.53</v>
      </c>
      <c r="P4" s="15">
        <v>106</v>
      </c>
      <c r="Q4" s="16">
        <v>0.19500000000000001</v>
      </c>
      <c r="R4" s="16">
        <v>0.19500000000000001</v>
      </c>
      <c r="S4" s="12">
        <f t="shared" si="2"/>
        <v>151.92919903221699</v>
      </c>
      <c r="T4" s="12">
        <f t="shared" si="3"/>
        <v>61184.615384615383</v>
      </c>
      <c r="U4" s="17">
        <f t="shared" si="4"/>
        <v>1.4046054955145864</v>
      </c>
      <c r="V4" s="16">
        <v>80</v>
      </c>
      <c r="W4" s="16">
        <f t="shared" si="5"/>
        <v>44000</v>
      </c>
      <c r="X4" s="16">
        <f t="shared" si="6"/>
        <v>550</v>
      </c>
      <c r="Y4" s="18" t="s">
        <v>2038</v>
      </c>
      <c r="Z4" s="10" t="s">
        <v>35</v>
      </c>
      <c r="AA4" s="10" t="s">
        <v>35</v>
      </c>
      <c r="AB4" s="10" t="s">
        <v>2033</v>
      </c>
      <c r="AC4" s="10">
        <v>0</v>
      </c>
      <c r="AD4" s="10">
        <v>1</v>
      </c>
      <c r="AE4" s="10" t="s">
        <v>42</v>
      </c>
      <c r="AF4" s="10" t="s">
        <v>35</v>
      </c>
      <c r="AG4" s="10" t="s">
        <v>38</v>
      </c>
      <c r="AH4" s="10" t="s">
        <v>92</v>
      </c>
    </row>
    <row r="5" spans="1:34" x14ac:dyDescent="0.3">
      <c r="A5" s="74" t="s">
        <v>2033</v>
      </c>
      <c r="B5" s="10" t="s">
        <v>2069</v>
      </c>
      <c r="C5" s="10" t="s">
        <v>2070</v>
      </c>
      <c r="D5" s="11">
        <v>45735</v>
      </c>
      <c r="E5" s="12">
        <v>205000</v>
      </c>
      <c r="F5" s="10" t="s">
        <v>32</v>
      </c>
      <c r="G5" s="10" t="s">
        <v>33</v>
      </c>
      <c r="H5" s="12">
        <v>205000</v>
      </c>
      <c r="I5" s="12">
        <v>98200</v>
      </c>
      <c r="J5" s="13">
        <f t="shared" si="0"/>
        <v>47.90243902439024</v>
      </c>
      <c r="K5" s="12">
        <v>205123</v>
      </c>
      <c r="L5" s="12">
        <f>H5-189058</f>
        <v>15942</v>
      </c>
      <c r="M5" s="12">
        <v>16065</v>
      </c>
      <c r="N5" s="66">
        <f t="shared" si="1"/>
        <v>7.8365853658536586E-2</v>
      </c>
      <c r="O5" s="14">
        <v>79.13</v>
      </c>
      <c r="P5" s="15">
        <v>105</v>
      </c>
      <c r="Q5" s="16">
        <v>0.19500000000000001</v>
      </c>
      <c r="R5" s="16">
        <v>0.19500000000000001</v>
      </c>
      <c r="S5" s="12">
        <f t="shared" si="2"/>
        <v>201.46594212056112</v>
      </c>
      <c r="T5" s="12">
        <f t="shared" si="3"/>
        <v>81753.846153846156</v>
      </c>
      <c r="U5" s="17">
        <f t="shared" si="4"/>
        <v>1.8768100586282406</v>
      </c>
      <c r="V5" s="16">
        <v>81</v>
      </c>
      <c r="W5" s="16">
        <f t="shared" si="5"/>
        <v>41000</v>
      </c>
      <c r="X5" s="16">
        <f t="shared" si="6"/>
        <v>506.17283950617286</v>
      </c>
      <c r="Y5" s="18" t="s">
        <v>2038</v>
      </c>
      <c r="Z5" s="10" t="s">
        <v>35</v>
      </c>
      <c r="AA5" s="10" t="s">
        <v>35</v>
      </c>
      <c r="AB5" s="10" t="s">
        <v>2033</v>
      </c>
      <c r="AC5" s="10">
        <v>0</v>
      </c>
      <c r="AD5" s="10">
        <v>1</v>
      </c>
      <c r="AE5" s="10" t="s">
        <v>42</v>
      </c>
      <c r="AF5" s="10" t="s">
        <v>35</v>
      </c>
      <c r="AG5" s="10" t="s">
        <v>38</v>
      </c>
      <c r="AH5" s="10" t="s">
        <v>92</v>
      </c>
    </row>
    <row r="6" spans="1:34" x14ac:dyDescent="0.3">
      <c r="A6" s="74" t="s">
        <v>2033</v>
      </c>
      <c r="B6" s="10" t="s">
        <v>2036</v>
      </c>
      <c r="C6" s="10" t="s">
        <v>2037</v>
      </c>
      <c r="D6" s="11">
        <v>45520</v>
      </c>
      <c r="E6" s="12">
        <v>215000</v>
      </c>
      <c r="F6" s="10" t="s">
        <v>32</v>
      </c>
      <c r="G6" s="10" t="s">
        <v>33</v>
      </c>
      <c r="H6" s="12">
        <v>215000</v>
      </c>
      <c r="I6" s="12">
        <v>99100</v>
      </c>
      <c r="J6" s="13">
        <f t="shared" si="0"/>
        <v>46.093023255813954</v>
      </c>
      <c r="K6" s="12">
        <v>204572</v>
      </c>
      <c r="L6" s="12">
        <f>H6-191821</f>
        <v>23179</v>
      </c>
      <c r="M6" s="12">
        <v>12751</v>
      </c>
      <c r="N6" s="66">
        <f t="shared" si="1"/>
        <v>5.9306976744186043E-2</v>
      </c>
      <c r="O6" s="14">
        <v>62.81</v>
      </c>
      <c r="P6" s="15">
        <v>120.55</v>
      </c>
      <c r="Q6" s="16">
        <v>0.16600000000000001</v>
      </c>
      <c r="R6" s="16">
        <v>0.16600000000000001</v>
      </c>
      <c r="S6" s="12">
        <f t="shared" si="2"/>
        <v>369.03359337685083</v>
      </c>
      <c r="T6" s="12">
        <f t="shared" si="3"/>
        <v>139632.53012048191</v>
      </c>
      <c r="U6" s="17">
        <f t="shared" si="4"/>
        <v>3.205521811764966</v>
      </c>
      <c r="V6" s="16">
        <v>60</v>
      </c>
      <c r="W6" s="16">
        <f t="shared" si="5"/>
        <v>43000</v>
      </c>
      <c r="X6" s="16">
        <f t="shared" si="6"/>
        <v>716.66666666666663</v>
      </c>
      <c r="Y6" s="18" t="s">
        <v>2038</v>
      </c>
      <c r="Z6" s="10" t="s">
        <v>35</v>
      </c>
      <c r="AA6" s="10" t="s">
        <v>35</v>
      </c>
      <c r="AB6" s="10" t="s">
        <v>2033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2033</v>
      </c>
      <c r="B7" s="10" t="s">
        <v>2067</v>
      </c>
      <c r="C7" s="10" t="s">
        <v>2068</v>
      </c>
      <c r="D7" s="11">
        <v>45434</v>
      </c>
      <c r="E7" s="12">
        <v>220000</v>
      </c>
      <c r="F7" s="10" t="s">
        <v>32</v>
      </c>
      <c r="G7" s="10" t="s">
        <v>33</v>
      </c>
      <c r="H7" s="12">
        <v>220000</v>
      </c>
      <c r="I7" s="12">
        <v>98100</v>
      </c>
      <c r="J7" s="13">
        <f t="shared" si="0"/>
        <v>44.590909090909093</v>
      </c>
      <c r="K7" s="12">
        <v>204904</v>
      </c>
      <c r="L7" s="12">
        <f>H7-188839</f>
        <v>31161</v>
      </c>
      <c r="M7" s="12">
        <v>16065</v>
      </c>
      <c r="N7" s="66">
        <f t="shared" si="1"/>
        <v>7.3022727272727267E-2</v>
      </c>
      <c r="O7" s="14">
        <v>79.13</v>
      </c>
      <c r="P7" s="15">
        <v>105</v>
      </c>
      <c r="Q7" s="16">
        <v>0.19500000000000001</v>
      </c>
      <c r="R7" s="16">
        <v>0.19500000000000001</v>
      </c>
      <c r="S7" s="12">
        <f t="shared" si="2"/>
        <v>393.79502085176296</v>
      </c>
      <c r="T7" s="12">
        <f t="shared" si="3"/>
        <v>159800</v>
      </c>
      <c r="U7" s="17">
        <f t="shared" si="4"/>
        <v>3.6685032139577594</v>
      </c>
      <c r="V7" s="16">
        <v>81</v>
      </c>
      <c r="W7" s="16">
        <f t="shared" si="5"/>
        <v>44000</v>
      </c>
      <c r="X7" s="16">
        <f t="shared" si="6"/>
        <v>543.20987654320993</v>
      </c>
      <c r="Y7" s="18" t="s">
        <v>2038</v>
      </c>
      <c r="Z7" s="10" t="s">
        <v>35</v>
      </c>
      <c r="AA7" s="10" t="s">
        <v>35</v>
      </c>
      <c r="AB7" s="10" t="s">
        <v>2033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2033</v>
      </c>
      <c r="B8" s="19" t="s">
        <v>2065</v>
      </c>
      <c r="C8" s="19" t="s">
        <v>2066</v>
      </c>
      <c r="D8" s="20">
        <v>45385</v>
      </c>
      <c r="E8" s="21">
        <v>226000</v>
      </c>
      <c r="F8" s="19" t="s">
        <v>32</v>
      </c>
      <c r="G8" s="19" t="s">
        <v>33</v>
      </c>
      <c r="H8" s="21">
        <v>226000</v>
      </c>
      <c r="I8" s="21">
        <v>100300</v>
      </c>
      <c r="J8" s="22">
        <f t="shared" si="0"/>
        <v>44.380530973451329</v>
      </c>
      <c r="K8" s="21">
        <v>207732</v>
      </c>
      <c r="L8" s="21">
        <f>H8-191790</f>
        <v>34210</v>
      </c>
      <c r="M8" s="21">
        <v>15942</v>
      </c>
      <c r="N8" s="67">
        <f t="shared" si="1"/>
        <v>7.0539823008849561E-2</v>
      </c>
      <c r="O8" s="23">
        <v>78.53</v>
      </c>
      <c r="P8" s="24">
        <v>106</v>
      </c>
      <c r="Q8" s="25">
        <v>0.19500000000000001</v>
      </c>
      <c r="R8" s="25">
        <v>0.19500000000000001</v>
      </c>
      <c r="S8" s="21">
        <f t="shared" si="2"/>
        <v>435.62969565771044</v>
      </c>
      <c r="T8" s="21">
        <f t="shared" si="3"/>
        <v>175435.89743589744</v>
      </c>
      <c r="U8" s="26">
        <f t="shared" si="4"/>
        <v>4.0274540274540271</v>
      </c>
      <c r="V8" s="25">
        <v>80</v>
      </c>
      <c r="W8" s="25">
        <f t="shared" si="5"/>
        <v>45200</v>
      </c>
      <c r="X8" s="25">
        <f t="shared" si="6"/>
        <v>565</v>
      </c>
      <c r="Y8" s="27" t="s">
        <v>2038</v>
      </c>
      <c r="Z8" s="19" t="s">
        <v>35</v>
      </c>
      <c r="AA8" s="19" t="s">
        <v>35</v>
      </c>
      <c r="AB8" s="19" t="s">
        <v>2033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2033</v>
      </c>
      <c r="B9" s="19" t="s">
        <v>2057</v>
      </c>
      <c r="C9" s="19" t="s">
        <v>2058</v>
      </c>
      <c r="D9" s="20">
        <v>45527</v>
      </c>
      <c r="E9" s="21">
        <v>230000</v>
      </c>
      <c r="F9" s="19" t="s">
        <v>32</v>
      </c>
      <c r="G9" s="19" t="s">
        <v>33</v>
      </c>
      <c r="H9" s="21">
        <v>230000</v>
      </c>
      <c r="I9" s="21">
        <v>100300</v>
      </c>
      <c r="J9" s="22">
        <f t="shared" si="0"/>
        <v>43.608695652173914</v>
      </c>
      <c r="K9" s="21">
        <v>207503</v>
      </c>
      <c r="L9" s="21">
        <f>H9-191561</f>
        <v>38439</v>
      </c>
      <c r="M9" s="21">
        <v>15942</v>
      </c>
      <c r="N9" s="67">
        <f t="shared" si="1"/>
        <v>6.9313043478260866E-2</v>
      </c>
      <c r="O9" s="23">
        <v>78.53</v>
      </c>
      <c r="P9" s="24">
        <v>106</v>
      </c>
      <c r="Q9" s="25">
        <v>0.19500000000000001</v>
      </c>
      <c r="R9" s="25">
        <v>0.19500000000000001</v>
      </c>
      <c r="S9" s="21">
        <f t="shared" si="2"/>
        <v>489.48172672863871</v>
      </c>
      <c r="T9" s="21">
        <f t="shared" si="3"/>
        <v>197123.07692307691</v>
      </c>
      <c r="U9" s="26">
        <f t="shared" si="4"/>
        <v>4.5253231616867975</v>
      </c>
      <c r="V9" s="25">
        <v>80</v>
      </c>
      <c r="W9" s="25">
        <f t="shared" si="5"/>
        <v>46000</v>
      </c>
      <c r="X9" s="25">
        <f t="shared" si="6"/>
        <v>575</v>
      </c>
      <c r="Y9" s="27" t="s">
        <v>2038</v>
      </c>
      <c r="Z9" s="19" t="s">
        <v>35</v>
      </c>
      <c r="AA9" s="19" t="s">
        <v>35</v>
      </c>
      <c r="AB9" s="19" t="s">
        <v>2033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5" t="s">
        <v>2033</v>
      </c>
      <c r="B10" s="19" t="s">
        <v>2059</v>
      </c>
      <c r="C10" s="19" t="s">
        <v>2060</v>
      </c>
      <c r="D10" s="20">
        <v>45531</v>
      </c>
      <c r="E10" s="21">
        <v>245000</v>
      </c>
      <c r="F10" s="19" t="s">
        <v>32</v>
      </c>
      <c r="G10" s="19" t="s">
        <v>33</v>
      </c>
      <c r="H10" s="21">
        <v>245000</v>
      </c>
      <c r="I10" s="21">
        <v>102500</v>
      </c>
      <c r="J10" s="22">
        <f t="shared" si="0"/>
        <v>41.836734693877553</v>
      </c>
      <c r="K10" s="21">
        <v>211908</v>
      </c>
      <c r="L10" s="21">
        <f>H10-195748</f>
        <v>49252</v>
      </c>
      <c r="M10" s="21">
        <v>16160</v>
      </c>
      <c r="N10" s="67">
        <f t="shared" si="1"/>
        <v>6.5959183673469382E-2</v>
      </c>
      <c r="O10" s="23">
        <v>79.599999999999994</v>
      </c>
      <c r="P10" s="24">
        <v>106.03</v>
      </c>
      <c r="Q10" s="25">
        <v>0.19900000000000001</v>
      </c>
      <c r="R10" s="25">
        <v>0.19900000000000001</v>
      </c>
      <c r="S10" s="21">
        <f t="shared" si="2"/>
        <v>618.74371859296491</v>
      </c>
      <c r="T10" s="21">
        <f t="shared" si="3"/>
        <v>247497.48743718592</v>
      </c>
      <c r="U10" s="26">
        <f t="shared" si="4"/>
        <v>5.6817605013128079</v>
      </c>
      <c r="V10" s="25">
        <v>80</v>
      </c>
      <c r="W10" s="25">
        <f t="shared" si="5"/>
        <v>49000</v>
      </c>
      <c r="X10" s="25">
        <f t="shared" si="6"/>
        <v>612.5</v>
      </c>
      <c r="Y10" s="27" t="s">
        <v>2038</v>
      </c>
      <c r="Z10" s="19" t="s">
        <v>35</v>
      </c>
      <c r="AA10" s="19" t="s">
        <v>35</v>
      </c>
      <c r="AB10" s="19" t="s">
        <v>2033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2033</v>
      </c>
      <c r="B11" s="10" t="s">
        <v>2055</v>
      </c>
      <c r="C11" s="10" t="s">
        <v>2056</v>
      </c>
      <c r="D11" s="11">
        <v>45653</v>
      </c>
      <c r="E11" s="12">
        <v>265000</v>
      </c>
      <c r="F11" s="10" t="s">
        <v>32</v>
      </c>
      <c r="G11" s="10" t="s">
        <v>33</v>
      </c>
      <c r="H11" s="12">
        <v>265000</v>
      </c>
      <c r="I11" s="12">
        <v>108700</v>
      </c>
      <c r="J11" s="13">
        <f t="shared" si="0"/>
        <v>41.018867924528301</v>
      </c>
      <c r="K11" s="12">
        <v>227571</v>
      </c>
      <c r="L11" s="12">
        <f>H11-210802</f>
        <v>54198</v>
      </c>
      <c r="M11" s="12">
        <v>16769</v>
      </c>
      <c r="N11" s="66">
        <f t="shared" si="1"/>
        <v>6.327924528301887E-2</v>
      </c>
      <c r="O11" s="14">
        <v>82.6</v>
      </c>
      <c r="P11" s="15">
        <v>101</v>
      </c>
      <c r="Q11" s="16">
        <v>0.20100000000000001</v>
      </c>
      <c r="R11" s="16">
        <v>0.20100000000000001</v>
      </c>
      <c r="S11" s="12">
        <f t="shared" si="2"/>
        <v>656.1501210653754</v>
      </c>
      <c r="T11" s="12">
        <f t="shared" si="3"/>
        <v>269641.7910447761</v>
      </c>
      <c r="U11" s="17">
        <f t="shared" si="4"/>
        <v>6.1901237613584961</v>
      </c>
      <c r="V11" s="16">
        <v>85.14</v>
      </c>
      <c r="W11" s="16">
        <f t="shared" si="5"/>
        <v>53000</v>
      </c>
      <c r="X11" s="16">
        <f t="shared" si="6"/>
        <v>622.50411087620387</v>
      </c>
      <c r="Y11" s="18" t="s">
        <v>2038</v>
      </c>
      <c r="Z11" s="10" t="s">
        <v>35</v>
      </c>
      <c r="AA11" s="10" t="s">
        <v>35</v>
      </c>
      <c r="AB11" s="10" t="s">
        <v>2033</v>
      </c>
      <c r="AC11" s="10">
        <v>0</v>
      </c>
      <c r="AD11" s="10">
        <v>1</v>
      </c>
      <c r="AE11" s="10" t="s">
        <v>205</v>
      </c>
      <c r="AF11" s="10" t="s">
        <v>35</v>
      </c>
      <c r="AG11" s="10" t="s">
        <v>38</v>
      </c>
      <c r="AH11" s="10" t="s">
        <v>92</v>
      </c>
    </row>
    <row r="12" spans="1:34" ht="15" thickBot="1" x14ac:dyDescent="0.35">
      <c r="A12" s="74" t="s">
        <v>2033</v>
      </c>
      <c r="B12" s="10" t="s">
        <v>2045</v>
      </c>
      <c r="C12" s="10" t="s">
        <v>2046</v>
      </c>
      <c r="D12" s="11">
        <v>45579</v>
      </c>
      <c r="E12" s="12">
        <v>231000</v>
      </c>
      <c r="F12" s="10" t="s">
        <v>32</v>
      </c>
      <c r="G12" s="10" t="s">
        <v>33</v>
      </c>
      <c r="H12" s="12">
        <v>231000</v>
      </c>
      <c r="I12" s="12">
        <v>94700</v>
      </c>
      <c r="J12" s="13">
        <f t="shared" si="0"/>
        <v>40.995670995670999</v>
      </c>
      <c r="K12" s="12">
        <v>195270</v>
      </c>
      <c r="L12" s="12">
        <f>H12-181008</f>
        <v>49992</v>
      </c>
      <c r="M12" s="12">
        <v>14262</v>
      </c>
      <c r="N12" s="66">
        <f t="shared" si="1"/>
        <v>6.1740259740259741E-2</v>
      </c>
      <c r="O12" s="14">
        <v>70.25</v>
      </c>
      <c r="P12" s="15">
        <v>105.48</v>
      </c>
      <c r="Q12" s="16">
        <v>0.17899999999999999</v>
      </c>
      <c r="R12" s="16">
        <v>0.17899999999999999</v>
      </c>
      <c r="S12" s="12">
        <f t="shared" si="2"/>
        <v>711.62989323843419</v>
      </c>
      <c r="T12" s="12">
        <f t="shared" si="3"/>
        <v>279284.91620111733</v>
      </c>
      <c r="U12" s="17">
        <f t="shared" si="4"/>
        <v>6.4114994536528309</v>
      </c>
      <c r="V12" s="16">
        <v>67.06</v>
      </c>
      <c r="W12" s="16">
        <f t="shared" si="5"/>
        <v>46200</v>
      </c>
      <c r="X12" s="16">
        <f t="shared" si="6"/>
        <v>688.93528183716069</v>
      </c>
      <c r="Y12" s="18" t="s">
        <v>2038</v>
      </c>
      <c r="Z12" s="10" t="s">
        <v>35</v>
      </c>
      <c r="AA12" s="10" t="s">
        <v>35</v>
      </c>
      <c r="AB12" s="10" t="s">
        <v>2033</v>
      </c>
      <c r="AC12" s="10">
        <v>0</v>
      </c>
      <c r="AD12" s="10">
        <v>1</v>
      </c>
      <c r="AE12" s="10" t="s">
        <v>42</v>
      </c>
      <c r="AF12" s="10" t="s">
        <v>35</v>
      </c>
      <c r="AG12" s="10" t="s">
        <v>38</v>
      </c>
      <c r="AH12" s="10" t="s">
        <v>92</v>
      </c>
    </row>
    <row r="13" spans="1:34" ht="15" thickTop="1" x14ac:dyDescent="0.3">
      <c r="A13" s="76"/>
      <c r="B13" s="37"/>
      <c r="C13" s="37"/>
      <c r="D13" s="38" t="s">
        <v>2876</v>
      </c>
      <c r="E13" s="39">
        <f>+SUM(E2:E12)</f>
        <v>2497000</v>
      </c>
      <c r="F13" s="37"/>
      <c r="G13" s="37"/>
      <c r="H13" s="39">
        <f>+SUM(H2:H12)</f>
        <v>2497000</v>
      </c>
      <c r="I13" s="39">
        <f>+SUM(I2:I12)</f>
        <v>1117200</v>
      </c>
      <c r="J13" s="40"/>
      <c r="K13" s="39">
        <f>+SUM(K2:K12)</f>
        <v>2348193</v>
      </c>
      <c r="L13" s="39">
        <f>+SUM(L2:L12)</f>
        <v>320514</v>
      </c>
      <c r="M13" s="39">
        <f>+SUM(M2:M12)</f>
        <v>171707</v>
      </c>
      <c r="N13" s="81">
        <f>AVERAGE(N2:N12)</f>
        <v>6.9068249929358616E-2</v>
      </c>
      <c r="O13" s="41">
        <f>+SUM(O2:O12)</f>
        <v>845.80000000000007</v>
      </c>
      <c r="P13" s="42"/>
      <c r="Q13" s="43">
        <f>+SUM(Q2:Q12)</f>
        <v>2.1080000000000001</v>
      </c>
      <c r="R13" s="43">
        <f>+SUM(R2:R12)</f>
        <v>2.1080000000000001</v>
      </c>
      <c r="S13" s="39"/>
      <c r="T13" s="39"/>
      <c r="U13" s="44"/>
      <c r="V13" s="43"/>
      <c r="W13" s="82">
        <f>AVERAGE(W2:W12)</f>
        <v>45400</v>
      </c>
      <c r="X13" s="83">
        <f>AVERAGE(X2:X12)</f>
        <v>589.08988867540131</v>
      </c>
      <c r="Y13" s="45"/>
      <c r="Z13" s="37"/>
      <c r="AA13" s="37"/>
      <c r="AB13" s="37"/>
      <c r="AC13" s="37"/>
      <c r="AD13" s="37"/>
      <c r="AE13" s="37"/>
      <c r="AF13" s="37"/>
      <c r="AG13" s="37"/>
      <c r="AH13" s="37"/>
    </row>
    <row r="14" spans="1:34" x14ac:dyDescent="0.3">
      <c r="A14" s="77"/>
      <c r="B14" s="28"/>
      <c r="C14" s="28"/>
      <c r="D14" s="29"/>
      <c r="E14" s="30"/>
      <c r="F14" s="28"/>
      <c r="G14" s="28"/>
      <c r="H14" s="30"/>
      <c r="I14" s="30" t="s">
        <v>2877</v>
      </c>
      <c r="J14" s="31">
        <f>I13/H13*100</f>
        <v>44.741690028033645</v>
      </c>
      <c r="K14" s="30"/>
      <c r="L14" s="30"/>
      <c r="M14" s="30" t="s">
        <v>2879</v>
      </c>
      <c r="N14" s="79"/>
      <c r="O14" s="32"/>
      <c r="P14" s="33"/>
      <c r="Q14" s="34" t="s">
        <v>2879</v>
      </c>
      <c r="R14" s="34"/>
      <c r="S14" s="30"/>
      <c r="T14" s="30" t="s">
        <v>2879</v>
      </c>
      <c r="U14" s="35"/>
      <c r="V14" s="34"/>
      <c r="W14" s="63"/>
      <c r="X14" s="68"/>
      <c r="Y14" s="36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x14ac:dyDescent="0.3">
      <c r="A15" s="78"/>
      <c r="B15" s="46"/>
      <c r="C15" s="46"/>
      <c r="D15" s="47"/>
      <c r="E15" s="48"/>
      <c r="F15" s="46"/>
      <c r="G15" s="46"/>
      <c r="H15" s="48"/>
      <c r="I15" s="48" t="s">
        <v>2878</v>
      </c>
      <c r="J15" s="49">
        <f>STDEV(J2:J12)</f>
        <v>2.9416828365498611</v>
      </c>
      <c r="K15" s="48"/>
      <c r="L15" s="48"/>
      <c r="M15" s="48" t="s">
        <v>2880</v>
      </c>
      <c r="N15" s="80"/>
      <c r="O15" s="54">
        <f>L13/O13</f>
        <v>378.94774178292738</v>
      </c>
      <c r="P15" s="50"/>
      <c r="Q15" s="51" t="s">
        <v>2881</v>
      </c>
      <c r="R15" s="51">
        <f>L13/Q13</f>
        <v>152046.48956356736</v>
      </c>
      <c r="S15" s="48"/>
      <c r="T15" s="48" t="s">
        <v>2882</v>
      </c>
      <c r="U15" s="52">
        <f>L13/Q13/43560</f>
        <v>3.4905071066016382</v>
      </c>
      <c r="V15" s="51"/>
      <c r="W15" s="64"/>
      <c r="X15" s="69"/>
      <c r="Y15" s="53"/>
      <c r="Z15" s="46"/>
      <c r="AA15" s="46"/>
      <c r="AB15" s="46"/>
      <c r="AC15" s="46"/>
      <c r="AD15" s="46"/>
      <c r="AE15" s="46"/>
      <c r="AF15" s="46"/>
      <c r="AG15" s="46"/>
      <c r="AH15" s="46"/>
    </row>
    <row r="16" spans="1:34" x14ac:dyDescent="0.3">
      <c r="E16" s="94" t="s">
        <v>3099</v>
      </c>
      <c r="L16" s="95"/>
    </row>
    <row r="17" spans="1:34" x14ac:dyDescent="0.3">
      <c r="E17" s="383" t="s">
        <v>3163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3164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3165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3166</v>
      </c>
      <c r="F20" s="383"/>
      <c r="G20" s="383"/>
      <c r="H20" s="383"/>
      <c r="I20" s="383"/>
      <c r="J20" s="96"/>
      <c r="K20" s="96"/>
      <c r="L20" s="96"/>
    </row>
    <row r="21" spans="1:34" x14ac:dyDescent="0.3">
      <c r="E21" s="383" t="s">
        <v>3167</v>
      </c>
      <c r="F21" s="383"/>
      <c r="G21" s="383"/>
      <c r="H21" s="383"/>
      <c r="I21" s="383"/>
      <c r="L21" s="95"/>
    </row>
    <row r="22" spans="1:34" x14ac:dyDescent="0.3">
      <c r="E22" s="383" t="s">
        <v>3100</v>
      </c>
      <c r="F22" s="383"/>
      <c r="G22" s="383"/>
      <c r="H22" s="383"/>
      <c r="I22" s="383"/>
      <c r="L22" s="95"/>
    </row>
    <row r="23" spans="1:34" x14ac:dyDescent="0.3">
      <c r="E23" s="96"/>
      <c r="F23" s="96"/>
      <c r="G23" s="96"/>
      <c r="H23" s="96"/>
      <c r="I23" s="96"/>
      <c r="L23" s="95"/>
    </row>
    <row r="24" spans="1:34" x14ac:dyDescent="0.3">
      <c r="A24" s="55" t="s">
        <v>3092</v>
      </c>
      <c r="E24" s="96"/>
      <c r="F24" s="96"/>
      <c r="G24" s="96"/>
      <c r="H24" s="96"/>
      <c r="I24" s="96"/>
      <c r="L24" s="95"/>
    </row>
    <row r="25" spans="1:34" x14ac:dyDescent="0.3">
      <c r="A25" s="74" t="s">
        <v>2033</v>
      </c>
      <c r="B25" s="10" t="s">
        <v>2047</v>
      </c>
      <c r="C25" s="10" t="s">
        <v>2048</v>
      </c>
      <c r="D25" s="11">
        <v>45335</v>
      </c>
      <c r="E25" s="12">
        <v>270000</v>
      </c>
      <c r="F25" s="10" t="s">
        <v>32</v>
      </c>
      <c r="G25" s="10" t="s">
        <v>33</v>
      </c>
      <c r="H25" s="12">
        <v>270000</v>
      </c>
      <c r="I25" s="12">
        <v>132500</v>
      </c>
      <c r="J25" s="13">
        <f t="shared" ref="J25:J33" si="7">I25/H25*100</f>
        <v>49.074074074074076</v>
      </c>
      <c r="K25" s="12">
        <v>331600</v>
      </c>
      <c r="L25" s="12">
        <f>H25-314321</f>
        <v>-44321</v>
      </c>
      <c r="M25" s="12">
        <v>17279</v>
      </c>
      <c r="N25" s="66">
        <f t="shared" ref="N25:N33" si="8">M25/E25</f>
        <v>6.3996296296296301E-2</v>
      </c>
      <c r="O25" s="14">
        <v>85.11</v>
      </c>
      <c r="P25" s="15">
        <v>124.52</v>
      </c>
      <c r="Q25" s="16">
        <v>0.22900000000000001</v>
      </c>
      <c r="R25" s="16">
        <v>0.22900000000000001</v>
      </c>
      <c r="S25" s="12">
        <f t="shared" ref="S25:S33" si="9">L25/O25</f>
        <v>-520.74961814122901</v>
      </c>
      <c r="T25" s="12">
        <f t="shared" ref="T25:T33" si="10">L25/Q25</f>
        <v>-193541.4847161572</v>
      </c>
      <c r="U25" s="17">
        <f t="shared" ref="U25:U33" si="11">L25/Q25/43560</f>
        <v>-4.4431011183690821</v>
      </c>
      <c r="V25" s="16">
        <v>80</v>
      </c>
      <c r="W25" s="16">
        <f t="shared" ref="W25:W33" si="12">0.2*E25</f>
        <v>54000</v>
      </c>
      <c r="X25" s="16">
        <f t="shared" ref="X25:X33" si="13">W25/V25</f>
        <v>675</v>
      </c>
      <c r="Y25" s="18" t="s">
        <v>2038</v>
      </c>
      <c r="Z25" s="10" t="s">
        <v>35</v>
      </c>
      <c r="AA25" s="10" t="s">
        <v>35</v>
      </c>
      <c r="AB25" s="10" t="s">
        <v>2033</v>
      </c>
      <c r="AC25" s="10">
        <v>0</v>
      </c>
      <c r="AD25" s="10">
        <v>1</v>
      </c>
      <c r="AE25" s="10" t="s">
        <v>37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5" t="s">
        <v>2033</v>
      </c>
      <c r="B26" s="19" t="s">
        <v>2043</v>
      </c>
      <c r="C26" s="19" t="s">
        <v>2044</v>
      </c>
      <c r="D26" s="20">
        <v>45548</v>
      </c>
      <c r="E26" s="21">
        <v>150000</v>
      </c>
      <c r="F26" s="19" t="s">
        <v>32</v>
      </c>
      <c r="G26" s="19" t="s">
        <v>33</v>
      </c>
      <c r="H26" s="21">
        <v>150000</v>
      </c>
      <c r="I26" s="21">
        <v>94900</v>
      </c>
      <c r="J26" s="22">
        <f t="shared" si="7"/>
        <v>63.266666666666673</v>
      </c>
      <c r="K26" s="21">
        <v>200352</v>
      </c>
      <c r="L26" s="21">
        <f>H26-184767</f>
        <v>-34767</v>
      </c>
      <c r="M26" s="21">
        <v>15585</v>
      </c>
      <c r="N26" s="67">
        <f t="shared" si="8"/>
        <v>0.10390000000000001</v>
      </c>
      <c r="O26" s="23">
        <v>76.77</v>
      </c>
      <c r="P26" s="24">
        <v>179.04</v>
      </c>
      <c r="Q26" s="25">
        <v>0.247</v>
      </c>
      <c r="R26" s="25">
        <v>0.247</v>
      </c>
      <c r="S26" s="21">
        <f t="shared" si="9"/>
        <v>-452.87221570926147</v>
      </c>
      <c r="T26" s="21">
        <f t="shared" si="10"/>
        <v>-140757.08502024293</v>
      </c>
      <c r="U26" s="26">
        <f t="shared" si="11"/>
        <v>-3.2313380399504803</v>
      </c>
      <c r="V26" s="25">
        <v>60.24</v>
      </c>
      <c r="W26" s="25">
        <f t="shared" si="12"/>
        <v>30000</v>
      </c>
      <c r="X26" s="25">
        <f t="shared" si="13"/>
        <v>498.00796812749002</v>
      </c>
      <c r="Y26" s="27" t="s">
        <v>2038</v>
      </c>
      <c r="Z26" s="19" t="s">
        <v>35</v>
      </c>
      <c r="AA26" s="19" t="s">
        <v>35</v>
      </c>
      <c r="AB26" s="19" t="s">
        <v>2033</v>
      </c>
      <c r="AC26" s="19">
        <v>0</v>
      </c>
      <c r="AD26" s="19">
        <v>1</v>
      </c>
      <c r="AE26" s="19" t="s">
        <v>412</v>
      </c>
      <c r="AF26" s="19" t="s">
        <v>43</v>
      </c>
      <c r="AG26" s="19" t="s">
        <v>38</v>
      </c>
      <c r="AH26" s="19" t="s">
        <v>92</v>
      </c>
    </row>
    <row r="27" spans="1:34" x14ac:dyDescent="0.3">
      <c r="A27" s="75" t="s">
        <v>2033</v>
      </c>
      <c r="B27" s="19" t="s">
        <v>2041</v>
      </c>
      <c r="C27" s="19" t="s">
        <v>2042</v>
      </c>
      <c r="D27" s="20">
        <v>45446</v>
      </c>
      <c r="E27" s="21">
        <v>270000</v>
      </c>
      <c r="F27" s="19" t="s">
        <v>32</v>
      </c>
      <c r="G27" s="19" t="s">
        <v>33</v>
      </c>
      <c r="H27" s="21">
        <v>270000</v>
      </c>
      <c r="I27" s="21">
        <v>94000</v>
      </c>
      <c r="J27" s="22">
        <f t="shared" si="7"/>
        <v>34.814814814814817</v>
      </c>
      <c r="K27" s="21">
        <v>197853</v>
      </c>
      <c r="L27" s="21">
        <f>H27-184219</f>
        <v>85781</v>
      </c>
      <c r="M27" s="21">
        <v>13634</v>
      </c>
      <c r="N27" s="67">
        <f t="shared" si="8"/>
        <v>5.0496296296296296E-2</v>
      </c>
      <c r="O27" s="23">
        <v>67.16</v>
      </c>
      <c r="P27" s="24">
        <v>112</v>
      </c>
      <c r="Q27" s="25">
        <v>0.17100000000000001</v>
      </c>
      <c r="R27" s="25">
        <v>0.17100000000000001</v>
      </c>
      <c r="S27" s="21">
        <f t="shared" si="9"/>
        <v>1277.263251935676</v>
      </c>
      <c r="T27" s="21">
        <f t="shared" si="10"/>
        <v>501643.27485380112</v>
      </c>
      <c r="U27" s="26">
        <f t="shared" si="11"/>
        <v>11.516144969095526</v>
      </c>
      <c r="V27" s="25">
        <v>66.56</v>
      </c>
      <c r="W27" s="25">
        <f t="shared" si="12"/>
        <v>54000</v>
      </c>
      <c r="X27" s="25">
        <f t="shared" si="13"/>
        <v>811.29807692307691</v>
      </c>
      <c r="Y27" s="27" t="s">
        <v>2038</v>
      </c>
      <c r="Z27" s="19" t="s">
        <v>35</v>
      </c>
      <c r="AA27" s="19" t="s">
        <v>35</v>
      </c>
      <c r="AB27" s="19" t="s">
        <v>2033</v>
      </c>
      <c r="AC27" s="19">
        <v>0</v>
      </c>
      <c r="AD27" s="19">
        <v>1</v>
      </c>
      <c r="AE27" s="19" t="s">
        <v>42</v>
      </c>
      <c r="AF27" s="19" t="s">
        <v>43</v>
      </c>
      <c r="AG27" s="19" t="s">
        <v>38</v>
      </c>
      <c r="AH27" s="19" t="s">
        <v>92</v>
      </c>
    </row>
    <row r="28" spans="1:34" x14ac:dyDescent="0.3">
      <c r="A28" s="74" t="s">
        <v>2033</v>
      </c>
      <c r="B28" s="10" t="s">
        <v>2053</v>
      </c>
      <c r="C28" s="10" t="s">
        <v>2054</v>
      </c>
      <c r="D28" s="11">
        <v>45601</v>
      </c>
      <c r="E28" s="12">
        <v>275000</v>
      </c>
      <c r="F28" s="10" t="s">
        <v>32</v>
      </c>
      <c r="G28" s="10" t="s">
        <v>33</v>
      </c>
      <c r="H28" s="12">
        <v>275000</v>
      </c>
      <c r="I28" s="12">
        <v>103500</v>
      </c>
      <c r="J28" s="13">
        <f t="shared" si="7"/>
        <v>37.636363636363633</v>
      </c>
      <c r="K28" s="12">
        <v>212402</v>
      </c>
      <c r="L28" s="12">
        <f>H28-196535</f>
        <v>78465</v>
      </c>
      <c r="M28" s="12">
        <v>15867</v>
      </c>
      <c r="N28" s="66">
        <f t="shared" si="8"/>
        <v>5.7698181818181815E-2</v>
      </c>
      <c r="O28" s="14">
        <v>78.16</v>
      </c>
      <c r="P28" s="15">
        <v>105</v>
      </c>
      <c r="Q28" s="16">
        <v>0.193</v>
      </c>
      <c r="R28" s="16">
        <v>0.193</v>
      </c>
      <c r="S28" s="12">
        <f t="shared" si="9"/>
        <v>1003.9022517911976</v>
      </c>
      <c r="T28" s="12">
        <f t="shared" si="10"/>
        <v>406554.40414507769</v>
      </c>
      <c r="U28" s="17">
        <f t="shared" si="11"/>
        <v>9.3332048701808468</v>
      </c>
      <c r="V28" s="16">
        <v>80</v>
      </c>
      <c r="W28" s="16">
        <f t="shared" si="12"/>
        <v>55000</v>
      </c>
      <c r="X28" s="16">
        <f t="shared" si="13"/>
        <v>687.5</v>
      </c>
      <c r="Y28" s="18" t="s">
        <v>2038</v>
      </c>
      <c r="Z28" s="10" t="s">
        <v>35</v>
      </c>
      <c r="AA28" s="10" t="s">
        <v>35</v>
      </c>
      <c r="AB28" s="10" t="s">
        <v>2033</v>
      </c>
      <c r="AC28" s="10">
        <v>0</v>
      </c>
      <c r="AD28" s="10">
        <v>1</v>
      </c>
      <c r="AE28" s="10" t="s">
        <v>1968</v>
      </c>
      <c r="AF28" s="10" t="s">
        <v>35</v>
      </c>
      <c r="AG28" s="10" t="s">
        <v>38</v>
      </c>
      <c r="AH28" s="10" t="s">
        <v>92</v>
      </c>
    </row>
    <row r="29" spans="1:34" x14ac:dyDescent="0.3">
      <c r="A29" s="74" t="s">
        <v>2033</v>
      </c>
      <c r="B29" s="10" t="s">
        <v>2039</v>
      </c>
      <c r="C29" s="10" t="s">
        <v>2040</v>
      </c>
      <c r="D29" s="11">
        <v>45527</v>
      </c>
      <c r="E29" s="12">
        <v>255000</v>
      </c>
      <c r="F29" s="10" t="s">
        <v>32</v>
      </c>
      <c r="G29" s="10" t="s">
        <v>33</v>
      </c>
      <c r="H29" s="12">
        <v>255000</v>
      </c>
      <c r="I29" s="12">
        <v>93900</v>
      </c>
      <c r="J29" s="13">
        <f t="shared" si="7"/>
        <v>36.823529411764703</v>
      </c>
      <c r="K29" s="12">
        <v>196131</v>
      </c>
      <c r="L29" s="12">
        <f>H29-182349</f>
        <v>72651</v>
      </c>
      <c r="M29" s="12">
        <v>13782</v>
      </c>
      <c r="N29" s="66">
        <f t="shared" si="8"/>
        <v>5.4047058823529413E-2</v>
      </c>
      <c r="O29" s="14">
        <v>67.89</v>
      </c>
      <c r="P29" s="15">
        <v>120</v>
      </c>
      <c r="Q29" s="16">
        <v>0.17899999999999999</v>
      </c>
      <c r="R29" s="16">
        <v>0.17899999999999999</v>
      </c>
      <c r="S29" s="12">
        <f t="shared" si="9"/>
        <v>1070.128148475475</v>
      </c>
      <c r="T29" s="12">
        <f t="shared" si="10"/>
        <v>405871.50837988831</v>
      </c>
      <c r="U29" s="17">
        <f t="shared" si="11"/>
        <v>9.3175277405851311</v>
      </c>
      <c r="V29" s="16">
        <v>65</v>
      </c>
      <c r="W29" s="16">
        <f t="shared" si="12"/>
        <v>51000</v>
      </c>
      <c r="X29" s="16">
        <f t="shared" si="13"/>
        <v>784.61538461538464</v>
      </c>
      <c r="Y29" s="18" t="s">
        <v>2038</v>
      </c>
      <c r="Z29" s="10" t="s">
        <v>35</v>
      </c>
      <c r="AA29" s="10" t="s">
        <v>35</v>
      </c>
      <c r="AB29" s="10" t="s">
        <v>2033</v>
      </c>
      <c r="AC29" s="10">
        <v>0</v>
      </c>
      <c r="AD29" s="10">
        <v>1</v>
      </c>
      <c r="AE29" s="10" t="s">
        <v>42</v>
      </c>
      <c r="AF29" s="10" t="s">
        <v>43</v>
      </c>
      <c r="AG29" s="10" t="s">
        <v>38</v>
      </c>
      <c r="AH29" s="10" t="s">
        <v>92</v>
      </c>
    </row>
    <row r="30" spans="1:34" x14ac:dyDescent="0.3">
      <c r="A30" s="75" t="s">
        <v>2033</v>
      </c>
      <c r="B30" s="19" t="s">
        <v>2065</v>
      </c>
      <c r="C30" s="19" t="s">
        <v>2066</v>
      </c>
      <c r="D30" s="20">
        <v>45296</v>
      </c>
      <c r="E30" s="21">
        <v>169100</v>
      </c>
      <c r="F30" s="19" t="s">
        <v>32</v>
      </c>
      <c r="G30" s="19" t="s">
        <v>33</v>
      </c>
      <c r="H30" s="21">
        <v>169100</v>
      </c>
      <c r="I30" s="21">
        <v>89000</v>
      </c>
      <c r="J30" s="22">
        <f t="shared" si="7"/>
        <v>52.631578947368418</v>
      </c>
      <c r="K30" s="21">
        <v>207732</v>
      </c>
      <c r="L30" s="21">
        <f>H30-191790</f>
        <v>-22690</v>
      </c>
      <c r="M30" s="21">
        <v>15942</v>
      </c>
      <c r="N30" s="67">
        <f t="shared" si="8"/>
        <v>9.4275576581904205E-2</v>
      </c>
      <c r="O30" s="23">
        <v>78.53</v>
      </c>
      <c r="P30" s="24">
        <v>106</v>
      </c>
      <c r="Q30" s="25">
        <v>0.19500000000000001</v>
      </c>
      <c r="R30" s="25">
        <v>0.19500000000000001</v>
      </c>
      <c r="S30" s="21">
        <f t="shared" si="9"/>
        <v>-288.93416528715142</v>
      </c>
      <c r="T30" s="21">
        <f t="shared" si="10"/>
        <v>-116358.97435897436</v>
      </c>
      <c r="U30" s="26">
        <f t="shared" si="11"/>
        <v>-2.6712344894163076</v>
      </c>
      <c r="V30" s="25">
        <v>80</v>
      </c>
      <c r="W30" s="25">
        <f t="shared" si="12"/>
        <v>33820</v>
      </c>
      <c r="X30" s="25">
        <f t="shared" si="13"/>
        <v>422.75</v>
      </c>
      <c r="Y30" s="27" t="s">
        <v>2038</v>
      </c>
      <c r="Z30" s="19" t="s">
        <v>35</v>
      </c>
      <c r="AA30" s="19" t="s">
        <v>35</v>
      </c>
      <c r="AB30" s="19" t="s">
        <v>2033</v>
      </c>
      <c r="AC30" s="19">
        <v>0</v>
      </c>
      <c r="AD30" s="19">
        <v>1</v>
      </c>
      <c r="AE30" s="19" t="s">
        <v>42</v>
      </c>
      <c r="AF30" s="19" t="s">
        <v>43</v>
      </c>
      <c r="AG30" s="19" t="s">
        <v>38</v>
      </c>
      <c r="AH30" s="19" t="s">
        <v>92</v>
      </c>
    </row>
    <row r="31" spans="1:34" x14ac:dyDescent="0.3">
      <c r="A31" s="75" t="s">
        <v>2033</v>
      </c>
      <c r="B31" s="19" t="s">
        <v>2034</v>
      </c>
      <c r="C31" s="19" t="s">
        <v>2035</v>
      </c>
      <c r="D31" s="20">
        <v>45072</v>
      </c>
      <c r="E31" s="21">
        <v>170000</v>
      </c>
      <c r="F31" s="19" t="s">
        <v>32</v>
      </c>
      <c r="G31" s="19" t="s">
        <v>33</v>
      </c>
      <c r="H31" s="21">
        <v>170000</v>
      </c>
      <c r="I31" s="21">
        <v>70500</v>
      </c>
      <c r="J31" s="22">
        <f t="shared" si="7"/>
        <v>41.470588235294123</v>
      </c>
      <c r="K31" s="21">
        <v>210978</v>
      </c>
      <c r="L31" s="21">
        <f>H31-193199</f>
        <v>-23199</v>
      </c>
      <c r="M31" s="21">
        <v>17779</v>
      </c>
      <c r="N31" s="67">
        <f t="shared" si="8"/>
        <v>0.10458235294117647</v>
      </c>
      <c r="O31" s="23">
        <v>87.58</v>
      </c>
      <c r="P31" s="24">
        <v>150</v>
      </c>
      <c r="Q31" s="25">
        <v>0.25800000000000001</v>
      </c>
      <c r="R31" s="25">
        <v>0.25800000000000001</v>
      </c>
      <c r="S31" s="21">
        <f t="shared" si="9"/>
        <v>-264.88924411966201</v>
      </c>
      <c r="T31" s="21">
        <f t="shared" si="10"/>
        <v>-89918.604651162794</v>
      </c>
      <c r="U31" s="26">
        <f t="shared" si="11"/>
        <v>-2.0642471223866572</v>
      </c>
      <c r="V31" s="25">
        <v>75</v>
      </c>
      <c r="W31" s="25">
        <f t="shared" si="12"/>
        <v>34000</v>
      </c>
      <c r="X31" s="25">
        <f t="shared" si="13"/>
        <v>453.33333333333331</v>
      </c>
      <c r="Y31" s="27" t="s">
        <v>2032</v>
      </c>
      <c r="Z31" s="19" t="s">
        <v>35</v>
      </c>
      <c r="AA31" s="19" t="s">
        <v>35</v>
      </c>
      <c r="AB31" s="19" t="s">
        <v>2033</v>
      </c>
      <c r="AC31" s="19">
        <v>0</v>
      </c>
      <c r="AD31" s="19">
        <v>1</v>
      </c>
      <c r="AE31" s="19" t="s">
        <v>37</v>
      </c>
      <c r="AF31" s="19" t="s">
        <v>43</v>
      </c>
      <c r="AG31" s="19" t="s">
        <v>38</v>
      </c>
      <c r="AH31" s="19" t="s">
        <v>92</v>
      </c>
    </row>
    <row r="32" spans="1:34" x14ac:dyDescent="0.3">
      <c r="A32" s="75" t="s">
        <v>2033</v>
      </c>
      <c r="B32" s="19" t="s">
        <v>2049</v>
      </c>
      <c r="C32" s="19" t="s">
        <v>2050</v>
      </c>
      <c r="D32" s="20">
        <v>45652</v>
      </c>
      <c r="E32" s="21">
        <v>180000</v>
      </c>
      <c r="F32" s="19" t="s">
        <v>32</v>
      </c>
      <c r="G32" s="19" t="s">
        <v>33</v>
      </c>
      <c r="H32" s="21">
        <v>180000</v>
      </c>
      <c r="I32" s="21">
        <v>103100</v>
      </c>
      <c r="J32" s="22">
        <f t="shared" si="7"/>
        <v>57.277777777777786</v>
      </c>
      <c r="K32" s="21">
        <v>216962</v>
      </c>
      <c r="L32" s="21">
        <f>H32-198040</f>
        <v>-18040</v>
      </c>
      <c r="M32" s="21">
        <v>18922</v>
      </c>
      <c r="N32" s="67">
        <f t="shared" si="8"/>
        <v>0.10512222222222223</v>
      </c>
      <c r="O32" s="23">
        <v>93.21</v>
      </c>
      <c r="P32" s="24">
        <v>149.33000000000001</v>
      </c>
      <c r="Q32" s="25">
        <v>0.27400000000000002</v>
      </c>
      <c r="R32" s="25">
        <v>0.27400000000000002</v>
      </c>
      <c r="S32" s="21">
        <f t="shared" si="9"/>
        <v>-193.54146550799271</v>
      </c>
      <c r="T32" s="21">
        <f t="shared" si="10"/>
        <v>-65839.416058394156</v>
      </c>
      <c r="U32" s="26">
        <f t="shared" si="11"/>
        <v>-1.51146501511465</v>
      </c>
      <c r="V32" s="25">
        <v>80</v>
      </c>
      <c r="W32" s="25">
        <f t="shared" si="12"/>
        <v>36000</v>
      </c>
      <c r="X32" s="25">
        <f t="shared" si="13"/>
        <v>450</v>
      </c>
      <c r="Y32" s="27" t="s">
        <v>2038</v>
      </c>
      <c r="Z32" s="19" t="s">
        <v>35</v>
      </c>
      <c r="AA32" s="19" t="s">
        <v>35</v>
      </c>
      <c r="AB32" s="19" t="s">
        <v>2033</v>
      </c>
      <c r="AC32" s="19">
        <v>0</v>
      </c>
      <c r="AD32" s="19">
        <v>1</v>
      </c>
      <c r="AE32" s="19" t="s">
        <v>42</v>
      </c>
      <c r="AF32" s="19" t="s">
        <v>35</v>
      </c>
      <c r="AG32" s="19" t="s">
        <v>38</v>
      </c>
      <c r="AH32" s="19" t="s">
        <v>92</v>
      </c>
    </row>
    <row r="33" spans="1:34" x14ac:dyDescent="0.3">
      <c r="A33" s="75" t="s">
        <v>2033</v>
      </c>
      <c r="B33" s="19" t="s">
        <v>2030</v>
      </c>
      <c r="C33" s="19" t="s">
        <v>2031</v>
      </c>
      <c r="D33" s="20">
        <v>45667</v>
      </c>
      <c r="E33" s="21">
        <v>115000</v>
      </c>
      <c r="F33" s="19" t="s">
        <v>32</v>
      </c>
      <c r="G33" s="19" t="s">
        <v>33</v>
      </c>
      <c r="H33" s="21">
        <v>115000</v>
      </c>
      <c r="I33" s="21">
        <v>57400</v>
      </c>
      <c r="J33" s="22">
        <f t="shared" si="7"/>
        <v>49.913043478260875</v>
      </c>
      <c r="K33" s="21">
        <v>135410</v>
      </c>
      <c r="L33" s="21">
        <f>H33-123557</f>
        <v>-8557</v>
      </c>
      <c r="M33" s="21">
        <v>11853</v>
      </c>
      <c r="N33" s="67">
        <f t="shared" si="8"/>
        <v>0.1030695652173913</v>
      </c>
      <c r="O33" s="23">
        <v>58.38</v>
      </c>
      <c r="P33" s="24">
        <v>150</v>
      </c>
      <c r="Q33" s="25">
        <v>0.17199999999999999</v>
      </c>
      <c r="R33" s="25">
        <v>0.17199999999999999</v>
      </c>
      <c r="S33" s="21">
        <f t="shared" si="9"/>
        <v>-146.57416923603972</v>
      </c>
      <c r="T33" s="21">
        <f t="shared" si="10"/>
        <v>-49750.000000000007</v>
      </c>
      <c r="U33" s="26">
        <f t="shared" si="11"/>
        <v>-1.1421028466483014</v>
      </c>
      <c r="V33" s="25">
        <v>50</v>
      </c>
      <c r="W33" s="25">
        <f t="shared" si="12"/>
        <v>23000</v>
      </c>
      <c r="X33" s="25">
        <f t="shared" si="13"/>
        <v>460</v>
      </c>
      <c r="Y33" s="27" t="s">
        <v>2032</v>
      </c>
      <c r="Z33" s="19" t="s">
        <v>35</v>
      </c>
      <c r="AA33" s="19" t="s">
        <v>35</v>
      </c>
      <c r="AB33" s="19" t="s">
        <v>2033</v>
      </c>
      <c r="AC33" s="19">
        <v>0</v>
      </c>
      <c r="AD33" s="19">
        <v>1</v>
      </c>
      <c r="AE33" s="19" t="s">
        <v>42</v>
      </c>
      <c r="AF33" s="19" t="s">
        <v>35</v>
      </c>
      <c r="AG33" s="19" t="s">
        <v>38</v>
      </c>
      <c r="AH33" s="19" t="s">
        <v>92</v>
      </c>
    </row>
  </sheetData>
  <sortState xmlns:xlrd2="http://schemas.microsoft.com/office/spreadsheetml/2017/richdata2" ref="A2:AH21">
    <sortCondition ref="S2:S2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5">
    <tabColor rgb="FF00B050"/>
  </sheetPr>
  <dimension ref="A1:AH203"/>
  <sheetViews>
    <sheetView topLeftCell="O1" workbookViewId="0">
      <selection activeCell="W2" activeCellId="1" sqref="N2 W2:X2"/>
    </sheetView>
  </sheetViews>
  <sheetFormatPr defaultRowHeight="14.4" x14ac:dyDescent="0.3"/>
  <cols>
    <col min="1" max="1" width="11.33203125" style="55" bestFit="1" customWidth="1" collapsed="1"/>
    <col min="2" max="2" width="20.6640625" bestFit="1" customWidth="1" collapsed="1"/>
    <col min="3" max="3" width="27.441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0.8867187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34" x14ac:dyDescent="0.3">
      <c r="B1" t="s">
        <v>3095</v>
      </c>
    </row>
    <row r="2" spans="1:34" x14ac:dyDescent="0.3">
      <c r="A2" s="1" t="s">
        <v>23</v>
      </c>
      <c r="B2" s="1" t="s">
        <v>0</v>
      </c>
      <c r="C2" s="1" t="s">
        <v>1</v>
      </c>
      <c r="D2" s="2" t="s">
        <v>2</v>
      </c>
      <c r="E2" s="3" t="s">
        <v>3</v>
      </c>
      <c r="F2" s="1" t="s">
        <v>4</v>
      </c>
      <c r="G2" s="1" t="s">
        <v>5</v>
      </c>
      <c r="H2" s="3" t="s">
        <v>6</v>
      </c>
      <c r="I2" s="3" t="s">
        <v>7</v>
      </c>
      <c r="J2" s="4" t="s">
        <v>8</v>
      </c>
      <c r="K2" s="3" t="s">
        <v>9</v>
      </c>
      <c r="L2" s="3" t="s">
        <v>10</v>
      </c>
      <c r="M2" s="3" t="s">
        <v>11</v>
      </c>
      <c r="N2" s="339" t="s">
        <v>3066</v>
      </c>
      <c r="O2" s="5" t="s">
        <v>12</v>
      </c>
      <c r="P2" s="6" t="s">
        <v>13</v>
      </c>
      <c r="Q2" s="7" t="s">
        <v>14</v>
      </c>
      <c r="R2" s="7" t="s">
        <v>15</v>
      </c>
      <c r="S2" s="3" t="s">
        <v>16</v>
      </c>
      <c r="T2" s="3" t="s">
        <v>17</v>
      </c>
      <c r="U2" s="8" t="s">
        <v>18</v>
      </c>
      <c r="V2" s="7" t="s">
        <v>19</v>
      </c>
      <c r="W2" s="340" t="s">
        <v>3069</v>
      </c>
      <c r="X2" s="339" t="s">
        <v>3070</v>
      </c>
      <c r="Y2" s="9" t="s">
        <v>20</v>
      </c>
      <c r="Z2" s="1" t="s">
        <v>21</v>
      </c>
      <c r="AA2" s="1" t="s">
        <v>22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27</v>
      </c>
      <c r="AG2" s="1" t="s">
        <v>28</v>
      </c>
      <c r="AH2" s="1" t="s">
        <v>29</v>
      </c>
    </row>
    <row r="3" spans="1:34" x14ac:dyDescent="0.3">
      <c r="A3" s="74" t="s">
        <v>2083</v>
      </c>
      <c r="B3" s="10" t="s">
        <v>2079</v>
      </c>
      <c r="C3" s="10" t="s">
        <v>2080</v>
      </c>
      <c r="D3" s="11">
        <v>45169</v>
      </c>
      <c r="E3" s="12">
        <v>105000</v>
      </c>
      <c r="F3" s="10" t="s">
        <v>32</v>
      </c>
      <c r="G3" s="10" t="s">
        <v>66</v>
      </c>
      <c r="H3" s="12">
        <v>105000</v>
      </c>
      <c r="I3" s="12">
        <v>58600</v>
      </c>
      <c r="J3" s="13">
        <f t="shared" ref="J3:J66" si="0">I3/H3*100</f>
        <v>55.80952380952381</v>
      </c>
      <c r="K3" s="12">
        <v>164902</v>
      </c>
      <c r="L3" s="12">
        <f>H3-146267</f>
        <v>-41267</v>
      </c>
      <c r="M3" s="12">
        <v>18635</v>
      </c>
      <c r="N3" s="66">
        <f t="shared" ref="N3:N66" si="1">M3/E3</f>
        <v>0.17747619047619048</v>
      </c>
      <c r="O3" s="14">
        <v>88.31</v>
      </c>
      <c r="P3" s="15">
        <v>260</v>
      </c>
      <c r="Q3" s="16">
        <v>0.26800000000000002</v>
      </c>
      <c r="R3" s="16">
        <v>0.14899999999999999</v>
      </c>
      <c r="S3" s="12">
        <f t="shared" ref="S3:S66" si="2">L3/O3</f>
        <v>-467.29702185482955</v>
      </c>
      <c r="T3" s="12">
        <f t="shared" ref="T3:T66" si="3">L3/Q3</f>
        <v>-153981.34328358207</v>
      </c>
      <c r="U3" s="17">
        <f t="shared" ref="U3:U66" si="4">L3/Q3/43560</f>
        <v>-3.5349252360785601</v>
      </c>
      <c r="V3" s="16">
        <v>90</v>
      </c>
      <c r="W3" s="16">
        <f t="shared" ref="W3:W66" si="5">0.2*E3</f>
        <v>21000</v>
      </c>
      <c r="X3" s="16">
        <f t="shared" ref="X3:X66" si="6">W3/V3</f>
        <v>233.33333333333334</v>
      </c>
      <c r="Y3" s="18" t="s">
        <v>2081</v>
      </c>
      <c r="Z3" s="10" t="s">
        <v>35</v>
      </c>
      <c r="AA3" s="10" t="s">
        <v>2082</v>
      </c>
      <c r="AB3" s="10" t="s">
        <v>2083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2397</v>
      </c>
      <c r="B4" s="10" t="s">
        <v>2394</v>
      </c>
      <c r="C4" s="10" t="s">
        <v>2395</v>
      </c>
      <c r="D4" s="11">
        <v>45252</v>
      </c>
      <c r="E4" s="12">
        <v>90000</v>
      </c>
      <c r="F4" s="10" t="s">
        <v>32</v>
      </c>
      <c r="G4" s="10" t="s">
        <v>33</v>
      </c>
      <c r="H4" s="12">
        <v>90000</v>
      </c>
      <c r="I4" s="12">
        <v>49800</v>
      </c>
      <c r="J4" s="13">
        <f t="shared" si="0"/>
        <v>55.333333333333336</v>
      </c>
      <c r="K4" s="12">
        <v>145601</v>
      </c>
      <c r="L4" s="12">
        <f>H4-132159</f>
        <v>-42159</v>
      </c>
      <c r="M4" s="12">
        <v>13442</v>
      </c>
      <c r="N4" s="66">
        <f t="shared" si="1"/>
        <v>0.14935555555555555</v>
      </c>
      <c r="O4" s="14">
        <v>90.82</v>
      </c>
      <c r="P4" s="15">
        <v>299.7</v>
      </c>
      <c r="Q4" s="16">
        <v>0.74399999999999999</v>
      </c>
      <c r="R4" s="16">
        <v>0.374</v>
      </c>
      <c r="S4" s="12">
        <f t="shared" si="2"/>
        <v>-464.20391984144464</v>
      </c>
      <c r="T4" s="12">
        <f t="shared" si="3"/>
        <v>-56665.322580645159</v>
      </c>
      <c r="U4" s="17">
        <f t="shared" si="4"/>
        <v>-1.3008568085547558</v>
      </c>
      <c r="V4" s="16">
        <v>80.760000000000005</v>
      </c>
      <c r="W4" s="16">
        <f t="shared" si="5"/>
        <v>18000</v>
      </c>
      <c r="X4" s="16">
        <f t="shared" si="6"/>
        <v>222.88261515601781</v>
      </c>
      <c r="Y4" s="18" t="s">
        <v>2396</v>
      </c>
      <c r="Z4" s="10" t="s">
        <v>35</v>
      </c>
      <c r="AA4" s="10" t="s">
        <v>35</v>
      </c>
      <c r="AB4" s="10" t="s">
        <v>2397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2435</v>
      </c>
      <c r="B5" s="19" t="s">
        <v>2569</v>
      </c>
      <c r="C5" s="19" t="s">
        <v>2570</v>
      </c>
      <c r="D5" s="20">
        <v>45566</v>
      </c>
      <c r="E5" s="21">
        <v>80000</v>
      </c>
      <c r="F5" s="19" t="s">
        <v>32</v>
      </c>
      <c r="G5" s="19" t="s">
        <v>66</v>
      </c>
      <c r="H5" s="21">
        <v>80000</v>
      </c>
      <c r="I5" s="21">
        <v>64700</v>
      </c>
      <c r="J5" s="22">
        <f t="shared" si="0"/>
        <v>80.875</v>
      </c>
      <c r="K5" s="21">
        <v>143219</v>
      </c>
      <c r="L5" s="21">
        <f>H5-125047</f>
        <v>-45047</v>
      </c>
      <c r="M5" s="21">
        <v>18172</v>
      </c>
      <c r="N5" s="67">
        <f t="shared" si="1"/>
        <v>0.22714999999999999</v>
      </c>
      <c r="O5" s="23">
        <v>98.23</v>
      </c>
      <c r="P5" s="24">
        <v>392</v>
      </c>
      <c r="Q5" s="25">
        <v>0.36</v>
      </c>
      <c r="R5" s="25">
        <v>0.18</v>
      </c>
      <c r="S5" s="21">
        <f t="shared" si="2"/>
        <v>-458.58698971800874</v>
      </c>
      <c r="T5" s="21">
        <f t="shared" si="3"/>
        <v>-125130.55555555556</v>
      </c>
      <c r="U5" s="26">
        <f t="shared" si="4"/>
        <v>-2.8726022854810735</v>
      </c>
      <c r="V5" s="25">
        <v>80</v>
      </c>
      <c r="W5" s="25">
        <f t="shared" si="5"/>
        <v>16000</v>
      </c>
      <c r="X5" s="25">
        <f t="shared" si="6"/>
        <v>200</v>
      </c>
      <c r="Y5" s="27" t="s">
        <v>2434</v>
      </c>
      <c r="Z5" s="19" t="s">
        <v>35</v>
      </c>
      <c r="AA5" s="19" t="s">
        <v>2568</v>
      </c>
      <c r="AB5" s="19" t="s">
        <v>2435</v>
      </c>
      <c r="AC5" s="19">
        <v>0</v>
      </c>
      <c r="AD5" s="19">
        <v>1</v>
      </c>
      <c r="AE5" s="19" t="s">
        <v>37</v>
      </c>
      <c r="AF5" s="19" t="s">
        <v>35</v>
      </c>
      <c r="AG5" s="19" t="s">
        <v>38</v>
      </c>
      <c r="AH5" s="19" t="s">
        <v>92</v>
      </c>
    </row>
    <row r="6" spans="1:34" x14ac:dyDescent="0.3">
      <c r="A6" s="75" t="s">
        <v>2025</v>
      </c>
      <c r="B6" s="19" t="s">
        <v>2108</v>
      </c>
      <c r="C6" s="19" t="s">
        <v>2109</v>
      </c>
      <c r="D6" s="20">
        <v>45526</v>
      </c>
      <c r="E6" s="21">
        <v>95000</v>
      </c>
      <c r="F6" s="19" t="s">
        <v>32</v>
      </c>
      <c r="G6" s="19" t="s">
        <v>33</v>
      </c>
      <c r="H6" s="21">
        <v>95000</v>
      </c>
      <c r="I6" s="21">
        <v>60800</v>
      </c>
      <c r="J6" s="22">
        <f t="shared" si="0"/>
        <v>64</v>
      </c>
      <c r="K6" s="21">
        <v>144870</v>
      </c>
      <c r="L6" s="21">
        <f>H6-132200</f>
        <v>-37200</v>
      </c>
      <c r="M6" s="21">
        <v>12670</v>
      </c>
      <c r="N6" s="67">
        <f t="shared" si="1"/>
        <v>0.13336842105263158</v>
      </c>
      <c r="O6" s="23">
        <v>81.739999999999995</v>
      </c>
      <c r="P6" s="24">
        <v>300</v>
      </c>
      <c r="Q6" s="25">
        <v>0.48199999999999998</v>
      </c>
      <c r="R6" s="25">
        <v>0.48199999999999998</v>
      </c>
      <c r="S6" s="21">
        <f t="shared" si="2"/>
        <v>-455.10154147296311</v>
      </c>
      <c r="T6" s="21">
        <f t="shared" si="3"/>
        <v>-77178.423236514529</v>
      </c>
      <c r="U6" s="26">
        <f t="shared" si="4"/>
        <v>-1.7717728015728771</v>
      </c>
      <c r="V6" s="25">
        <v>70</v>
      </c>
      <c r="W6" s="25">
        <f t="shared" si="5"/>
        <v>19000</v>
      </c>
      <c r="X6" s="25">
        <f t="shared" si="6"/>
        <v>271.42857142857144</v>
      </c>
      <c r="Y6" s="27" t="s">
        <v>2024</v>
      </c>
      <c r="Z6" s="19" t="s">
        <v>35</v>
      </c>
      <c r="AA6" s="19" t="s">
        <v>35</v>
      </c>
      <c r="AB6" s="19" t="s">
        <v>2025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2033</v>
      </c>
      <c r="B7" s="19" t="s">
        <v>2043</v>
      </c>
      <c r="C7" s="19" t="s">
        <v>2044</v>
      </c>
      <c r="D7" s="20">
        <v>45548</v>
      </c>
      <c r="E7" s="21">
        <v>150000</v>
      </c>
      <c r="F7" s="19" t="s">
        <v>32</v>
      </c>
      <c r="G7" s="19" t="s">
        <v>33</v>
      </c>
      <c r="H7" s="21">
        <v>150000</v>
      </c>
      <c r="I7" s="21">
        <v>94900</v>
      </c>
      <c r="J7" s="22">
        <f t="shared" si="0"/>
        <v>63.266666666666673</v>
      </c>
      <c r="K7" s="21">
        <v>200352</v>
      </c>
      <c r="L7" s="21">
        <f>H7-184767</f>
        <v>-34767</v>
      </c>
      <c r="M7" s="21">
        <v>15585</v>
      </c>
      <c r="N7" s="67">
        <f t="shared" si="1"/>
        <v>0.10390000000000001</v>
      </c>
      <c r="O7" s="23">
        <v>76.77</v>
      </c>
      <c r="P7" s="24">
        <v>179.04</v>
      </c>
      <c r="Q7" s="25">
        <v>0.247</v>
      </c>
      <c r="R7" s="25">
        <v>0.247</v>
      </c>
      <c r="S7" s="21">
        <f t="shared" si="2"/>
        <v>-452.87221570926147</v>
      </c>
      <c r="T7" s="21">
        <f t="shared" si="3"/>
        <v>-140757.08502024293</v>
      </c>
      <c r="U7" s="26">
        <f t="shared" si="4"/>
        <v>-3.2313380399504803</v>
      </c>
      <c r="V7" s="25">
        <v>60.24</v>
      </c>
      <c r="W7" s="25">
        <f t="shared" si="5"/>
        <v>30000</v>
      </c>
      <c r="X7" s="25">
        <f t="shared" si="6"/>
        <v>498.00796812749002</v>
      </c>
      <c r="Y7" s="27" t="s">
        <v>2038</v>
      </c>
      <c r="Z7" s="19" t="s">
        <v>35</v>
      </c>
      <c r="AA7" s="19" t="s">
        <v>35</v>
      </c>
      <c r="AB7" s="19" t="s">
        <v>2033</v>
      </c>
      <c r="AC7" s="19">
        <v>0</v>
      </c>
      <c r="AD7" s="19">
        <v>1</v>
      </c>
      <c r="AE7" s="19" t="s">
        <v>412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1639</v>
      </c>
      <c r="B8" s="19" t="s">
        <v>1685</v>
      </c>
      <c r="C8" s="19" t="s">
        <v>1686</v>
      </c>
      <c r="D8" s="20">
        <v>45441</v>
      </c>
      <c r="E8" s="21">
        <v>225000</v>
      </c>
      <c r="F8" s="19" t="s">
        <v>81</v>
      </c>
      <c r="G8" s="19" t="s">
        <v>33</v>
      </c>
      <c r="H8" s="21">
        <v>225000</v>
      </c>
      <c r="I8" s="21">
        <v>135700</v>
      </c>
      <c r="J8" s="22">
        <f t="shared" si="0"/>
        <v>60.311111111111117</v>
      </c>
      <c r="K8" s="21">
        <v>294702</v>
      </c>
      <c r="L8" s="21">
        <f>H8-274603</f>
        <v>-49603</v>
      </c>
      <c r="M8" s="21">
        <v>20099</v>
      </c>
      <c r="N8" s="67">
        <f t="shared" si="1"/>
        <v>8.9328888888888888E-2</v>
      </c>
      <c r="O8" s="23">
        <v>122.55</v>
      </c>
      <c r="P8" s="24">
        <v>330.44</v>
      </c>
      <c r="Q8" s="25">
        <v>0.75900000000000001</v>
      </c>
      <c r="R8" s="25">
        <v>0.75900000000000001</v>
      </c>
      <c r="S8" s="21">
        <f t="shared" si="2"/>
        <v>-404.75724194206447</v>
      </c>
      <c r="T8" s="21">
        <f t="shared" si="3"/>
        <v>-65353.096179183136</v>
      </c>
      <c r="U8" s="26">
        <f t="shared" si="4"/>
        <v>-1.5003006469050306</v>
      </c>
      <c r="V8" s="25">
        <v>100</v>
      </c>
      <c r="W8" s="25">
        <f t="shared" si="5"/>
        <v>45000</v>
      </c>
      <c r="X8" s="25">
        <f t="shared" si="6"/>
        <v>450</v>
      </c>
      <c r="Y8" s="27" t="s">
        <v>1638</v>
      </c>
      <c r="Z8" s="19" t="s">
        <v>35</v>
      </c>
      <c r="AA8" s="19" t="s">
        <v>35</v>
      </c>
      <c r="AB8" s="19" t="s">
        <v>1639</v>
      </c>
      <c r="AC8" s="19">
        <v>0</v>
      </c>
      <c r="AD8" s="19">
        <v>1</v>
      </c>
      <c r="AE8" s="19" t="s">
        <v>1687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2263</v>
      </c>
      <c r="B9" s="19" t="s">
        <v>2266</v>
      </c>
      <c r="C9" s="19" t="s">
        <v>2267</v>
      </c>
      <c r="D9" s="20">
        <v>45667</v>
      </c>
      <c r="E9" s="21">
        <v>116000</v>
      </c>
      <c r="F9" s="19" t="s">
        <v>32</v>
      </c>
      <c r="G9" s="19" t="s">
        <v>33</v>
      </c>
      <c r="H9" s="21">
        <v>116000</v>
      </c>
      <c r="I9" s="21">
        <v>67100</v>
      </c>
      <c r="J9" s="22">
        <f t="shared" si="0"/>
        <v>57.84482758620689</v>
      </c>
      <c r="K9" s="21">
        <v>151786</v>
      </c>
      <c r="L9" s="21">
        <f>H9-140479</f>
        <v>-24479</v>
      </c>
      <c r="M9" s="21">
        <v>11307</v>
      </c>
      <c r="N9" s="67">
        <f t="shared" si="1"/>
        <v>9.7474137931034488E-2</v>
      </c>
      <c r="O9" s="23">
        <v>62.81</v>
      </c>
      <c r="P9" s="24">
        <v>150.58000000000001</v>
      </c>
      <c r="Q9" s="25">
        <v>0.30199999999999999</v>
      </c>
      <c r="R9" s="25">
        <v>0.30199999999999999</v>
      </c>
      <c r="S9" s="21">
        <f t="shared" si="2"/>
        <v>-389.73093456455979</v>
      </c>
      <c r="T9" s="21">
        <f t="shared" si="3"/>
        <v>-81056.291390728482</v>
      </c>
      <c r="U9" s="26">
        <f t="shared" si="4"/>
        <v>-1.860796404745833</v>
      </c>
      <c r="V9" s="25">
        <v>75</v>
      </c>
      <c r="W9" s="25">
        <f t="shared" si="5"/>
        <v>23200</v>
      </c>
      <c r="X9" s="25">
        <f t="shared" si="6"/>
        <v>309.33333333333331</v>
      </c>
      <c r="Y9" s="27" t="s">
        <v>2262</v>
      </c>
      <c r="Z9" s="19" t="s">
        <v>35</v>
      </c>
      <c r="AA9" s="19" t="s">
        <v>35</v>
      </c>
      <c r="AB9" s="19" t="s">
        <v>2263</v>
      </c>
      <c r="AC9" s="19">
        <v>0</v>
      </c>
      <c r="AD9" s="19">
        <v>1</v>
      </c>
      <c r="AE9" s="19" t="s">
        <v>42</v>
      </c>
      <c r="AF9" s="19" t="s">
        <v>35</v>
      </c>
      <c r="AG9" s="19" t="s">
        <v>38</v>
      </c>
      <c r="AH9" s="19" t="s">
        <v>92</v>
      </c>
    </row>
    <row r="10" spans="1:34" x14ac:dyDescent="0.3">
      <c r="A10" s="74" t="s">
        <v>2125</v>
      </c>
      <c r="B10" s="10" t="s">
        <v>2126</v>
      </c>
      <c r="C10" s="10" t="s">
        <v>2127</v>
      </c>
      <c r="D10" s="11">
        <v>45434</v>
      </c>
      <c r="E10" s="12">
        <v>80000</v>
      </c>
      <c r="F10" s="10" t="s">
        <v>81</v>
      </c>
      <c r="G10" s="10" t="s">
        <v>33</v>
      </c>
      <c r="H10" s="12">
        <v>80000</v>
      </c>
      <c r="I10" s="12">
        <v>80200</v>
      </c>
      <c r="J10" s="13">
        <f t="shared" si="0"/>
        <v>100.25</v>
      </c>
      <c r="K10" s="12">
        <v>180677</v>
      </c>
      <c r="L10" s="12">
        <f>H10-141124</f>
        <v>-61124</v>
      </c>
      <c r="M10" s="12">
        <v>39553</v>
      </c>
      <c r="N10" s="66">
        <f t="shared" si="1"/>
        <v>0.49441249999999998</v>
      </c>
      <c r="O10" s="14">
        <v>158.21</v>
      </c>
      <c r="P10" s="15">
        <v>264</v>
      </c>
      <c r="Q10" s="16">
        <v>0.97</v>
      </c>
      <c r="R10" s="16">
        <v>0.97</v>
      </c>
      <c r="S10" s="12">
        <f t="shared" si="2"/>
        <v>-386.34725997092471</v>
      </c>
      <c r="T10" s="12">
        <f t="shared" si="3"/>
        <v>-63014.432989690722</v>
      </c>
      <c r="U10" s="17">
        <f t="shared" si="4"/>
        <v>-1.4466123275870231</v>
      </c>
      <c r="V10" s="16">
        <v>160</v>
      </c>
      <c r="W10" s="16">
        <f t="shared" si="5"/>
        <v>16000</v>
      </c>
      <c r="X10" s="16">
        <f t="shared" si="6"/>
        <v>100</v>
      </c>
      <c r="Y10" s="18" t="s">
        <v>2124</v>
      </c>
      <c r="Z10" s="10" t="s">
        <v>35</v>
      </c>
      <c r="AA10" s="10" t="s">
        <v>35</v>
      </c>
      <c r="AB10" s="10" t="s">
        <v>2125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5" t="s">
        <v>1921</v>
      </c>
      <c r="B11" s="19" t="s">
        <v>1922</v>
      </c>
      <c r="C11" s="19" t="s">
        <v>1923</v>
      </c>
      <c r="D11" s="20">
        <v>45391</v>
      </c>
      <c r="E11" s="21">
        <v>335000</v>
      </c>
      <c r="F11" s="19" t="s">
        <v>32</v>
      </c>
      <c r="G11" s="19" t="s">
        <v>33</v>
      </c>
      <c r="H11" s="21">
        <v>335000</v>
      </c>
      <c r="I11" s="21">
        <v>163800</v>
      </c>
      <c r="J11" s="22">
        <f t="shared" si="0"/>
        <v>48.895522388059703</v>
      </c>
      <c r="K11" s="21">
        <v>374447</v>
      </c>
      <c r="L11" s="21">
        <f>H11-361328</f>
        <v>-26328</v>
      </c>
      <c r="M11" s="21">
        <v>13119</v>
      </c>
      <c r="N11" s="67">
        <f t="shared" si="1"/>
        <v>3.9161194029850743E-2</v>
      </c>
      <c r="O11" s="23">
        <v>68.319999999999993</v>
      </c>
      <c r="P11" s="24">
        <v>179.14</v>
      </c>
      <c r="Q11" s="25">
        <v>0.31</v>
      </c>
      <c r="R11" s="25">
        <v>0.31</v>
      </c>
      <c r="S11" s="21">
        <f t="shared" si="2"/>
        <v>-385.36299765807968</v>
      </c>
      <c r="T11" s="21">
        <f t="shared" si="3"/>
        <v>-84929.032258064515</v>
      </c>
      <c r="U11" s="26">
        <f t="shared" si="4"/>
        <v>-1.94970230160846</v>
      </c>
      <c r="V11" s="25">
        <v>78.84</v>
      </c>
      <c r="W11" s="25">
        <f t="shared" si="5"/>
        <v>67000</v>
      </c>
      <c r="X11" s="25">
        <f t="shared" si="6"/>
        <v>849.82242516489089</v>
      </c>
      <c r="Y11" s="27" t="s">
        <v>1915</v>
      </c>
      <c r="Z11" s="19" t="s">
        <v>35</v>
      </c>
      <c r="AA11" s="19" t="s">
        <v>35</v>
      </c>
      <c r="AB11" s="19" t="s">
        <v>1921</v>
      </c>
      <c r="AC11" s="19">
        <v>0</v>
      </c>
      <c r="AD11" s="19">
        <v>1</v>
      </c>
      <c r="AE11" s="19" t="s">
        <v>1825</v>
      </c>
      <c r="AF11" s="19" t="s">
        <v>43</v>
      </c>
      <c r="AG11" s="19" t="s">
        <v>38</v>
      </c>
      <c r="AH11" s="19" t="s">
        <v>92</v>
      </c>
    </row>
    <row r="12" spans="1:34" x14ac:dyDescent="0.3">
      <c r="A12" s="74" t="s">
        <v>2025</v>
      </c>
      <c r="B12" s="10" t="s">
        <v>2077</v>
      </c>
      <c r="C12" s="10" t="s">
        <v>2078</v>
      </c>
      <c r="D12" s="11">
        <v>45152</v>
      </c>
      <c r="E12" s="12">
        <v>133900</v>
      </c>
      <c r="F12" s="10" t="s">
        <v>32</v>
      </c>
      <c r="G12" s="10" t="s">
        <v>33</v>
      </c>
      <c r="H12" s="12">
        <v>133900</v>
      </c>
      <c r="I12" s="12">
        <v>62300</v>
      </c>
      <c r="J12" s="13">
        <f t="shared" si="0"/>
        <v>46.52725914861837</v>
      </c>
      <c r="K12" s="12">
        <v>181616</v>
      </c>
      <c r="L12" s="12">
        <f>H12-167596</f>
        <v>-33696</v>
      </c>
      <c r="M12" s="12">
        <v>14020</v>
      </c>
      <c r="N12" s="66">
        <f t="shared" si="1"/>
        <v>0.10470500373412994</v>
      </c>
      <c r="O12" s="14">
        <v>90.45</v>
      </c>
      <c r="P12" s="15">
        <v>180</v>
      </c>
      <c r="Q12" s="16">
        <v>0.5</v>
      </c>
      <c r="R12" s="16">
        <v>0.41299999999999998</v>
      </c>
      <c r="S12" s="12">
        <f t="shared" si="2"/>
        <v>-372.53731343283579</v>
      </c>
      <c r="T12" s="12">
        <f t="shared" si="3"/>
        <v>-67392</v>
      </c>
      <c r="U12" s="17">
        <f t="shared" si="4"/>
        <v>-1.5471074380165288</v>
      </c>
      <c r="V12" s="16">
        <v>100</v>
      </c>
      <c r="W12" s="16">
        <f t="shared" si="5"/>
        <v>26780</v>
      </c>
      <c r="X12" s="16">
        <f t="shared" si="6"/>
        <v>267.8</v>
      </c>
      <c r="Y12" s="18" t="s">
        <v>2024</v>
      </c>
      <c r="Z12" s="10" t="s">
        <v>35</v>
      </c>
      <c r="AA12" s="10" t="s">
        <v>35</v>
      </c>
      <c r="AB12" s="10" t="s">
        <v>2025</v>
      </c>
      <c r="AC12" s="10">
        <v>0</v>
      </c>
      <c r="AD12" s="10">
        <v>0</v>
      </c>
      <c r="AE12" s="10" t="s">
        <v>42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4" t="s">
        <v>2253</v>
      </c>
      <c r="B13" s="10" t="s">
        <v>2254</v>
      </c>
      <c r="C13" s="10" t="s">
        <v>2255</v>
      </c>
      <c r="D13" s="11">
        <v>45481</v>
      </c>
      <c r="E13" s="12">
        <v>410000</v>
      </c>
      <c r="F13" s="10" t="s">
        <v>32</v>
      </c>
      <c r="G13" s="10" t="s">
        <v>33</v>
      </c>
      <c r="H13" s="12">
        <v>410000</v>
      </c>
      <c r="I13" s="12">
        <v>217900</v>
      </c>
      <c r="J13" s="13">
        <f t="shared" si="0"/>
        <v>53.146341463414636</v>
      </c>
      <c r="K13" s="12">
        <v>457268</v>
      </c>
      <c r="L13" s="12">
        <f>H13-436682</f>
        <v>-26682</v>
      </c>
      <c r="M13" s="12">
        <v>20586</v>
      </c>
      <c r="N13" s="66">
        <f t="shared" si="1"/>
        <v>5.0209756097560974E-2</v>
      </c>
      <c r="O13" s="14">
        <v>74.849999999999994</v>
      </c>
      <c r="P13" s="15">
        <v>260.3</v>
      </c>
      <c r="Q13" s="16">
        <v>0.32200000000000001</v>
      </c>
      <c r="R13" s="16">
        <v>0.32200000000000001</v>
      </c>
      <c r="S13" s="12">
        <f t="shared" si="2"/>
        <v>-356.47294589178358</v>
      </c>
      <c r="T13" s="12">
        <f t="shared" si="3"/>
        <v>-82863.354037267083</v>
      </c>
      <c r="U13" s="17">
        <f t="shared" si="4"/>
        <v>-1.902280854850025</v>
      </c>
      <c r="V13" s="16">
        <v>53.91</v>
      </c>
      <c r="W13" s="16">
        <f t="shared" si="5"/>
        <v>82000</v>
      </c>
      <c r="X13" s="16">
        <f t="shared" si="6"/>
        <v>1521.0536078649602</v>
      </c>
      <c r="Y13" s="18" t="s">
        <v>2252</v>
      </c>
      <c r="Z13" s="10" t="s">
        <v>35</v>
      </c>
      <c r="AA13" s="10" t="s">
        <v>35</v>
      </c>
      <c r="AB13" s="10" t="s">
        <v>2253</v>
      </c>
      <c r="AC13" s="10">
        <v>0</v>
      </c>
      <c r="AD13" s="10">
        <v>1</v>
      </c>
      <c r="AE13" s="10" t="s">
        <v>37</v>
      </c>
      <c r="AF13" s="10" t="s">
        <v>43</v>
      </c>
      <c r="AG13" s="10" t="s">
        <v>38</v>
      </c>
      <c r="AH13" s="10" t="s">
        <v>92</v>
      </c>
    </row>
    <row r="14" spans="1:34" x14ac:dyDescent="0.3">
      <c r="A14" s="74" t="s">
        <v>2263</v>
      </c>
      <c r="B14" s="10" t="s">
        <v>2260</v>
      </c>
      <c r="C14" s="10" t="s">
        <v>2261</v>
      </c>
      <c r="D14" s="11">
        <v>45721</v>
      </c>
      <c r="E14" s="12">
        <v>139000</v>
      </c>
      <c r="F14" s="10" t="s">
        <v>32</v>
      </c>
      <c r="G14" s="10" t="s">
        <v>33</v>
      </c>
      <c r="H14" s="12">
        <v>139000</v>
      </c>
      <c r="I14" s="12">
        <v>88400</v>
      </c>
      <c r="J14" s="13">
        <f t="shared" si="0"/>
        <v>63.597122302158269</v>
      </c>
      <c r="K14" s="12">
        <v>191899</v>
      </c>
      <c r="L14" s="12">
        <f>H14-173730</f>
        <v>-34730</v>
      </c>
      <c r="M14" s="12">
        <v>18169</v>
      </c>
      <c r="N14" s="66">
        <f t="shared" si="1"/>
        <v>0.13071223021582734</v>
      </c>
      <c r="O14" s="14">
        <v>100.93</v>
      </c>
      <c r="P14" s="15">
        <v>270</v>
      </c>
      <c r="Q14" s="16">
        <v>0.62</v>
      </c>
      <c r="R14" s="16">
        <v>0.62</v>
      </c>
      <c r="S14" s="12">
        <f t="shared" si="2"/>
        <v>-344.0998711978599</v>
      </c>
      <c r="T14" s="12">
        <f t="shared" si="3"/>
        <v>-56016.129032258068</v>
      </c>
      <c r="U14" s="17">
        <f t="shared" si="4"/>
        <v>-1.2859533753961907</v>
      </c>
      <c r="V14" s="16">
        <v>100</v>
      </c>
      <c r="W14" s="16">
        <f t="shared" si="5"/>
        <v>27800</v>
      </c>
      <c r="X14" s="16">
        <f t="shared" si="6"/>
        <v>278</v>
      </c>
      <c r="Y14" s="18" t="s">
        <v>2262</v>
      </c>
      <c r="Z14" s="10" t="s">
        <v>35</v>
      </c>
      <c r="AA14" s="10" t="s">
        <v>35</v>
      </c>
      <c r="AB14" s="10" t="s">
        <v>2263</v>
      </c>
      <c r="AC14" s="10">
        <v>0</v>
      </c>
      <c r="AD14" s="10">
        <v>1</v>
      </c>
      <c r="AE14" s="10" t="s">
        <v>42</v>
      </c>
      <c r="AF14" s="10" t="s">
        <v>35</v>
      </c>
      <c r="AG14" s="10" t="s">
        <v>38</v>
      </c>
      <c r="AH14" s="10" t="s">
        <v>92</v>
      </c>
    </row>
    <row r="15" spans="1:34" x14ac:dyDescent="0.3">
      <c r="A15" s="74" t="s">
        <v>1324</v>
      </c>
      <c r="B15" s="10" t="s">
        <v>1335</v>
      </c>
      <c r="C15" s="10" t="s">
        <v>1336</v>
      </c>
      <c r="D15" s="11">
        <v>45357</v>
      </c>
      <c r="E15" s="12">
        <v>140000</v>
      </c>
      <c r="F15" s="10" t="s">
        <v>32</v>
      </c>
      <c r="G15" s="10" t="s">
        <v>33</v>
      </c>
      <c r="H15" s="12">
        <v>140000</v>
      </c>
      <c r="I15" s="12">
        <v>78000</v>
      </c>
      <c r="J15" s="13">
        <f t="shared" si="0"/>
        <v>55.714285714285715</v>
      </c>
      <c r="K15" s="12">
        <v>173870</v>
      </c>
      <c r="L15" s="12">
        <f>H15-161556</f>
        <v>-21556</v>
      </c>
      <c r="M15" s="12">
        <v>12314</v>
      </c>
      <c r="N15" s="66">
        <f t="shared" si="1"/>
        <v>8.7957142857142859E-2</v>
      </c>
      <c r="O15" s="14">
        <v>64.13</v>
      </c>
      <c r="P15" s="15">
        <v>152.59</v>
      </c>
      <c r="Q15" s="16">
        <v>0.221</v>
      </c>
      <c r="R15" s="16">
        <v>0.221</v>
      </c>
      <c r="S15" s="12">
        <f t="shared" si="2"/>
        <v>-336.12973647278966</v>
      </c>
      <c r="T15" s="12">
        <f t="shared" si="3"/>
        <v>-97538.461538461532</v>
      </c>
      <c r="U15" s="17">
        <f t="shared" si="4"/>
        <v>-2.2391749664476936</v>
      </c>
      <c r="V15" s="16">
        <v>48</v>
      </c>
      <c r="W15" s="16">
        <f t="shared" si="5"/>
        <v>28000</v>
      </c>
      <c r="X15" s="16">
        <f t="shared" si="6"/>
        <v>583.33333333333337</v>
      </c>
      <c r="Y15" s="18" t="s">
        <v>1323</v>
      </c>
      <c r="Z15" s="10" t="s">
        <v>35</v>
      </c>
      <c r="AA15" s="10" t="s">
        <v>35</v>
      </c>
      <c r="AB15" s="10" t="s">
        <v>1324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5" t="s">
        <v>1194</v>
      </c>
      <c r="B16" s="19" t="s">
        <v>1521</v>
      </c>
      <c r="C16" s="19" t="s">
        <v>1522</v>
      </c>
      <c r="D16" s="20">
        <v>45343</v>
      </c>
      <c r="E16" s="21">
        <v>135000</v>
      </c>
      <c r="F16" s="19" t="s">
        <v>32</v>
      </c>
      <c r="G16" s="19" t="s">
        <v>33</v>
      </c>
      <c r="H16" s="21">
        <v>135000</v>
      </c>
      <c r="I16" s="21">
        <v>69100</v>
      </c>
      <c r="J16" s="22">
        <f t="shared" si="0"/>
        <v>51.18518518518519</v>
      </c>
      <c r="K16" s="21">
        <v>170838</v>
      </c>
      <c r="L16" s="21">
        <f>H16-158264</f>
        <v>-23264</v>
      </c>
      <c r="M16" s="21">
        <v>12574</v>
      </c>
      <c r="N16" s="67">
        <f t="shared" si="1"/>
        <v>9.3140740740740746E-2</v>
      </c>
      <c r="O16" s="23">
        <v>69.849999999999994</v>
      </c>
      <c r="P16" s="24">
        <v>271.10000000000002</v>
      </c>
      <c r="Q16" s="25">
        <v>0.373</v>
      </c>
      <c r="R16" s="25">
        <v>0.373</v>
      </c>
      <c r="S16" s="21">
        <f t="shared" si="2"/>
        <v>-333.05654974946316</v>
      </c>
      <c r="T16" s="21">
        <f t="shared" si="3"/>
        <v>-62369.973190348523</v>
      </c>
      <c r="U16" s="26">
        <f t="shared" si="4"/>
        <v>-1.431817566353272</v>
      </c>
      <c r="V16" s="25">
        <v>60</v>
      </c>
      <c r="W16" s="25">
        <f t="shared" si="5"/>
        <v>27000</v>
      </c>
      <c r="X16" s="25">
        <f t="shared" si="6"/>
        <v>450</v>
      </c>
      <c r="Y16" s="27" t="s">
        <v>1193</v>
      </c>
      <c r="Z16" s="19" t="s">
        <v>35</v>
      </c>
      <c r="AA16" s="19" t="s">
        <v>35</v>
      </c>
      <c r="AB16" s="19" t="s">
        <v>1194</v>
      </c>
      <c r="AC16" s="19">
        <v>0</v>
      </c>
      <c r="AD16" s="19">
        <v>1</v>
      </c>
      <c r="AE16" s="19" t="s">
        <v>42</v>
      </c>
      <c r="AF16" s="19" t="s">
        <v>43</v>
      </c>
      <c r="AG16" s="19" t="s">
        <v>38</v>
      </c>
      <c r="AH16" s="19" t="s">
        <v>92</v>
      </c>
    </row>
    <row r="17" spans="1:34" x14ac:dyDescent="0.3">
      <c r="A17" s="75" t="s">
        <v>2033</v>
      </c>
      <c r="B17" s="19" t="s">
        <v>2034</v>
      </c>
      <c r="C17" s="19" t="s">
        <v>2035</v>
      </c>
      <c r="D17" s="20">
        <v>45072</v>
      </c>
      <c r="E17" s="21">
        <v>170000</v>
      </c>
      <c r="F17" s="19" t="s">
        <v>32</v>
      </c>
      <c r="G17" s="19" t="s">
        <v>33</v>
      </c>
      <c r="H17" s="21">
        <v>170000</v>
      </c>
      <c r="I17" s="21">
        <v>70500</v>
      </c>
      <c r="J17" s="22">
        <f t="shared" si="0"/>
        <v>41.470588235294123</v>
      </c>
      <c r="K17" s="21">
        <v>210978</v>
      </c>
      <c r="L17" s="21">
        <f>H17-193199</f>
        <v>-23199</v>
      </c>
      <c r="M17" s="21">
        <v>17779</v>
      </c>
      <c r="N17" s="67">
        <f t="shared" si="1"/>
        <v>0.10458235294117647</v>
      </c>
      <c r="O17" s="23">
        <v>87.58</v>
      </c>
      <c r="P17" s="24">
        <v>150</v>
      </c>
      <c r="Q17" s="25">
        <v>0.25800000000000001</v>
      </c>
      <c r="R17" s="25">
        <v>0.25800000000000001</v>
      </c>
      <c r="S17" s="21">
        <f t="shared" si="2"/>
        <v>-264.88924411966201</v>
      </c>
      <c r="T17" s="21">
        <f t="shared" si="3"/>
        <v>-89918.604651162794</v>
      </c>
      <c r="U17" s="26">
        <f t="shared" si="4"/>
        <v>-2.0642471223866572</v>
      </c>
      <c r="V17" s="25">
        <v>75</v>
      </c>
      <c r="W17" s="25">
        <f t="shared" si="5"/>
        <v>34000</v>
      </c>
      <c r="X17" s="25">
        <f t="shared" si="6"/>
        <v>453.33333333333331</v>
      </c>
      <c r="Y17" s="27" t="s">
        <v>2032</v>
      </c>
      <c r="Z17" s="19" t="s">
        <v>35</v>
      </c>
      <c r="AA17" s="19" t="s">
        <v>35</v>
      </c>
      <c r="AB17" s="19" t="s">
        <v>2033</v>
      </c>
      <c r="AC17" s="19">
        <v>0</v>
      </c>
      <c r="AD17" s="19">
        <v>1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4" t="s">
        <v>2594</v>
      </c>
      <c r="B18" s="10" t="s">
        <v>2605</v>
      </c>
      <c r="C18" s="10" t="s">
        <v>2606</v>
      </c>
      <c r="D18" s="11">
        <v>45379</v>
      </c>
      <c r="E18" s="12">
        <v>130000</v>
      </c>
      <c r="F18" s="10" t="s">
        <v>81</v>
      </c>
      <c r="G18" s="10" t="s">
        <v>33</v>
      </c>
      <c r="H18" s="12">
        <v>130000</v>
      </c>
      <c r="I18" s="12">
        <v>60400</v>
      </c>
      <c r="J18" s="13">
        <f t="shared" si="0"/>
        <v>46.46153846153846</v>
      </c>
      <c r="K18" s="12">
        <v>162710</v>
      </c>
      <c r="L18" s="12">
        <f>H18-146727</f>
        <v>-16727</v>
      </c>
      <c r="M18" s="12">
        <v>15983</v>
      </c>
      <c r="N18" s="66">
        <f t="shared" si="1"/>
        <v>0.12294615384615384</v>
      </c>
      <c r="O18" s="14">
        <v>70.709999999999994</v>
      </c>
      <c r="P18" s="15">
        <v>155.59</v>
      </c>
      <c r="Q18" s="16">
        <v>0.22900000000000001</v>
      </c>
      <c r="R18" s="16">
        <v>0.22900000000000001</v>
      </c>
      <c r="S18" s="12">
        <f t="shared" si="2"/>
        <v>-236.55777117805121</v>
      </c>
      <c r="T18" s="12">
        <f t="shared" si="3"/>
        <v>-73043.668122270741</v>
      </c>
      <c r="U18" s="17">
        <f t="shared" si="4"/>
        <v>-1.6768518852679233</v>
      </c>
      <c r="V18" s="16">
        <v>58.04</v>
      </c>
      <c r="W18" s="16">
        <f t="shared" si="5"/>
        <v>26000</v>
      </c>
      <c r="X18" s="16">
        <f t="shared" si="6"/>
        <v>447.96691936595454</v>
      </c>
      <c r="Y18" s="18" t="s">
        <v>2593</v>
      </c>
      <c r="Z18" s="10" t="s">
        <v>35</v>
      </c>
      <c r="AA18" s="10" t="s">
        <v>35</v>
      </c>
      <c r="AB18" s="10" t="s">
        <v>2594</v>
      </c>
      <c r="AC18" s="10">
        <v>0</v>
      </c>
      <c r="AD18" s="10">
        <v>1</v>
      </c>
      <c r="AE18" s="10" t="s">
        <v>42</v>
      </c>
      <c r="AF18" s="10" t="s">
        <v>43</v>
      </c>
      <c r="AG18" s="10" t="s">
        <v>38</v>
      </c>
      <c r="AH18" s="10" t="s">
        <v>92</v>
      </c>
    </row>
    <row r="19" spans="1:34" x14ac:dyDescent="0.3">
      <c r="A19" s="75" t="s">
        <v>2435</v>
      </c>
      <c r="B19" s="19" t="s">
        <v>2438</v>
      </c>
      <c r="C19" s="19" t="s">
        <v>2439</v>
      </c>
      <c r="D19" s="20">
        <v>45128</v>
      </c>
      <c r="E19" s="21">
        <v>108000</v>
      </c>
      <c r="F19" s="19" t="s">
        <v>32</v>
      </c>
      <c r="G19" s="19" t="s">
        <v>33</v>
      </c>
      <c r="H19" s="21">
        <v>108000</v>
      </c>
      <c r="I19" s="21">
        <v>49700</v>
      </c>
      <c r="J19" s="22">
        <f t="shared" si="0"/>
        <v>46.018518518518519</v>
      </c>
      <c r="K19" s="21">
        <v>127629</v>
      </c>
      <c r="L19" s="21">
        <f>H19-118946</f>
        <v>-10946</v>
      </c>
      <c r="M19" s="21">
        <v>8683</v>
      </c>
      <c r="N19" s="67">
        <f t="shared" si="1"/>
        <v>8.0398148148148149E-2</v>
      </c>
      <c r="O19" s="23">
        <v>46.93</v>
      </c>
      <c r="P19" s="24">
        <v>178.97</v>
      </c>
      <c r="Q19" s="25">
        <v>0.16400000000000001</v>
      </c>
      <c r="R19" s="25">
        <v>0.16400000000000001</v>
      </c>
      <c r="S19" s="21">
        <f t="shared" si="2"/>
        <v>-233.2409972299169</v>
      </c>
      <c r="T19" s="21">
        <f t="shared" si="3"/>
        <v>-66743.902439024387</v>
      </c>
      <c r="U19" s="26">
        <f t="shared" si="4"/>
        <v>-1.5322291652668591</v>
      </c>
      <c r="V19" s="25">
        <v>40</v>
      </c>
      <c r="W19" s="25">
        <f t="shared" si="5"/>
        <v>21600</v>
      </c>
      <c r="X19" s="25">
        <f t="shared" si="6"/>
        <v>540</v>
      </c>
      <c r="Y19" s="27" t="s">
        <v>2434</v>
      </c>
      <c r="Z19" s="19" t="s">
        <v>35</v>
      </c>
      <c r="AA19" s="19" t="s">
        <v>35</v>
      </c>
      <c r="AB19" s="19" t="s">
        <v>2435</v>
      </c>
      <c r="AC19" s="19">
        <v>0</v>
      </c>
      <c r="AD19" s="19">
        <v>1</v>
      </c>
      <c r="AE19" s="19" t="s">
        <v>37</v>
      </c>
      <c r="AF19" s="19" t="s">
        <v>43</v>
      </c>
      <c r="AG19" s="19" t="s">
        <v>38</v>
      </c>
      <c r="AH19" s="19" t="s">
        <v>92</v>
      </c>
    </row>
    <row r="20" spans="1:34" x14ac:dyDescent="0.3">
      <c r="A20" s="74" t="s">
        <v>693</v>
      </c>
      <c r="B20" s="10" t="s">
        <v>754</v>
      </c>
      <c r="C20" s="10" t="s">
        <v>755</v>
      </c>
      <c r="D20" s="11">
        <v>45135</v>
      </c>
      <c r="E20" s="12">
        <v>95000</v>
      </c>
      <c r="F20" s="10" t="s">
        <v>32</v>
      </c>
      <c r="G20" s="10" t="s">
        <v>33</v>
      </c>
      <c r="H20" s="12">
        <v>95000</v>
      </c>
      <c r="I20" s="12">
        <v>49300</v>
      </c>
      <c r="J20" s="13">
        <f t="shared" si="0"/>
        <v>51.89473684210526</v>
      </c>
      <c r="K20" s="12">
        <v>109965</v>
      </c>
      <c r="L20" s="12">
        <f>H20-103080</f>
        <v>-8080</v>
      </c>
      <c r="M20" s="12">
        <v>6885</v>
      </c>
      <c r="N20" s="66">
        <f t="shared" si="1"/>
        <v>7.2473684210526315E-2</v>
      </c>
      <c r="O20" s="14">
        <v>39.340000000000003</v>
      </c>
      <c r="P20" s="15">
        <v>290.26</v>
      </c>
      <c r="Q20" s="16">
        <v>0.26700000000000002</v>
      </c>
      <c r="R20" s="16">
        <v>0.26700000000000002</v>
      </c>
      <c r="S20" s="12">
        <f t="shared" si="2"/>
        <v>-205.38891713268936</v>
      </c>
      <c r="T20" s="12">
        <f t="shared" si="3"/>
        <v>-30262.172284644192</v>
      </c>
      <c r="U20" s="17">
        <f t="shared" si="4"/>
        <v>-0.69472388164931564</v>
      </c>
      <c r="V20" s="16">
        <v>40</v>
      </c>
      <c r="W20" s="16">
        <f t="shared" si="5"/>
        <v>19000</v>
      </c>
      <c r="X20" s="16">
        <f t="shared" si="6"/>
        <v>475</v>
      </c>
      <c r="Y20" s="18" t="s">
        <v>692</v>
      </c>
      <c r="Z20" s="10" t="s">
        <v>35</v>
      </c>
      <c r="AA20" s="10" t="s">
        <v>35</v>
      </c>
      <c r="AB20" s="10" t="s">
        <v>693</v>
      </c>
      <c r="AC20" s="10">
        <v>0</v>
      </c>
      <c r="AD20" s="10">
        <v>1</v>
      </c>
      <c r="AE20" s="10" t="s">
        <v>37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2594</v>
      </c>
      <c r="B21" s="19" t="s">
        <v>2603</v>
      </c>
      <c r="C21" s="19" t="s">
        <v>2604</v>
      </c>
      <c r="D21" s="20">
        <v>45638</v>
      </c>
      <c r="E21" s="21">
        <v>92000</v>
      </c>
      <c r="F21" s="19" t="s">
        <v>32</v>
      </c>
      <c r="G21" s="19" t="s">
        <v>33</v>
      </c>
      <c r="H21" s="21">
        <v>92000</v>
      </c>
      <c r="I21" s="21">
        <v>76000</v>
      </c>
      <c r="J21" s="22">
        <f t="shared" si="0"/>
        <v>82.608695652173907</v>
      </c>
      <c r="K21" s="21">
        <v>174148</v>
      </c>
      <c r="L21" s="21">
        <f>H21-130538</f>
        <v>-38538</v>
      </c>
      <c r="M21" s="21">
        <v>43610</v>
      </c>
      <c r="N21" s="67">
        <f t="shared" si="1"/>
        <v>0.47402173913043477</v>
      </c>
      <c r="O21" s="23">
        <v>192.96</v>
      </c>
      <c r="P21" s="24">
        <v>237.17</v>
      </c>
      <c r="Q21" s="25">
        <v>0.82099999999999995</v>
      </c>
      <c r="R21" s="25">
        <v>0.82099999999999995</v>
      </c>
      <c r="S21" s="21">
        <f t="shared" si="2"/>
        <v>-199.72014925373134</v>
      </c>
      <c r="T21" s="21">
        <f t="shared" si="3"/>
        <v>-46940.316686967119</v>
      </c>
      <c r="U21" s="26">
        <f t="shared" si="4"/>
        <v>-1.0776013931810633</v>
      </c>
      <c r="V21" s="25">
        <v>110.07</v>
      </c>
      <c r="W21" s="25">
        <f t="shared" si="5"/>
        <v>18400</v>
      </c>
      <c r="X21" s="25">
        <f t="shared" si="6"/>
        <v>167.16634868719908</v>
      </c>
      <c r="Y21" s="27" t="s">
        <v>2593</v>
      </c>
      <c r="Z21" s="19" t="s">
        <v>35</v>
      </c>
      <c r="AA21" s="19" t="s">
        <v>35</v>
      </c>
      <c r="AB21" s="19" t="s">
        <v>2594</v>
      </c>
      <c r="AC21" s="19">
        <v>0</v>
      </c>
      <c r="AD21" s="19">
        <v>1</v>
      </c>
      <c r="AE21" s="19" t="s">
        <v>42</v>
      </c>
      <c r="AF21" s="19" t="s">
        <v>35</v>
      </c>
      <c r="AG21" s="19" t="s">
        <v>38</v>
      </c>
      <c r="AH21" s="19" t="s">
        <v>92</v>
      </c>
    </row>
    <row r="22" spans="1:34" x14ac:dyDescent="0.3">
      <c r="A22" s="74" t="s">
        <v>978</v>
      </c>
      <c r="B22" s="10" t="s">
        <v>993</v>
      </c>
      <c r="C22" s="10" t="s">
        <v>994</v>
      </c>
      <c r="D22" s="11">
        <v>45588</v>
      </c>
      <c r="E22" s="12">
        <v>195000</v>
      </c>
      <c r="F22" s="10" t="s">
        <v>32</v>
      </c>
      <c r="G22" s="10" t="s">
        <v>33</v>
      </c>
      <c r="H22" s="12">
        <v>195000</v>
      </c>
      <c r="I22" s="12">
        <v>98800</v>
      </c>
      <c r="J22" s="13">
        <f t="shared" si="0"/>
        <v>50.666666666666671</v>
      </c>
      <c r="K22" s="12">
        <v>219976</v>
      </c>
      <c r="L22" s="12">
        <f>H22-207977</f>
        <v>-12977</v>
      </c>
      <c r="M22" s="12">
        <v>11999</v>
      </c>
      <c r="N22" s="66">
        <f t="shared" si="1"/>
        <v>6.1533333333333336E-2</v>
      </c>
      <c r="O22" s="14">
        <v>65.930000000000007</v>
      </c>
      <c r="P22" s="15">
        <v>152.78</v>
      </c>
      <c r="Q22" s="16">
        <v>0.16900000000000001</v>
      </c>
      <c r="R22" s="16">
        <v>0.16900000000000001</v>
      </c>
      <c r="S22" s="12">
        <f t="shared" si="2"/>
        <v>-196.82997118155617</v>
      </c>
      <c r="T22" s="12">
        <f t="shared" si="3"/>
        <v>-76786.982248520711</v>
      </c>
      <c r="U22" s="17">
        <f t="shared" si="4"/>
        <v>-1.7627865529963433</v>
      </c>
      <c r="V22" s="16">
        <v>71.569999999999993</v>
      </c>
      <c r="W22" s="16">
        <f t="shared" si="5"/>
        <v>39000</v>
      </c>
      <c r="X22" s="16">
        <f t="shared" si="6"/>
        <v>544.92105630850915</v>
      </c>
      <c r="Y22" s="18" t="s">
        <v>977</v>
      </c>
      <c r="Z22" s="10" t="s">
        <v>35</v>
      </c>
      <c r="AA22" s="10" t="s">
        <v>35</v>
      </c>
      <c r="AB22" s="10" t="s">
        <v>978</v>
      </c>
      <c r="AC22" s="10">
        <v>0</v>
      </c>
      <c r="AD22" s="10">
        <v>1</v>
      </c>
      <c r="AE22" s="10" t="s">
        <v>37</v>
      </c>
      <c r="AF22" s="10" t="s">
        <v>35</v>
      </c>
      <c r="AG22" s="10" t="s">
        <v>38</v>
      </c>
      <c r="AH22" s="10" t="s">
        <v>92</v>
      </c>
    </row>
    <row r="23" spans="1:34" x14ac:dyDescent="0.3">
      <c r="A23" s="75" t="s">
        <v>1016</v>
      </c>
      <c r="B23" s="19" t="s">
        <v>1021</v>
      </c>
      <c r="C23" s="19" t="s">
        <v>1022</v>
      </c>
      <c r="D23" s="20">
        <v>45359</v>
      </c>
      <c r="E23" s="21">
        <v>120000</v>
      </c>
      <c r="F23" s="19" t="s">
        <v>32</v>
      </c>
      <c r="G23" s="19" t="s">
        <v>66</v>
      </c>
      <c r="H23" s="21">
        <v>120000</v>
      </c>
      <c r="I23" s="21">
        <v>59900</v>
      </c>
      <c r="J23" s="22">
        <f t="shared" si="0"/>
        <v>49.916666666666664</v>
      </c>
      <c r="K23" s="21">
        <v>155093</v>
      </c>
      <c r="L23" s="21">
        <f>H23-138820</f>
        <v>-18820</v>
      </c>
      <c r="M23" s="21">
        <v>16273</v>
      </c>
      <c r="N23" s="67">
        <f t="shared" si="1"/>
        <v>0.13560833333333333</v>
      </c>
      <c r="O23" s="23">
        <v>96.86</v>
      </c>
      <c r="P23" s="24">
        <v>278</v>
      </c>
      <c r="Q23" s="25">
        <v>0.28799999999999998</v>
      </c>
      <c r="R23" s="25">
        <v>0.128</v>
      </c>
      <c r="S23" s="21">
        <f t="shared" si="2"/>
        <v>-194.30105306628124</v>
      </c>
      <c r="T23" s="21">
        <f t="shared" si="3"/>
        <v>-65347.222222222226</v>
      </c>
      <c r="U23" s="26">
        <f t="shared" si="4"/>
        <v>-1.5001657994082238</v>
      </c>
      <c r="V23" s="25">
        <v>90</v>
      </c>
      <c r="W23" s="25">
        <f t="shared" si="5"/>
        <v>24000</v>
      </c>
      <c r="X23" s="25">
        <f t="shared" si="6"/>
        <v>266.66666666666669</v>
      </c>
      <c r="Y23" s="27" t="s">
        <v>1015</v>
      </c>
      <c r="Z23" s="19" t="s">
        <v>35</v>
      </c>
      <c r="AA23" s="19" t="s">
        <v>1023</v>
      </c>
      <c r="AB23" s="19" t="s">
        <v>1016</v>
      </c>
      <c r="AC23" s="19">
        <v>0</v>
      </c>
      <c r="AD23" s="19">
        <v>1</v>
      </c>
      <c r="AE23" s="19" t="s">
        <v>37</v>
      </c>
      <c r="AF23" s="19" t="s">
        <v>43</v>
      </c>
      <c r="AG23" s="19" t="s">
        <v>38</v>
      </c>
      <c r="AH23" s="19" t="s">
        <v>92</v>
      </c>
    </row>
    <row r="24" spans="1:34" x14ac:dyDescent="0.3">
      <c r="A24" s="75" t="s">
        <v>36</v>
      </c>
      <c r="B24" s="19" t="s">
        <v>64</v>
      </c>
      <c r="C24" s="19" t="s">
        <v>65</v>
      </c>
      <c r="D24" s="20">
        <v>45327</v>
      </c>
      <c r="E24" s="21">
        <v>111000</v>
      </c>
      <c r="F24" s="19" t="s">
        <v>32</v>
      </c>
      <c r="G24" s="19" t="s">
        <v>66</v>
      </c>
      <c r="H24" s="21">
        <v>111000</v>
      </c>
      <c r="I24" s="21">
        <v>48600</v>
      </c>
      <c r="J24" s="22">
        <f t="shared" si="0"/>
        <v>43.78378378378379</v>
      </c>
      <c r="K24" s="21">
        <v>140261</v>
      </c>
      <c r="L24" s="21">
        <f>H24-125461</f>
        <v>-14461</v>
      </c>
      <c r="M24" s="21">
        <v>14800</v>
      </c>
      <c r="N24" s="67">
        <f t="shared" si="1"/>
        <v>0.13333333333333333</v>
      </c>
      <c r="O24" s="23">
        <v>80</v>
      </c>
      <c r="P24" s="24">
        <v>250</v>
      </c>
      <c r="Q24" s="25">
        <v>0.23</v>
      </c>
      <c r="R24" s="25">
        <v>0.115</v>
      </c>
      <c r="S24" s="21">
        <f t="shared" si="2"/>
        <v>-180.76249999999999</v>
      </c>
      <c r="T24" s="21">
        <f t="shared" si="3"/>
        <v>-62873.913043478256</v>
      </c>
      <c r="U24" s="26">
        <f t="shared" si="4"/>
        <v>-1.4433864335050104</v>
      </c>
      <c r="V24" s="25">
        <v>80</v>
      </c>
      <c r="W24" s="25">
        <f t="shared" si="5"/>
        <v>22200</v>
      </c>
      <c r="X24" s="25">
        <f t="shared" si="6"/>
        <v>277.5</v>
      </c>
      <c r="Y24" s="27" t="s">
        <v>34</v>
      </c>
      <c r="Z24" s="19" t="s">
        <v>35</v>
      </c>
      <c r="AA24" s="19" t="s">
        <v>67</v>
      </c>
      <c r="AB24" s="19" t="s">
        <v>36</v>
      </c>
      <c r="AC24" s="19">
        <v>0</v>
      </c>
      <c r="AD24" s="19">
        <v>1</v>
      </c>
      <c r="AE24" s="19" t="s">
        <v>58</v>
      </c>
      <c r="AF24" s="19" t="s">
        <v>43</v>
      </c>
      <c r="AG24" s="19" t="s">
        <v>38</v>
      </c>
      <c r="AH24" s="19" t="s">
        <v>39</v>
      </c>
    </row>
    <row r="25" spans="1:34" x14ac:dyDescent="0.3">
      <c r="A25" s="74" t="s">
        <v>2567</v>
      </c>
      <c r="B25" s="10" t="s">
        <v>2564</v>
      </c>
      <c r="C25" s="10" t="s">
        <v>2565</v>
      </c>
      <c r="D25" s="11">
        <v>45499</v>
      </c>
      <c r="E25" s="12">
        <v>80000</v>
      </c>
      <c r="F25" s="10" t="s">
        <v>32</v>
      </c>
      <c r="G25" s="10" t="s">
        <v>33</v>
      </c>
      <c r="H25" s="12">
        <v>80000</v>
      </c>
      <c r="I25" s="12">
        <v>51200</v>
      </c>
      <c r="J25" s="13">
        <f t="shared" si="0"/>
        <v>64</v>
      </c>
      <c r="K25" s="12">
        <v>112076</v>
      </c>
      <c r="L25" s="12">
        <f>H25-94207</f>
        <v>-14207</v>
      </c>
      <c r="M25" s="12">
        <v>17869</v>
      </c>
      <c r="N25" s="66">
        <f t="shared" si="1"/>
        <v>0.22336249999999999</v>
      </c>
      <c r="O25" s="14">
        <v>81.22</v>
      </c>
      <c r="P25" s="15">
        <v>190</v>
      </c>
      <c r="Q25" s="16">
        <v>0.52</v>
      </c>
      <c r="R25" s="16">
        <v>0.32700000000000001</v>
      </c>
      <c r="S25" s="12">
        <f t="shared" si="2"/>
        <v>-174.91997045062791</v>
      </c>
      <c r="T25" s="12">
        <f t="shared" si="3"/>
        <v>-27321.153846153844</v>
      </c>
      <c r="U25" s="17">
        <f t="shared" si="4"/>
        <v>-0.62720738857102487</v>
      </c>
      <c r="V25" s="16">
        <v>100</v>
      </c>
      <c r="W25" s="16">
        <f t="shared" si="5"/>
        <v>16000</v>
      </c>
      <c r="X25" s="16">
        <f t="shared" si="6"/>
        <v>160</v>
      </c>
      <c r="Y25" s="18" t="s">
        <v>2566</v>
      </c>
      <c r="Z25" s="10" t="s">
        <v>35</v>
      </c>
      <c r="AA25" s="10" t="s">
        <v>35</v>
      </c>
      <c r="AB25" s="10" t="s">
        <v>2567</v>
      </c>
      <c r="AC25" s="10">
        <v>0</v>
      </c>
      <c r="AD25" s="10">
        <v>0</v>
      </c>
      <c r="AE25" s="10" t="s">
        <v>42</v>
      </c>
      <c r="AF25" s="10" t="s">
        <v>43</v>
      </c>
      <c r="AG25" s="10" t="s">
        <v>38</v>
      </c>
      <c r="AH25" s="10" t="s">
        <v>1830</v>
      </c>
    </row>
    <row r="26" spans="1:34" x14ac:dyDescent="0.3">
      <c r="A26" s="74" t="s">
        <v>267</v>
      </c>
      <c r="B26" s="10" t="s">
        <v>457</v>
      </c>
      <c r="C26" s="10" t="s">
        <v>458</v>
      </c>
      <c r="D26" s="11">
        <v>45642</v>
      </c>
      <c r="E26" s="12">
        <v>150000</v>
      </c>
      <c r="F26" s="10" t="s">
        <v>32</v>
      </c>
      <c r="G26" s="10" t="s">
        <v>66</v>
      </c>
      <c r="H26" s="12">
        <v>150000</v>
      </c>
      <c r="I26" s="12">
        <v>85500</v>
      </c>
      <c r="J26" s="13">
        <f t="shared" si="0"/>
        <v>56.999999999999993</v>
      </c>
      <c r="K26" s="12">
        <v>193096</v>
      </c>
      <c r="L26" s="12">
        <f>H26-164898</f>
        <v>-14898</v>
      </c>
      <c r="M26" s="12">
        <v>17374</v>
      </c>
      <c r="N26" s="66">
        <f t="shared" si="1"/>
        <v>0.11582666666666666</v>
      </c>
      <c r="O26" s="14">
        <v>85.58</v>
      </c>
      <c r="P26" s="15">
        <v>252.92</v>
      </c>
      <c r="Q26" s="16">
        <v>0.248</v>
      </c>
      <c r="R26" s="16">
        <v>0.111</v>
      </c>
      <c r="S26" s="12">
        <f t="shared" si="2"/>
        <v>-174.08272960972189</v>
      </c>
      <c r="T26" s="12">
        <f t="shared" si="3"/>
        <v>-60072.580645161288</v>
      </c>
      <c r="U26" s="17">
        <f t="shared" si="4"/>
        <v>-1.3790766906602683</v>
      </c>
      <c r="V26" s="16">
        <v>85</v>
      </c>
      <c r="W26" s="16">
        <f t="shared" si="5"/>
        <v>30000</v>
      </c>
      <c r="X26" s="16">
        <f t="shared" si="6"/>
        <v>352.94117647058823</v>
      </c>
      <c r="Y26" s="18" t="s">
        <v>266</v>
      </c>
      <c r="Z26" s="10" t="s">
        <v>35</v>
      </c>
      <c r="AA26" s="10" t="s">
        <v>459</v>
      </c>
      <c r="AB26" s="10" t="s">
        <v>267</v>
      </c>
      <c r="AC26" s="10">
        <v>0</v>
      </c>
      <c r="AD26" s="10">
        <v>1</v>
      </c>
      <c r="AE26" s="10" t="s">
        <v>37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4" t="s">
        <v>2435</v>
      </c>
      <c r="B27" s="10" t="s">
        <v>2452</v>
      </c>
      <c r="C27" s="10" t="s">
        <v>2453</v>
      </c>
      <c r="D27" s="11">
        <v>45097</v>
      </c>
      <c r="E27" s="12">
        <v>120000</v>
      </c>
      <c r="F27" s="10" t="s">
        <v>32</v>
      </c>
      <c r="G27" s="10" t="s">
        <v>33</v>
      </c>
      <c r="H27" s="12">
        <v>120000</v>
      </c>
      <c r="I27" s="12">
        <v>53200</v>
      </c>
      <c r="J27" s="13">
        <f t="shared" si="0"/>
        <v>44.333333333333336</v>
      </c>
      <c r="K27" s="12">
        <v>136950</v>
      </c>
      <c r="L27" s="12">
        <f>H27-128171</f>
        <v>-8171</v>
      </c>
      <c r="M27" s="12">
        <v>8779</v>
      </c>
      <c r="N27" s="66">
        <f t="shared" si="1"/>
        <v>7.3158333333333339E-2</v>
      </c>
      <c r="O27" s="14">
        <v>47.45</v>
      </c>
      <c r="P27" s="15">
        <v>182.97</v>
      </c>
      <c r="Q27" s="16">
        <v>0.16800000000000001</v>
      </c>
      <c r="R27" s="16">
        <v>0.16800000000000001</v>
      </c>
      <c r="S27" s="12">
        <f t="shared" si="2"/>
        <v>-172.20231822971547</v>
      </c>
      <c r="T27" s="12">
        <f t="shared" si="3"/>
        <v>-48636.904761904756</v>
      </c>
      <c r="U27" s="17">
        <f t="shared" si="4"/>
        <v>-1.1165496960951504</v>
      </c>
      <c r="V27" s="16">
        <v>40</v>
      </c>
      <c r="W27" s="16">
        <f t="shared" si="5"/>
        <v>24000</v>
      </c>
      <c r="X27" s="16">
        <f t="shared" si="6"/>
        <v>600</v>
      </c>
      <c r="Y27" s="18" t="s">
        <v>2434</v>
      </c>
      <c r="Z27" s="10" t="s">
        <v>35</v>
      </c>
      <c r="AA27" s="10" t="s">
        <v>35</v>
      </c>
      <c r="AB27" s="10" t="s">
        <v>2435</v>
      </c>
      <c r="AC27" s="10">
        <v>0</v>
      </c>
      <c r="AD27" s="10">
        <v>1</v>
      </c>
      <c r="AE27" s="10" t="s">
        <v>37</v>
      </c>
      <c r="AF27" s="10" t="s">
        <v>43</v>
      </c>
      <c r="AG27" s="10" t="s">
        <v>38</v>
      </c>
      <c r="AH27" s="10" t="s">
        <v>92</v>
      </c>
    </row>
    <row r="28" spans="1:34" x14ac:dyDescent="0.3">
      <c r="A28" s="75" t="s">
        <v>2365</v>
      </c>
      <c r="B28" s="19" t="s">
        <v>2392</v>
      </c>
      <c r="C28" s="19" t="s">
        <v>2393</v>
      </c>
      <c r="D28" s="20">
        <v>45582</v>
      </c>
      <c r="E28" s="21">
        <v>135000</v>
      </c>
      <c r="F28" s="19" t="s">
        <v>81</v>
      </c>
      <c r="G28" s="19" t="s">
        <v>33</v>
      </c>
      <c r="H28" s="21">
        <v>135000</v>
      </c>
      <c r="I28" s="21">
        <v>76000</v>
      </c>
      <c r="J28" s="22">
        <f t="shared" si="0"/>
        <v>56.296296296296298</v>
      </c>
      <c r="K28" s="21">
        <v>176387</v>
      </c>
      <c r="L28" s="21">
        <f>H28-157010</f>
        <v>-22010</v>
      </c>
      <c r="M28" s="21">
        <v>19377</v>
      </c>
      <c r="N28" s="67">
        <f t="shared" si="1"/>
        <v>0.14353333333333335</v>
      </c>
      <c r="O28" s="23">
        <v>129.18</v>
      </c>
      <c r="P28" s="24">
        <v>163.69999999999999</v>
      </c>
      <c r="Q28" s="25">
        <v>0.436</v>
      </c>
      <c r="R28" s="25">
        <v>0.436</v>
      </c>
      <c r="S28" s="21">
        <f t="shared" si="2"/>
        <v>-170.38241213810187</v>
      </c>
      <c r="T28" s="21">
        <f t="shared" si="3"/>
        <v>-50481.651376146787</v>
      </c>
      <c r="U28" s="26">
        <f t="shared" si="4"/>
        <v>-1.1588992510593845</v>
      </c>
      <c r="V28" s="25">
        <v>116</v>
      </c>
      <c r="W28" s="25">
        <f t="shared" si="5"/>
        <v>27000</v>
      </c>
      <c r="X28" s="25">
        <f t="shared" si="6"/>
        <v>232.75862068965517</v>
      </c>
      <c r="Y28" s="27" t="s">
        <v>2364</v>
      </c>
      <c r="Z28" s="19" t="s">
        <v>35</v>
      </c>
      <c r="AA28" s="19" t="s">
        <v>35</v>
      </c>
      <c r="AB28" s="19" t="s">
        <v>2365</v>
      </c>
      <c r="AC28" s="19">
        <v>0</v>
      </c>
      <c r="AD28" s="19">
        <v>1</v>
      </c>
      <c r="AE28" s="19" t="s">
        <v>42</v>
      </c>
      <c r="AF28" s="19" t="s">
        <v>35</v>
      </c>
      <c r="AG28" s="19" t="s">
        <v>38</v>
      </c>
      <c r="AH28" s="19" t="s">
        <v>92</v>
      </c>
    </row>
    <row r="29" spans="1:34" x14ac:dyDescent="0.3">
      <c r="A29" s="75" t="s">
        <v>1563</v>
      </c>
      <c r="B29" s="19" t="s">
        <v>1564</v>
      </c>
      <c r="C29" s="19" t="s">
        <v>1565</v>
      </c>
      <c r="D29" s="20">
        <v>45100</v>
      </c>
      <c r="E29" s="21">
        <v>140000</v>
      </c>
      <c r="F29" s="19" t="s">
        <v>32</v>
      </c>
      <c r="G29" s="19" t="s">
        <v>33</v>
      </c>
      <c r="H29" s="21">
        <v>140000</v>
      </c>
      <c r="I29" s="21">
        <v>64200</v>
      </c>
      <c r="J29" s="22">
        <f t="shared" si="0"/>
        <v>45.857142857142854</v>
      </c>
      <c r="K29" s="21">
        <v>170484</v>
      </c>
      <c r="L29" s="21">
        <f>H29-155954</f>
        <v>-15954</v>
      </c>
      <c r="M29" s="21">
        <v>14530</v>
      </c>
      <c r="N29" s="67">
        <f t="shared" si="1"/>
        <v>0.10378571428571429</v>
      </c>
      <c r="O29" s="23">
        <v>94.35</v>
      </c>
      <c r="P29" s="24">
        <v>200</v>
      </c>
      <c r="Q29" s="25">
        <v>0.433</v>
      </c>
      <c r="R29" s="25">
        <v>0.433</v>
      </c>
      <c r="S29" s="21">
        <f t="shared" si="2"/>
        <v>-169.09379968203498</v>
      </c>
      <c r="T29" s="21">
        <f t="shared" si="3"/>
        <v>-36845.265588914554</v>
      </c>
      <c r="U29" s="26">
        <f t="shared" si="4"/>
        <v>-0.84585090883642222</v>
      </c>
      <c r="V29" s="25">
        <v>94.47</v>
      </c>
      <c r="W29" s="25">
        <f t="shared" si="5"/>
        <v>28000</v>
      </c>
      <c r="X29" s="25">
        <f t="shared" si="6"/>
        <v>296.39038848311634</v>
      </c>
      <c r="Y29" s="27" t="s">
        <v>1562</v>
      </c>
      <c r="Z29" s="19" t="s">
        <v>35</v>
      </c>
      <c r="AA29" s="19" t="s">
        <v>35</v>
      </c>
      <c r="AB29" s="19" t="s">
        <v>1563</v>
      </c>
      <c r="AC29" s="19">
        <v>0</v>
      </c>
      <c r="AD29" s="19">
        <v>0</v>
      </c>
      <c r="AE29" s="19" t="s">
        <v>42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5" t="s">
        <v>2033</v>
      </c>
      <c r="B30" s="19" t="s">
        <v>2030</v>
      </c>
      <c r="C30" s="19" t="s">
        <v>2031</v>
      </c>
      <c r="D30" s="20">
        <v>45667</v>
      </c>
      <c r="E30" s="21">
        <v>115000</v>
      </c>
      <c r="F30" s="19" t="s">
        <v>32</v>
      </c>
      <c r="G30" s="19" t="s">
        <v>33</v>
      </c>
      <c r="H30" s="21">
        <v>115000</v>
      </c>
      <c r="I30" s="21">
        <v>57400</v>
      </c>
      <c r="J30" s="22">
        <f t="shared" si="0"/>
        <v>49.913043478260875</v>
      </c>
      <c r="K30" s="21">
        <v>135410</v>
      </c>
      <c r="L30" s="21">
        <f>H30-123557</f>
        <v>-8557</v>
      </c>
      <c r="M30" s="21">
        <v>11853</v>
      </c>
      <c r="N30" s="67">
        <f t="shared" si="1"/>
        <v>0.1030695652173913</v>
      </c>
      <c r="O30" s="23">
        <v>58.38</v>
      </c>
      <c r="P30" s="24">
        <v>150</v>
      </c>
      <c r="Q30" s="25">
        <v>0.17199999999999999</v>
      </c>
      <c r="R30" s="25">
        <v>0.17199999999999999</v>
      </c>
      <c r="S30" s="21">
        <f t="shared" si="2"/>
        <v>-146.57416923603972</v>
      </c>
      <c r="T30" s="21">
        <f t="shared" si="3"/>
        <v>-49750.000000000007</v>
      </c>
      <c r="U30" s="26">
        <f t="shared" si="4"/>
        <v>-1.1421028466483014</v>
      </c>
      <c r="V30" s="25">
        <v>50</v>
      </c>
      <c r="W30" s="25">
        <f t="shared" si="5"/>
        <v>23000</v>
      </c>
      <c r="X30" s="25">
        <f t="shared" si="6"/>
        <v>460</v>
      </c>
      <c r="Y30" s="27" t="s">
        <v>2032</v>
      </c>
      <c r="Z30" s="19" t="s">
        <v>35</v>
      </c>
      <c r="AA30" s="19" t="s">
        <v>35</v>
      </c>
      <c r="AB30" s="19" t="s">
        <v>2033</v>
      </c>
      <c r="AC30" s="19">
        <v>0</v>
      </c>
      <c r="AD30" s="19">
        <v>1</v>
      </c>
      <c r="AE30" s="19" t="s">
        <v>42</v>
      </c>
      <c r="AF30" s="19" t="s">
        <v>35</v>
      </c>
      <c r="AG30" s="19" t="s">
        <v>38</v>
      </c>
      <c r="AH30" s="19" t="s">
        <v>92</v>
      </c>
    </row>
    <row r="31" spans="1:34" x14ac:dyDescent="0.3">
      <c r="A31" s="74" t="s">
        <v>2435</v>
      </c>
      <c r="B31" s="10" t="s">
        <v>2442</v>
      </c>
      <c r="C31" s="10" t="s">
        <v>2443</v>
      </c>
      <c r="D31" s="11">
        <v>45037</v>
      </c>
      <c r="E31" s="12">
        <v>92900</v>
      </c>
      <c r="F31" s="10" t="s">
        <v>32</v>
      </c>
      <c r="G31" s="10" t="s">
        <v>33</v>
      </c>
      <c r="H31" s="12">
        <v>92900</v>
      </c>
      <c r="I31" s="12">
        <v>40400</v>
      </c>
      <c r="J31" s="13">
        <f t="shared" si="0"/>
        <v>43.487621097954793</v>
      </c>
      <c r="K31" s="12">
        <v>108119</v>
      </c>
      <c r="L31" s="12">
        <f>H31-99436</f>
        <v>-6536</v>
      </c>
      <c r="M31" s="12">
        <v>8683</v>
      </c>
      <c r="N31" s="66">
        <f t="shared" si="1"/>
        <v>9.3466092572658768E-2</v>
      </c>
      <c r="O31" s="14">
        <v>46.93</v>
      </c>
      <c r="P31" s="15">
        <v>178.97</v>
      </c>
      <c r="Q31" s="16">
        <v>0.16400000000000001</v>
      </c>
      <c r="R31" s="16">
        <v>0.16400000000000001</v>
      </c>
      <c r="S31" s="12">
        <f t="shared" si="2"/>
        <v>-139.27125506072875</v>
      </c>
      <c r="T31" s="12">
        <f t="shared" si="3"/>
        <v>-39853.658536585361</v>
      </c>
      <c r="U31" s="17">
        <f t="shared" si="4"/>
        <v>-0.91491410781876403</v>
      </c>
      <c r="V31" s="16">
        <v>40</v>
      </c>
      <c r="W31" s="16">
        <f t="shared" si="5"/>
        <v>18580</v>
      </c>
      <c r="X31" s="16">
        <f t="shared" si="6"/>
        <v>464.5</v>
      </c>
      <c r="Y31" s="18" t="s">
        <v>2434</v>
      </c>
      <c r="Z31" s="10" t="s">
        <v>35</v>
      </c>
      <c r="AA31" s="10" t="s">
        <v>35</v>
      </c>
      <c r="AB31" s="10" t="s">
        <v>2435</v>
      </c>
      <c r="AC31" s="10">
        <v>0</v>
      </c>
      <c r="AD31" s="10">
        <v>1</v>
      </c>
      <c r="AE31" s="10" t="s">
        <v>42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4" t="s">
        <v>652</v>
      </c>
      <c r="B32" s="10" t="s">
        <v>659</v>
      </c>
      <c r="C32" s="10" t="s">
        <v>660</v>
      </c>
      <c r="D32" s="11">
        <v>45691</v>
      </c>
      <c r="E32" s="12">
        <v>216900</v>
      </c>
      <c r="F32" s="10" t="s">
        <v>32</v>
      </c>
      <c r="G32" s="10" t="s">
        <v>33</v>
      </c>
      <c r="H32" s="12">
        <v>216900</v>
      </c>
      <c r="I32" s="12">
        <v>110500</v>
      </c>
      <c r="J32" s="13">
        <f t="shared" si="0"/>
        <v>50.945136007376668</v>
      </c>
      <c r="K32" s="12">
        <v>239471</v>
      </c>
      <c r="L32" s="12">
        <f>H32-225953</f>
        <v>-9053</v>
      </c>
      <c r="M32" s="12">
        <v>13518</v>
      </c>
      <c r="N32" s="66">
        <f t="shared" si="1"/>
        <v>6.2323651452282157E-2</v>
      </c>
      <c r="O32" s="14">
        <v>77.680000000000007</v>
      </c>
      <c r="P32" s="15">
        <v>200</v>
      </c>
      <c r="Q32" s="16">
        <v>0.29799999999999999</v>
      </c>
      <c r="R32" s="16">
        <v>0.29799999999999999</v>
      </c>
      <c r="S32" s="12">
        <f t="shared" si="2"/>
        <v>-116.54222451081358</v>
      </c>
      <c r="T32" s="12">
        <f t="shared" si="3"/>
        <v>-30379.194630872484</v>
      </c>
      <c r="U32" s="17">
        <f t="shared" si="4"/>
        <v>-0.6974103450613518</v>
      </c>
      <c r="V32" s="16">
        <v>65</v>
      </c>
      <c r="W32" s="16">
        <f t="shared" si="5"/>
        <v>43380</v>
      </c>
      <c r="X32" s="16">
        <f t="shared" si="6"/>
        <v>667.38461538461536</v>
      </c>
      <c r="Y32" s="18" t="s">
        <v>651</v>
      </c>
      <c r="Z32" s="10" t="s">
        <v>35</v>
      </c>
      <c r="AA32" s="10" t="s">
        <v>35</v>
      </c>
      <c r="AB32" s="10" t="s">
        <v>652</v>
      </c>
      <c r="AC32" s="10">
        <v>0</v>
      </c>
      <c r="AD32" s="10">
        <v>0</v>
      </c>
      <c r="AE32" s="10" t="s">
        <v>42</v>
      </c>
      <c r="AF32" s="10" t="s">
        <v>35</v>
      </c>
      <c r="AG32" s="10" t="s">
        <v>38</v>
      </c>
      <c r="AH32" s="10" t="s">
        <v>92</v>
      </c>
    </row>
    <row r="33" spans="1:34" x14ac:dyDescent="0.3">
      <c r="A33" s="75" t="s">
        <v>2727</v>
      </c>
      <c r="B33" s="19" t="s">
        <v>2762</v>
      </c>
      <c r="C33" s="19" t="s">
        <v>2763</v>
      </c>
      <c r="D33" s="20">
        <v>45187</v>
      </c>
      <c r="E33" s="21">
        <v>255000</v>
      </c>
      <c r="F33" s="19" t="s">
        <v>32</v>
      </c>
      <c r="G33" s="19" t="s">
        <v>33</v>
      </c>
      <c r="H33" s="21">
        <v>255000</v>
      </c>
      <c r="I33" s="21">
        <v>107700</v>
      </c>
      <c r="J33" s="22">
        <f t="shared" si="0"/>
        <v>42.235294117647058</v>
      </c>
      <c r="K33" s="21">
        <v>286194</v>
      </c>
      <c r="L33" s="21">
        <f>H33-262962</f>
        <v>-7962</v>
      </c>
      <c r="M33" s="21">
        <v>23232</v>
      </c>
      <c r="N33" s="67">
        <f t="shared" si="1"/>
        <v>9.1105882352941175E-2</v>
      </c>
      <c r="O33" s="23">
        <v>76.67</v>
      </c>
      <c r="P33" s="24">
        <v>162.63</v>
      </c>
      <c r="Q33" s="25">
        <v>0.251</v>
      </c>
      <c r="R33" s="25">
        <v>0.251</v>
      </c>
      <c r="S33" s="21">
        <f t="shared" si="2"/>
        <v>-103.84765879744359</v>
      </c>
      <c r="T33" s="21">
        <f t="shared" si="3"/>
        <v>-31721.115537848604</v>
      </c>
      <c r="U33" s="26">
        <f t="shared" si="4"/>
        <v>-0.72821661014344818</v>
      </c>
      <c r="V33" s="25">
        <v>67.22</v>
      </c>
      <c r="W33" s="25">
        <f t="shared" si="5"/>
        <v>51000</v>
      </c>
      <c r="X33" s="25">
        <f t="shared" si="6"/>
        <v>758.70276703362094</v>
      </c>
      <c r="Y33" s="27" t="s">
        <v>2726</v>
      </c>
      <c r="Z33" s="19" t="s">
        <v>35</v>
      </c>
      <c r="AA33" s="19" t="s">
        <v>35</v>
      </c>
      <c r="AB33" s="19" t="s">
        <v>2727</v>
      </c>
      <c r="AC33" s="19">
        <v>0</v>
      </c>
      <c r="AD33" s="19">
        <v>1</v>
      </c>
      <c r="AE33" s="19" t="s">
        <v>412</v>
      </c>
      <c r="AF33" s="19" t="s">
        <v>43</v>
      </c>
      <c r="AG33" s="19" t="s">
        <v>38</v>
      </c>
      <c r="AH33" s="19" t="s">
        <v>92</v>
      </c>
    </row>
    <row r="34" spans="1:34" x14ac:dyDescent="0.3">
      <c r="A34" s="74" t="s">
        <v>1194</v>
      </c>
      <c r="B34" s="10" t="s">
        <v>1515</v>
      </c>
      <c r="C34" s="10" t="s">
        <v>1516</v>
      </c>
      <c r="D34" s="11">
        <v>45498</v>
      </c>
      <c r="E34" s="12">
        <v>275000</v>
      </c>
      <c r="F34" s="10" t="s">
        <v>32</v>
      </c>
      <c r="G34" s="10" t="s">
        <v>33</v>
      </c>
      <c r="H34" s="12">
        <v>275000</v>
      </c>
      <c r="I34" s="12">
        <v>131000</v>
      </c>
      <c r="J34" s="13">
        <f t="shared" si="0"/>
        <v>47.63636363636364</v>
      </c>
      <c r="K34" s="12">
        <v>305040</v>
      </c>
      <c r="L34" s="12">
        <f>H34-285128</f>
        <v>-10128</v>
      </c>
      <c r="M34" s="12">
        <v>19912</v>
      </c>
      <c r="N34" s="66">
        <f t="shared" si="1"/>
        <v>7.2407272727272723E-2</v>
      </c>
      <c r="O34" s="14">
        <v>110.62</v>
      </c>
      <c r="P34" s="15">
        <v>350.96</v>
      </c>
      <c r="Q34" s="16">
        <v>0.66600000000000004</v>
      </c>
      <c r="R34" s="16">
        <v>0.66600000000000004</v>
      </c>
      <c r="S34" s="12">
        <f t="shared" si="2"/>
        <v>-91.556680527933466</v>
      </c>
      <c r="T34" s="12">
        <f t="shared" si="3"/>
        <v>-15207.207207207206</v>
      </c>
      <c r="U34" s="17">
        <f t="shared" si="4"/>
        <v>-0.34910944001853089</v>
      </c>
      <c r="V34" s="16">
        <v>85.26</v>
      </c>
      <c r="W34" s="16">
        <f t="shared" si="5"/>
        <v>55000</v>
      </c>
      <c r="X34" s="16">
        <f t="shared" si="6"/>
        <v>645.08562045507858</v>
      </c>
      <c r="Y34" s="18" t="s">
        <v>1193</v>
      </c>
      <c r="Z34" s="10" t="s">
        <v>35</v>
      </c>
      <c r="AA34" s="10" t="s">
        <v>35</v>
      </c>
      <c r="AB34" s="10" t="s">
        <v>1194</v>
      </c>
      <c r="AC34" s="10">
        <v>0</v>
      </c>
      <c r="AD34" s="10">
        <v>1</v>
      </c>
      <c r="AE34" s="10" t="s">
        <v>37</v>
      </c>
      <c r="AF34" s="10" t="s">
        <v>43</v>
      </c>
      <c r="AG34" s="10" t="s">
        <v>38</v>
      </c>
      <c r="AH34" s="10" t="s">
        <v>92</v>
      </c>
    </row>
    <row r="35" spans="1:34" x14ac:dyDescent="0.3">
      <c r="A35" s="75" t="s">
        <v>966</v>
      </c>
      <c r="B35" s="19" t="s">
        <v>971</v>
      </c>
      <c r="C35" s="19" t="s">
        <v>972</v>
      </c>
      <c r="D35" s="20">
        <v>45471</v>
      </c>
      <c r="E35" s="21">
        <v>70000</v>
      </c>
      <c r="F35" s="19" t="s">
        <v>32</v>
      </c>
      <c r="G35" s="19" t="s">
        <v>33</v>
      </c>
      <c r="H35" s="21">
        <v>70000</v>
      </c>
      <c r="I35" s="21">
        <v>75500</v>
      </c>
      <c r="J35" s="22">
        <f t="shared" si="0"/>
        <v>107.85714285714285</v>
      </c>
      <c r="K35" s="21">
        <v>112445</v>
      </c>
      <c r="L35" s="21">
        <f>H35-81100</f>
        <v>-11100</v>
      </c>
      <c r="M35" s="21">
        <v>31345</v>
      </c>
      <c r="N35" s="67">
        <f t="shared" si="1"/>
        <v>0.44778571428571429</v>
      </c>
      <c r="O35" s="23">
        <v>129.52000000000001</v>
      </c>
      <c r="P35" s="24">
        <v>304</v>
      </c>
      <c r="Q35" s="25">
        <v>0.97399999999999998</v>
      </c>
      <c r="R35" s="25">
        <v>0.96699999999999997</v>
      </c>
      <c r="S35" s="21">
        <f t="shared" si="2"/>
        <v>-85.701050030883252</v>
      </c>
      <c r="T35" s="21">
        <f t="shared" si="3"/>
        <v>-11396.303901437372</v>
      </c>
      <c r="U35" s="26">
        <f t="shared" si="4"/>
        <v>-0.26162313823318117</v>
      </c>
      <c r="V35" s="25">
        <v>109</v>
      </c>
      <c r="W35" s="25">
        <f t="shared" si="5"/>
        <v>14000</v>
      </c>
      <c r="X35" s="25">
        <f t="shared" si="6"/>
        <v>128.44036697247705</v>
      </c>
      <c r="Y35" s="27" t="s">
        <v>965</v>
      </c>
      <c r="Z35" s="19" t="s">
        <v>35</v>
      </c>
      <c r="AA35" s="19" t="s">
        <v>35</v>
      </c>
      <c r="AB35" s="19" t="s">
        <v>966</v>
      </c>
      <c r="AC35" s="19">
        <v>0</v>
      </c>
      <c r="AD35" s="19">
        <v>1</v>
      </c>
      <c r="AE35" s="19" t="s">
        <v>37</v>
      </c>
      <c r="AF35" s="19" t="s">
        <v>43</v>
      </c>
      <c r="AG35" s="19" t="s">
        <v>38</v>
      </c>
      <c r="AH35" s="19" t="s">
        <v>92</v>
      </c>
    </row>
    <row r="36" spans="1:34" x14ac:dyDescent="0.3">
      <c r="A36" s="75" t="s">
        <v>2435</v>
      </c>
      <c r="B36" s="19" t="s">
        <v>2575</v>
      </c>
      <c r="C36" s="19" t="s">
        <v>2576</v>
      </c>
      <c r="D36" s="20">
        <v>45615</v>
      </c>
      <c r="E36" s="21">
        <v>99900</v>
      </c>
      <c r="F36" s="19" t="s">
        <v>32</v>
      </c>
      <c r="G36" s="19" t="s">
        <v>33</v>
      </c>
      <c r="H36" s="21">
        <v>99900</v>
      </c>
      <c r="I36" s="21">
        <v>48600</v>
      </c>
      <c r="J36" s="22">
        <f t="shared" si="0"/>
        <v>48.648648648648653</v>
      </c>
      <c r="K36" s="21">
        <v>110897</v>
      </c>
      <c r="L36" s="21">
        <f>H36-102247</f>
        <v>-2347</v>
      </c>
      <c r="M36" s="21">
        <v>8650</v>
      </c>
      <c r="N36" s="67">
        <f t="shared" si="1"/>
        <v>8.6586586586586592E-2</v>
      </c>
      <c r="O36" s="23">
        <v>46.75</v>
      </c>
      <c r="P36" s="24">
        <v>177.64</v>
      </c>
      <c r="Q36" s="25">
        <v>0.16300000000000001</v>
      </c>
      <c r="R36" s="25">
        <v>0.16300000000000001</v>
      </c>
      <c r="S36" s="21">
        <f t="shared" si="2"/>
        <v>-50.203208556149733</v>
      </c>
      <c r="T36" s="21">
        <f t="shared" si="3"/>
        <v>-14398.773006134968</v>
      </c>
      <c r="U36" s="26">
        <f t="shared" si="4"/>
        <v>-0.33055034449345655</v>
      </c>
      <c r="V36" s="25">
        <v>40</v>
      </c>
      <c r="W36" s="25">
        <f t="shared" si="5"/>
        <v>19980</v>
      </c>
      <c r="X36" s="25">
        <f t="shared" si="6"/>
        <v>499.5</v>
      </c>
      <c r="Y36" s="27" t="s">
        <v>2434</v>
      </c>
      <c r="Z36" s="19" t="s">
        <v>35</v>
      </c>
      <c r="AA36" s="19" t="s">
        <v>35</v>
      </c>
      <c r="AB36" s="19" t="s">
        <v>2435</v>
      </c>
      <c r="AC36" s="19">
        <v>0</v>
      </c>
      <c r="AD36" s="19">
        <v>1</v>
      </c>
      <c r="AE36" s="19" t="s">
        <v>42</v>
      </c>
      <c r="AF36" s="19" t="s">
        <v>35</v>
      </c>
      <c r="AG36" s="19" t="s">
        <v>38</v>
      </c>
      <c r="AH36" s="19" t="s">
        <v>92</v>
      </c>
    </row>
    <row r="37" spans="1:34" x14ac:dyDescent="0.3">
      <c r="A37" s="75" t="s">
        <v>864</v>
      </c>
      <c r="B37" s="19" t="s">
        <v>937</v>
      </c>
      <c r="C37" s="19" t="s">
        <v>938</v>
      </c>
      <c r="D37" s="20">
        <v>45023</v>
      </c>
      <c r="E37" s="21">
        <v>170000</v>
      </c>
      <c r="F37" s="19" t="s">
        <v>32</v>
      </c>
      <c r="G37" s="19" t="s">
        <v>33</v>
      </c>
      <c r="H37" s="21">
        <v>170000</v>
      </c>
      <c r="I37" s="21">
        <v>68800</v>
      </c>
      <c r="J37" s="22">
        <f t="shared" si="0"/>
        <v>40.470588235294116</v>
      </c>
      <c r="K37" s="21">
        <v>187441</v>
      </c>
      <c r="L37" s="21">
        <f>H37-174110</f>
        <v>-4110</v>
      </c>
      <c r="M37" s="21">
        <v>13331</v>
      </c>
      <c r="N37" s="67">
        <f t="shared" si="1"/>
        <v>7.8417647058823522E-2</v>
      </c>
      <c r="O37" s="23">
        <v>87.12</v>
      </c>
      <c r="P37" s="24">
        <v>153.01</v>
      </c>
      <c r="Q37" s="25">
        <v>0.28100000000000003</v>
      </c>
      <c r="R37" s="25">
        <v>0.28100000000000003</v>
      </c>
      <c r="S37" s="21">
        <f t="shared" si="2"/>
        <v>-47.176308539944898</v>
      </c>
      <c r="T37" s="21">
        <f t="shared" si="3"/>
        <v>-14626.334519572953</v>
      </c>
      <c r="U37" s="26">
        <f t="shared" si="4"/>
        <v>-0.33577443800672524</v>
      </c>
      <c r="V37" s="25">
        <v>80</v>
      </c>
      <c r="W37" s="25">
        <f t="shared" si="5"/>
        <v>34000</v>
      </c>
      <c r="X37" s="25">
        <f t="shared" si="6"/>
        <v>425</v>
      </c>
      <c r="Y37" s="27" t="s">
        <v>863</v>
      </c>
      <c r="Z37" s="19" t="s">
        <v>35</v>
      </c>
      <c r="AA37" s="19" t="s">
        <v>35</v>
      </c>
      <c r="AB37" s="19" t="s">
        <v>864</v>
      </c>
      <c r="AC37" s="19">
        <v>0</v>
      </c>
      <c r="AD37" s="19">
        <v>1</v>
      </c>
      <c r="AE37" s="19" t="s">
        <v>42</v>
      </c>
      <c r="AF37" s="19" t="s">
        <v>43</v>
      </c>
      <c r="AG37" s="19" t="s">
        <v>38</v>
      </c>
      <c r="AH37" s="19" t="s">
        <v>92</v>
      </c>
    </row>
    <row r="38" spans="1:34" x14ac:dyDescent="0.3">
      <c r="A38" s="74" t="s">
        <v>1834</v>
      </c>
      <c r="B38" s="10" t="s">
        <v>1905</v>
      </c>
      <c r="C38" s="10" t="s">
        <v>1906</v>
      </c>
      <c r="D38" s="11">
        <v>45134</v>
      </c>
      <c r="E38" s="12">
        <v>261000</v>
      </c>
      <c r="F38" s="10" t="s">
        <v>32</v>
      </c>
      <c r="G38" s="10" t="s">
        <v>33</v>
      </c>
      <c r="H38" s="12">
        <v>261000</v>
      </c>
      <c r="I38" s="12">
        <v>112100</v>
      </c>
      <c r="J38" s="13">
        <f t="shared" si="0"/>
        <v>42.950191570881223</v>
      </c>
      <c r="K38" s="12">
        <v>288996</v>
      </c>
      <c r="L38" s="12">
        <f>H38-266731</f>
        <v>-5731</v>
      </c>
      <c r="M38" s="12">
        <v>22265</v>
      </c>
      <c r="N38" s="66">
        <f t="shared" si="1"/>
        <v>8.530651340996169E-2</v>
      </c>
      <c r="O38" s="14">
        <v>139.15</v>
      </c>
      <c r="P38" s="15">
        <v>150.96</v>
      </c>
      <c r="Q38" s="16">
        <v>0.4</v>
      </c>
      <c r="R38" s="16">
        <v>0.4</v>
      </c>
      <c r="S38" s="12">
        <f t="shared" si="2"/>
        <v>-41.185770750988141</v>
      </c>
      <c r="T38" s="12">
        <f t="shared" si="3"/>
        <v>-14327.5</v>
      </c>
      <c r="U38" s="17">
        <f t="shared" si="4"/>
        <v>-0.32891414141414144</v>
      </c>
      <c r="V38" s="16">
        <v>141.6</v>
      </c>
      <c r="W38" s="16">
        <f t="shared" si="5"/>
        <v>52200</v>
      </c>
      <c r="X38" s="16">
        <f t="shared" si="6"/>
        <v>368.64406779661016</v>
      </c>
      <c r="Y38" s="18" t="s">
        <v>1833</v>
      </c>
      <c r="Z38" s="10" t="s">
        <v>35</v>
      </c>
      <c r="AA38" s="10" t="s">
        <v>35</v>
      </c>
      <c r="AB38" s="10" t="s">
        <v>1834</v>
      </c>
      <c r="AC38" s="10">
        <v>0</v>
      </c>
      <c r="AD38" s="10">
        <v>1</v>
      </c>
      <c r="AE38" s="10" t="s">
        <v>42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4" t="s">
        <v>174</v>
      </c>
      <c r="B39" s="10" t="s">
        <v>187</v>
      </c>
      <c r="C39" s="10" t="s">
        <v>188</v>
      </c>
      <c r="D39" s="11">
        <v>45636</v>
      </c>
      <c r="E39" s="12">
        <v>235000</v>
      </c>
      <c r="F39" s="10" t="s">
        <v>32</v>
      </c>
      <c r="G39" s="10" t="s">
        <v>33</v>
      </c>
      <c r="H39" s="12">
        <v>235000</v>
      </c>
      <c r="I39" s="12">
        <v>123700</v>
      </c>
      <c r="J39" s="13">
        <f t="shared" si="0"/>
        <v>52.638297872340424</v>
      </c>
      <c r="K39" s="12">
        <v>249807</v>
      </c>
      <c r="L39" s="12">
        <f>H39-237838</f>
        <v>-2838</v>
      </c>
      <c r="M39" s="12">
        <v>11969</v>
      </c>
      <c r="N39" s="66">
        <f t="shared" si="1"/>
        <v>5.0931914893617022E-2</v>
      </c>
      <c r="O39" s="14">
        <v>92.07</v>
      </c>
      <c r="P39" s="15">
        <v>207.6</v>
      </c>
      <c r="Q39" s="16">
        <v>0.33600000000000002</v>
      </c>
      <c r="R39" s="16">
        <v>0.33400000000000002</v>
      </c>
      <c r="S39" s="12">
        <f t="shared" si="2"/>
        <v>-30.824372759856633</v>
      </c>
      <c r="T39" s="12">
        <f t="shared" si="3"/>
        <v>-8446.4285714285706</v>
      </c>
      <c r="U39" s="17">
        <f t="shared" si="4"/>
        <v>-0.19390331890331888</v>
      </c>
      <c r="V39" s="16">
        <v>70</v>
      </c>
      <c r="W39" s="16">
        <f t="shared" si="5"/>
        <v>47000</v>
      </c>
      <c r="X39" s="16">
        <f t="shared" si="6"/>
        <v>671.42857142857144</v>
      </c>
      <c r="Y39" s="18" t="s">
        <v>173</v>
      </c>
      <c r="Z39" s="10" t="s">
        <v>35</v>
      </c>
      <c r="AA39" s="10" t="s">
        <v>35</v>
      </c>
      <c r="AB39" s="10" t="s">
        <v>174</v>
      </c>
      <c r="AC39" s="10">
        <v>0</v>
      </c>
      <c r="AD39" s="10">
        <v>1</v>
      </c>
      <c r="AE39" s="10" t="s">
        <v>42</v>
      </c>
      <c r="AF39" s="10" t="s">
        <v>35</v>
      </c>
      <c r="AG39" s="10" t="s">
        <v>38</v>
      </c>
      <c r="AH39" s="10" t="s">
        <v>92</v>
      </c>
    </row>
    <row r="40" spans="1:34" x14ac:dyDescent="0.3">
      <c r="A40" s="75" t="s">
        <v>2365</v>
      </c>
      <c r="B40" s="19" t="s">
        <v>2383</v>
      </c>
      <c r="C40" s="19" t="s">
        <v>2384</v>
      </c>
      <c r="D40" s="20">
        <v>45085</v>
      </c>
      <c r="E40" s="21">
        <v>192500</v>
      </c>
      <c r="F40" s="19" t="s">
        <v>32</v>
      </c>
      <c r="G40" s="19" t="s">
        <v>66</v>
      </c>
      <c r="H40" s="21">
        <v>192500</v>
      </c>
      <c r="I40" s="21">
        <v>87300</v>
      </c>
      <c r="J40" s="22">
        <f t="shared" si="0"/>
        <v>45.350649350649356</v>
      </c>
      <c r="K40" s="21">
        <v>212325</v>
      </c>
      <c r="L40" s="21">
        <f>H40-193798</f>
        <v>-1298</v>
      </c>
      <c r="M40" s="21">
        <v>18527</v>
      </c>
      <c r="N40" s="67">
        <f t="shared" si="1"/>
        <v>9.624415584415584E-2</v>
      </c>
      <c r="O40" s="23">
        <v>123.51</v>
      </c>
      <c r="P40" s="24">
        <v>279.64</v>
      </c>
      <c r="Q40" s="25">
        <v>0.38500000000000001</v>
      </c>
      <c r="R40" s="25">
        <v>0.20899999999999999</v>
      </c>
      <c r="S40" s="21">
        <f t="shared" si="2"/>
        <v>-10.509270504412598</v>
      </c>
      <c r="T40" s="21">
        <f t="shared" si="3"/>
        <v>-3371.4285714285716</v>
      </c>
      <c r="U40" s="26">
        <f t="shared" si="4"/>
        <v>-7.7397350124622857E-2</v>
      </c>
      <c r="V40" s="25">
        <v>120</v>
      </c>
      <c r="W40" s="25">
        <f t="shared" si="5"/>
        <v>38500</v>
      </c>
      <c r="X40" s="25">
        <f t="shared" si="6"/>
        <v>320.83333333333331</v>
      </c>
      <c r="Y40" s="27" t="s">
        <v>2364</v>
      </c>
      <c r="Z40" s="19" t="s">
        <v>35</v>
      </c>
      <c r="AA40" s="19" t="s">
        <v>2385</v>
      </c>
      <c r="AB40" s="19" t="s">
        <v>2365</v>
      </c>
      <c r="AC40" s="19">
        <v>0</v>
      </c>
      <c r="AD40" s="19">
        <v>1</v>
      </c>
      <c r="AE40" s="19" t="s">
        <v>42</v>
      </c>
      <c r="AF40" s="19" t="s">
        <v>43</v>
      </c>
      <c r="AG40" s="19" t="s">
        <v>38</v>
      </c>
      <c r="AH40" s="19" t="s">
        <v>92</v>
      </c>
    </row>
    <row r="41" spans="1:34" x14ac:dyDescent="0.3">
      <c r="A41" s="74" t="s">
        <v>1194</v>
      </c>
      <c r="B41" s="10" t="s">
        <v>1523</v>
      </c>
      <c r="C41" s="10" t="s">
        <v>1524</v>
      </c>
      <c r="D41" s="11">
        <v>45086</v>
      </c>
      <c r="E41" s="12">
        <v>178500</v>
      </c>
      <c r="F41" s="10" t="s">
        <v>32</v>
      </c>
      <c r="G41" s="10" t="s">
        <v>33</v>
      </c>
      <c r="H41" s="12">
        <v>178500</v>
      </c>
      <c r="I41" s="12">
        <v>75300</v>
      </c>
      <c r="J41" s="13">
        <f t="shared" si="0"/>
        <v>42.184873949579831</v>
      </c>
      <c r="K41" s="12">
        <v>189134</v>
      </c>
      <c r="L41" s="12">
        <f>H41-178572</f>
        <v>-72</v>
      </c>
      <c r="M41" s="12">
        <v>10562</v>
      </c>
      <c r="N41" s="66">
        <f t="shared" si="1"/>
        <v>5.9170868347338937E-2</v>
      </c>
      <c r="O41" s="14">
        <v>58.67</v>
      </c>
      <c r="P41" s="15">
        <v>191.28</v>
      </c>
      <c r="Q41" s="16">
        <v>0.26300000000000001</v>
      </c>
      <c r="R41" s="16">
        <v>0.26300000000000001</v>
      </c>
      <c r="S41" s="12">
        <f t="shared" si="2"/>
        <v>-1.2272029998295551</v>
      </c>
      <c r="T41" s="12">
        <f t="shared" si="3"/>
        <v>-273.76425855513304</v>
      </c>
      <c r="U41" s="17">
        <f t="shared" si="4"/>
        <v>-6.2847625930930453E-3</v>
      </c>
      <c r="V41" s="16">
        <v>60</v>
      </c>
      <c r="W41" s="16">
        <f t="shared" si="5"/>
        <v>35700</v>
      </c>
      <c r="X41" s="16">
        <f t="shared" si="6"/>
        <v>595</v>
      </c>
      <c r="Y41" s="18" t="s">
        <v>1193</v>
      </c>
      <c r="Z41" s="10" t="s">
        <v>35</v>
      </c>
      <c r="AA41" s="10" t="s">
        <v>35</v>
      </c>
      <c r="AB41" s="10" t="s">
        <v>1194</v>
      </c>
      <c r="AC41" s="10">
        <v>0</v>
      </c>
      <c r="AD41" s="10">
        <v>1</v>
      </c>
      <c r="AE41" s="10" t="s">
        <v>37</v>
      </c>
      <c r="AF41" s="10" t="s">
        <v>43</v>
      </c>
      <c r="AG41" s="10" t="s">
        <v>38</v>
      </c>
      <c r="AH41" s="10" t="s">
        <v>92</v>
      </c>
    </row>
    <row r="42" spans="1:34" x14ac:dyDescent="0.3">
      <c r="A42" s="75" t="s">
        <v>1537</v>
      </c>
      <c r="B42" s="19" t="s">
        <v>1596</v>
      </c>
      <c r="C42" s="19" t="s">
        <v>1597</v>
      </c>
      <c r="D42" s="20">
        <v>45092</v>
      </c>
      <c r="E42" s="21">
        <v>205000</v>
      </c>
      <c r="F42" s="19" t="s">
        <v>32</v>
      </c>
      <c r="G42" s="19" t="s">
        <v>33</v>
      </c>
      <c r="H42" s="21">
        <v>205000</v>
      </c>
      <c r="I42" s="21">
        <v>92400</v>
      </c>
      <c r="J42" s="22">
        <f t="shared" si="0"/>
        <v>45.073170731707322</v>
      </c>
      <c r="K42" s="21">
        <v>223947</v>
      </c>
      <c r="L42" s="21">
        <f>H42-204179</f>
        <v>821</v>
      </c>
      <c r="M42" s="21">
        <v>19768</v>
      </c>
      <c r="N42" s="67">
        <f t="shared" si="1"/>
        <v>9.6429268292682932E-2</v>
      </c>
      <c r="O42" s="23">
        <v>94.13</v>
      </c>
      <c r="P42" s="24">
        <v>241.19</v>
      </c>
      <c r="Q42" s="25">
        <v>0.185</v>
      </c>
      <c r="R42" s="25">
        <v>0.33500000000000002</v>
      </c>
      <c r="S42" s="21">
        <f t="shared" si="2"/>
        <v>8.7219802400934885</v>
      </c>
      <c r="T42" s="21">
        <f t="shared" si="3"/>
        <v>4437.8378378378375</v>
      </c>
      <c r="U42" s="26">
        <f t="shared" si="4"/>
        <v>0.1018787382423746</v>
      </c>
      <c r="V42" s="25">
        <v>74</v>
      </c>
      <c r="W42" s="25">
        <f t="shared" si="5"/>
        <v>41000</v>
      </c>
      <c r="X42" s="25">
        <f t="shared" si="6"/>
        <v>554.05405405405406</v>
      </c>
      <c r="Y42" s="27" t="s">
        <v>1536</v>
      </c>
      <c r="Z42" s="19" t="s">
        <v>35</v>
      </c>
      <c r="AA42" s="19" t="s">
        <v>35</v>
      </c>
      <c r="AB42" s="19" t="s">
        <v>1537</v>
      </c>
      <c r="AC42" s="19">
        <v>0</v>
      </c>
      <c r="AD42" s="19">
        <v>1</v>
      </c>
      <c r="AE42" s="19" t="s">
        <v>42</v>
      </c>
      <c r="AF42" s="19" t="s">
        <v>43</v>
      </c>
      <c r="AG42" s="19" t="s">
        <v>38</v>
      </c>
      <c r="AH42" s="19" t="s">
        <v>92</v>
      </c>
    </row>
    <row r="43" spans="1:34" x14ac:dyDescent="0.3">
      <c r="A43" s="75" t="s">
        <v>215</v>
      </c>
      <c r="B43" s="19" t="s">
        <v>259</v>
      </c>
      <c r="C43" s="19" t="s">
        <v>260</v>
      </c>
      <c r="D43" s="20">
        <v>45679</v>
      </c>
      <c r="E43" s="21">
        <v>2500</v>
      </c>
      <c r="F43" s="19" t="s">
        <v>32</v>
      </c>
      <c r="G43" s="19" t="s">
        <v>66</v>
      </c>
      <c r="H43" s="21">
        <v>2500</v>
      </c>
      <c r="I43" s="21">
        <v>20600</v>
      </c>
      <c r="J43" s="22">
        <f t="shared" si="0"/>
        <v>824</v>
      </c>
      <c r="K43" s="21">
        <v>46830</v>
      </c>
      <c r="L43" s="21">
        <f>H43-0</f>
        <v>2500</v>
      </c>
      <c r="M43" s="21">
        <v>46830</v>
      </c>
      <c r="N43" s="67">
        <v>0</v>
      </c>
      <c r="O43" s="23">
        <v>217.81</v>
      </c>
      <c r="P43" s="24">
        <v>324.60000000000002</v>
      </c>
      <c r="Q43" s="25">
        <v>0.69299999999999995</v>
      </c>
      <c r="R43" s="25">
        <v>0.23799999999999999</v>
      </c>
      <c r="S43" s="21">
        <f t="shared" si="2"/>
        <v>11.477893576970754</v>
      </c>
      <c r="T43" s="21">
        <f t="shared" si="3"/>
        <v>3607.5036075036078</v>
      </c>
      <c r="U43" s="26">
        <f t="shared" si="4"/>
        <v>8.2816887224600733E-2</v>
      </c>
      <c r="V43" s="25">
        <v>187.46</v>
      </c>
      <c r="W43" s="25">
        <f t="shared" si="5"/>
        <v>500</v>
      </c>
      <c r="X43" s="25">
        <f t="shared" si="6"/>
        <v>2.6672356769444145</v>
      </c>
      <c r="Y43" s="27" t="s">
        <v>191</v>
      </c>
      <c r="Z43" s="19" t="s">
        <v>35</v>
      </c>
      <c r="AA43" s="19" t="s">
        <v>261</v>
      </c>
      <c r="AB43" s="19" t="s">
        <v>215</v>
      </c>
      <c r="AC43" s="19">
        <v>0</v>
      </c>
      <c r="AD43" s="19">
        <v>0</v>
      </c>
      <c r="AE43" s="19" t="s">
        <v>37</v>
      </c>
      <c r="AF43" s="19" t="s">
        <v>35</v>
      </c>
      <c r="AG43" s="19" t="s">
        <v>61</v>
      </c>
      <c r="AH43" s="19" t="s">
        <v>217</v>
      </c>
    </row>
    <row r="44" spans="1:34" x14ac:dyDescent="0.3">
      <c r="A44" s="75" t="s">
        <v>267</v>
      </c>
      <c r="B44" s="19" t="s">
        <v>534</v>
      </c>
      <c r="C44" s="19" t="s">
        <v>535</v>
      </c>
      <c r="D44" s="20">
        <v>45282</v>
      </c>
      <c r="E44" s="21">
        <v>178500</v>
      </c>
      <c r="F44" s="19" t="s">
        <v>32</v>
      </c>
      <c r="G44" s="19" t="s">
        <v>33</v>
      </c>
      <c r="H44" s="21">
        <v>178500</v>
      </c>
      <c r="I44" s="21">
        <v>73800</v>
      </c>
      <c r="J44" s="22">
        <f t="shared" si="0"/>
        <v>41.344537815126046</v>
      </c>
      <c r="K44" s="21">
        <v>195861</v>
      </c>
      <c r="L44" s="21">
        <f>H44-176767</f>
        <v>1733</v>
      </c>
      <c r="M44" s="21">
        <v>19094</v>
      </c>
      <c r="N44" s="67">
        <f t="shared" si="1"/>
        <v>0.10696918767507003</v>
      </c>
      <c r="O44" s="23">
        <v>94.06</v>
      </c>
      <c r="P44" s="24">
        <v>270</v>
      </c>
      <c r="Q44" s="25">
        <v>0.39700000000000002</v>
      </c>
      <c r="R44" s="25">
        <v>0.39700000000000002</v>
      </c>
      <c r="S44" s="21">
        <f t="shared" si="2"/>
        <v>18.424409951095047</v>
      </c>
      <c r="T44" s="21">
        <f t="shared" si="3"/>
        <v>4365.2392947103272</v>
      </c>
      <c r="U44" s="26">
        <f t="shared" si="4"/>
        <v>0.10021210502089824</v>
      </c>
      <c r="V44" s="25">
        <v>64</v>
      </c>
      <c r="W44" s="25">
        <f t="shared" si="5"/>
        <v>35700</v>
      </c>
      <c r="X44" s="25">
        <f t="shared" si="6"/>
        <v>557.8125</v>
      </c>
      <c r="Y44" s="27" t="s">
        <v>266</v>
      </c>
      <c r="Z44" s="19" t="s">
        <v>35</v>
      </c>
      <c r="AA44" s="19" t="s">
        <v>35</v>
      </c>
      <c r="AB44" s="19" t="s">
        <v>267</v>
      </c>
      <c r="AC44" s="19">
        <v>0</v>
      </c>
      <c r="AD44" s="19">
        <v>1</v>
      </c>
      <c r="AE44" s="19" t="s">
        <v>37</v>
      </c>
      <c r="AF44" s="19" t="s">
        <v>43</v>
      </c>
      <c r="AG44" s="19" t="s">
        <v>38</v>
      </c>
      <c r="AH44" s="19" t="s">
        <v>92</v>
      </c>
    </row>
    <row r="45" spans="1:34" x14ac:dyDescent="0.3">
      <c r="A45" s="75" t="s">
        <v>215</v>
      </c>
      <c r="B45" s="19" t="s">
        <v>242</v>
      </c>
      <c r="C45" s="19" t="s">
        <v>243</v>
      </c>
      <c r="D45" s="20">
        <v>45679</v>
      </c>
      <c r="E45" s="21">
        <v>2500</v>
      </c>
      <c r="F45" s="19" t="s">
        <v>32</v>
      </c>
      <c r="G45" s="19" t="s">
        <v>66</v>
      </c>
      <c r="H45" s="21">
        <v>2500</v>
      </c>
      <c r="I45" s="21">
        <v>12500</v>
      </c>
      <c r="J45" s="22">
        <f t="shared" si="0"/>
        <v>500</v>
      </c>
      <c r="K45" s="21">
        <v>28346</v>
      </c>
      <c r="L45" s="21">
        <f>H45-0</f>
        <v>2500</v>
      </c>
      <c r="M45" s="21">
        <v>28346</v>
      </c>
      <c r="N45" s="67">
        <v>0</v>
      </c>
      <c r="O45" s="23">
        <v>131.84</v>
      </c>
      <c r="P45" s="24">
        <v>231.05</v>
      </c>
      <c r="Q45" s="25">
        <v>0.35599999999999998</v>
      </c>
      <c r="R45" s="25">
        <v>0.113</v>
      </c>
      <c r="S45" s="21">
        <f t="shared" si="2"/>
        <v>18.962378640776699</v>
      </c>
      <c r="T45" s="21">
        <f t="shared" si="3"/>
        <v>7022.4719101123601</v>
      </c>
      <c r="U45" s="26">
        <f t="shared" si="4"/>
        <v>0.16121377204114692</v>
      </c>
      <c r="V45" s="25">
        <v>149</v>
      </c>
      <c r="W45" s="25">
        <f t="shared" si="5"/>
        <v>500</v>
      </c>
      <c r="X45" s="25">
        <f t="shared" si="6"/>
        <v>3.3557046979865772</v>
      </c>
      <c r="Y45" s="27" t="s">
        <v>191</v>
      </c>
      <c r="Z45" s="19" t="s">
        <v>35</v>
      </c>
      <c r="AA45" s="19" t="s">
        <v>244</v>
      </c>
      <c r="AB45" s="19" t="s">
        <v>215</v>
      </c>
      <c r="AC45" s="19">
        <v>0</v>
      </c>
      <c r="AD45" s="19">
        <v>1</v>
      </c>
      <c r="AE45" s="19" t="s">
        <v>37</v>
      </c>
      <c r="AF45" s="19" t="s">
        <v>35</v>
      </c>
      <c r="AG45" s="19" t="s">
        <v>61</v>
      </c>
      <c r="AH45" s="19" t="s">
        <v>217</v>
      </c>
    </row>
    <row r="46" spans="1:34" x14ac:dyDescent="0.3">
      <c r="A46" s="75" t="s">
        <v>267</v>
      </c>
      <c r="B46" s="19" t="s">
        <v>540</v>
      </c>
      <c r="C46" s="19" t="s">
        <v>541</v>
      </c>
      <c r="D46" s="20">
        <v>45058</v>
      </c>
      <c r="E46" s="21">
        <v>121900</v>
      </c>
      <c r="F46" s="19" t="s">
        <v>32</v>
      </c>
      <c r="G46" s="19" t="s">
        <v>33</v>
      </c>
      <c r="H46" s="21">
        <v>121900</v>
      </c>
      <c r="I46" s="21">
        <v>62500</v>
      </c>
      <c r="J46" s="22">
        <f t="shared" si="0"/>
        <v>51.271534044298605</v>
      </c>
      <c r="K46" s="21">
        <v>160488</v>
      </c>
      <c r="L46" s="21">
        <f>H46-117594</f>
        <v>4306</v>
      </c>
      <c r="M46" s="21">
        <v>42894</v>
      </c>
      <c r="N46" s="67">
        <f t="shared" si="1"/>
        <v>0.35187858900738311</v>
      </c>
      <c r="O46" s="23">
        <v>211.3</v>
      </c>
      <c r="P46" s="24">
        <v>286.26</v>
      </c>
      <c r="Q46" s="25">
        <v>0.91800000000000004</v>
      </c>
      <c r="R46" s="25">
        <v>0.91800000000000004</v>
      </c>
      <c r="S46" s="21">
        <f t="shared" si="2"/>
        <v>20.378608613345953</v>
      </c>
      <c r="T46" s="21">
        <f t="shared" si="3"/>
        <v>4690.6318082788666</v>
      </c>
      <c r="U46" s="26">
        <f t="shared" si="4"/>
        <v>0.10768208926260024</v>
      </c>
      <c r="V46" s="25">
        <v>139.63</v>
      </c>
      <c r="W46" s="25">
        <f t="shared" si="5"/>
        <v>24380</v>
      </c>
      <c r="X46" s="25">
        <f t="shared" si="6"/>
        <v>174.6043113943995</v>
      </c>
      <c r="Y46" s="27" t="s">
        <v>266</v>
      </c>
      <c r="Z46" s="19" t="s">
        <v>35</v>
      </c>
      <c r="AA46" s="19" t="s">
        <v>35</v>
      </c>
      <c r="AB46" s="19" t="s">
        <v>267</v>
      </c>
      <c r="AC46" s="19">
        <v>0</v>
      </c>
      <c r="AD46" s="19">
        <v>1</v>
      </c>
      <c r="AE46" s="19" t="s">
        <v>37</v>
      </c>
      <c r="AF46" s="19" t="s">
        <v>43</v>
      </c>
      <c r="AG46" s="19" t="s">
        <v>38</v>
      </c>
      <c r="AH46" s="19" t="s">
        <v>92</v>
      </c>
    </row>
    <row r="47" spans="1:34" x14ac:dyDescent="0.3">
      <c r="A47" s="75" t="s">
        <v>2435</v>
      </c>
      <c r="B47" s="19" t="s">
        <v>2446</v>
      </c>
      <c r="C47" s="19" t="s">
        <v>2447</v>
      </c>
      <c r="D47" s="20">
        <v>45054</v>
      </c>
      <c r="E47" s="21">
        <v>95000</v>
      </c>
      <c r="F47" s="19" t="s">
        <v>32</v>
      </c>
      <c r="G47" s="19" t="s">
        <v>33</v>
      </c>
      <c r="H47" s="21">
        <v>95000</v>
      </c>
      <c r="I47" s="21">
        <v>45500</v>
      </c>
      <c r="J47" s="22">
        <f t="shared" si="0"/>
        <v>47.89473684210526</v>
      </c>
      <c r="K47" s="21">
        <v>116554</v>
      </c>
      <c r="L47" s="21">
        <f>H47-90506</f>
        <v>4494</v>
      </c>
      <c r="M47" s="21">
        <v>26048</v>
      </c>
      <c r="N47" s="67">
        <f t="shared" si="1"/>
        <v>0.27418947368421054</v>
      </c>
      <c r="O47" s="23">
        <v>140.79</v>
      </c>
      <c r="P47" s="24">
        <v>178.97</v>
      </c>
      <c r="Q47" s="25">
        <v>0.49299999999999999</v>
      </c>
      <c r="R47" s="25">
        <v>0.49299999999999999</v>
      </c>
      <c r="S47" s="21">
        <f t="shared" si="2"/>
        <v>31.919880673343279</v>
      </c>
      <c r="T47" s="21">
        <f t="shared" si="3"/>
        <v>9115.6186612576057</v>
      </c>
      <c r="U47" s="26">
        <f t="shared" si="4"/>
        <v>0.2092658094870892</v>
      </c>
      <c r="V47" s="25">
        <v>120</v>
      </c>
      <c r="W47" s="25">
        <f t="shared" si="5"/>
        <v>19000</v>
      </c>
      <c r="X47" s="25">
        <f t="shared" si="6"/>
        <v>158.33333333333334</v>
      </c>
      <c r="Y47" s="27" t="s">
        <v>2434</v>
      </c>
      <c r="Z47" s="19" t="s">
        <v>35</v>
      </c>
      <c r="AA47" s="19" t="s">
        <v>35</v>
      </c>
      <c r="AB47" s="19" t="s">
        <v>2435</v>
      </c>
      <c r="AC47" s="19">
        <v>0</v>
      </c>
      <c r="AD47" s="19">
        <v>1</v>
      </c>
      <c r="AE47" s="19" t="s">
        <v>42</v>
      </c>
      <c r="AF47" s="19" t="s">
        <v>43</v>
      </c>
      <c r="AG47" s="19" t="s">
        <v>38</v>
      </c>
      <c r="AH47" s="19" t="s">
        <v>92</v>
      </c>
    </row>
    <row r="48" spans="1:34" x14ac:dyDescent="0.3">
      <c r="A48" s="74" t="s">
        <v>1829</v>
      </c>
      <c r="B48" s="10" t="s">
        <v>1826</v>
      </c>
      <c r="C48" s="10" t="s">
        <v>1827</v>
      </c>
      <c r="D48" s="11">
        <v>45366</v>
      </c>
      <c r="E48" s="12">
        <v>333000</v>
      </c>
      <c r="F48" s="10" t="s">
        <v>32</v>
      </c>
      <c r="G48" s="10" t="s">
        <v>33</v>
      </c>
      <c r="H48" s="12">
        <v>333000</v>
      </c>
      <c r="I48" s="12">
        <v>99800</v>
      </c>
      <c r="J48" s="13">
        <f t="shared" si="0"/>
        <v>29.969969969969966</v>
      </c>
      <c r="K48" s="12">
        <v>347618</v>
      </c>
      <c r="L48" s="12">
        <f>H48-328935</f>
        <v>4065</v>
      </c>
      <c r="M48" s="12">
        <v>18683</v>
      </c>
      <c r="N48" s="66">
        <f t="shared" si="1"/>
        <v>5.6105105105105108E-2</v>
      </c>
      <c r="O48" s="14">
        <v>92.95</v>
      </c>
      <c r="P48" s="15">
        <v>300</v>
      </c>
      <c r="Q48" s="16">
        <v>0.41299999999999998</v>
      </c>
      <c r="R48" s="16">
        <v>0.41299999999999998</v>
      </c>
      <c r="S48" s="12">
        <f t="shared" si="2"/>
        <v>43.73318988703604</v>
      </c>
      <c r="T48" s="12">
        <f t="shared" si="3"/>
        <v>9842.6150121065384</v>
      </c>
      <c r="U48" s="17">
        <f t="shared" si="4"/>
        <v>0.22595534922191318</v>
      </c>
      <c r="V48" s="16">
        <v>60</v>
      </c>
      <c r="W48" s="16">
        <f t="shared" si="5"/>
        <v>66600</v>
      </c>
      <c r="X48" s="16">
        <f t="shared" si="6"/>
        <v>1110</v>
      </c>
      <c r="Y48" s="18" t="s">
        <v>1828</v>
      </c>
      <c r="Z48" s="10" t="s">
        <v>35</v>
      </c>
      <c r="AA48" s="10" t="s">
        <v>35</v>
      </c>
      <c r="AB48" s="10" t="s">
        <v>1829</v>
      </c>
      <c r="AC48" s="10">
        <v>0</v>
      </c>
      <c r="AD48" s="10">
        <v>1</v>
      </c>
      <c r="AE48" s="10" t="s">
        <v>42</v>
      </c>
      <c r="AF48" s="10" t="s">
        <v>43</v>
      </c>
      <c r="AG48" s="10" t="s">
        <v>38</v>
      </c>
      <c r="AH48" s="10" t="s">
        <v>1830</v>
      </c>
    </row>
    <row r="49" spans="1:34" x14ac:dyDescent="0.3">
      <c r="A49" s="74" t="s">
        <v>2840</v>
      </c>
      <c r="B49" s="10" t="s">
        <v>2837</v>
      </c>
      <c r="C49" s="10" t="s">
        <v>2838</v>
      </c>
      <c r="D49" s="11">
        <v>45636</v>
      </c>
      <c r="E49" s="12">
        <v>7500</v>
      </c>
      <c r="F49" s="10" t="s">
        <v>32</v>
      </c>
      <c r="G49" s="10" t="s">
        <v>33</v>
      </c>
      <c r="H49" s="12">
        <v>7500</v>
      </c>
      <c r="I49" s="12">
        <v>14100</v>
      </c>
      <c r="J49" s="13">
        <f t="shared" si="0"/>
        <v>188</v>
      </c>
      <c r="K49" s="12">
        <v>29961</v>
      </c>
      <c r="L49" s="12">
        <f>H49-0</f>
        <v>7500</v>
      </c>
      <c r="M49" s="12">
        <v>29961</v>
      </c>
      <c r="N49" s="66">
        <v>0</v>
      </c>
      <c r="O49" s="14">
        <v>152.86000000000001</v>
      </c>
      <c r="P49" s="15">
        <v>285</v>
      </c>
      <c r="Q49" s="16">
        <v>1</v>
      </c>
      <c r="R49" s="16">
        <v>1</v>
      </c>
      <c r="S49" s="12">
        <f t="shared" si="2"/>
        <v>49.06450346722491</v>
      </c>
      <c r="T49" s="12">
        <f t="shared" si="3"/>
        <v>7500</v>
      </c>
      <c r="U49" s="17">
        <f t="shared" si="4"/>
        <v>0.17217630853994489</v>
      </c>
      <c r="V49" s="16">
        <v>152.86000000000001</v>
      </c>
      <c r="W49" s="16">
        <f t="shared" si="5"/>
        <v>1500</v>
      </c>
      <c r="X49" s="16">
        <f t="shared" si="6"/>
        <v>9.8129006934449823</v>
      </c>
      <c r="Y49" s="18" t="s">
        <v>2839</v>
      </c>
      <c r="Z49" s="10" t="s">
        <v>35</v>
      </c>
      <c r="AA49" s="10" t="s">
        <v>35</v>
      </c>
      <c r="AB49" s="10" t="s">
        <v>2840</v>
      </c>
      <c r="AC49" s="10">
        <v>0</v>
      </c>
      <c r="AD49" s="10">
        <v>1</v>
      </c>
      <c r="AE49" s="10" t="s">
        <v>37</v>
      </c>
      <c r="AF49" s="10" t="s">
        <v>35</v>
      </c>
      <c r="AG49" s="10" t="s">
        <v>61</v>
      </c>
      <c r="AH49" s="10" t="s">
        <v>92</v>
      </c>
    </row>
    <row r="50" spans="1:34" x14ac:dyDescent="0.3">
      <c r="A50" s="74" t="s">
        <v>2435</v>
      </c>
      <c r="B50" s="10" t="s">
        <v>2573</v>
      </c>
      <c r="C50" s="10" t="s">
        <v>2574</v>
      </c>
      <c r="D50" s="11">
        <v>45212</v>
      </c>
      <c r="E50" s="12">
        <v>138000</v>
      </c>
      <c r="F50" s="10" t="s">
        <v>32</v>
      </c>
      <c r="G50" s="10" t="s">
        <v>33</v>
      </c>
      <c r="H50" s="12">
        <v>138000</v>
      </c>
      <c r="I50" s="12">
        <v>56100</v>
      </c>
      <c r="J50" s="13">
        <f t="shared" si="0"/>
        <v>40.652173913043477</v>
      </c>
      <c r="K50" s="12">
        <v>144221</v>
      </c>
      <c r="L50" s="12">
        <f>H50-135571</f>
        <v>2429</v>
      </c>
      <c r="M50" s="12">
        <v>8650</v>
      </c>
      <c r="N50" s="66">
        <f t="shared" si="1"/>
        <v>6.2681159420289859E-2</v>
      </c>
      <c r="O50" s="14">
        <v>46.75</v>
      </c>
      <c r="P50" s="15">
        <v>177.64</v>
      </c>
      <c r="Q50" s="16">
        <v>0.16300000000000001</v>
      </c>
      <c r="R50" s="16">
        <v>0.16300000000000001</v>
      </c>
      <c r="S50" s="12">
        <f t="shared" si="2"/>
        <v>51.957219251336902</v>
      </c>
      <c r="T50" s="12">
        <f t="shared" si="3"/>
        <v>14901.840490797545</v>
      </c>
      <c r="U50" s="17">
        <f t="shared" si="4"/>
        <v>0.34209918482088031</v>
      </c>
      <c r="V50" s="16">
        <v>40</v>
      </c>
      <c r="W50" s="16">
        <f t="shared" si="5"/>
        <v>27600</v>
      </c>
      <c r="X50" s="16">
        <f t="shared" si="6"/>
        <v>690</v>
      </c>
      <c r="Y50" s="18" t="s">
        <v>2434</v>
      </c>
      <c r="Z50" s="10" t="s">
        <v>35</v>
      </c>
      <c r="AA50" s="10" t="s">
        <v>35</v>
      </c>
      <c r="AB50" s="10" t="s">
        <v>2435</v>
      </c>
      <c r="AC50" s="10">
        <v>0</v>
      </c>
      <c r="AD50" s="10">
        <v>1</v>
      </c>
      <c r="AE50" s="10" t="s">
        <v>42</v>
      </c>
      <c r="AF50" s="10" t="s">
        <v>43</v>
      </c>
      <c r="AG50" s="10" t="s">
        <v>38</v>
      </c>
      <c r="AH50" s="10" t="s">
        <v>92</v>
      </c>
    </row>
    <row r="51" spans="1:34" x14ac:dyDescent="0.3">
      <c r="A51" s="75" t="s">
        <v>2074</v>
      </c>
      <c r="B51" s="19" t="s">
        <v>2071</v>
      </c>
      <c r="C51" s="19" t="s">
        <v>2072</v>
      </c>
      <c r="D51" s="20">
        <v>45247</v>
      </c>
      <c r="E51" s="21">
        <v>350000</v>
      </c>
      <c r="F51" s="19" t="s">
        <v>32</v>
      </c>
      <c r="G51" s="19" t="s">
        <v>33</v>
      </c>
      <c r="H51" s="21">
        <v>350000</v>
      </c>
      <c r="I51" s="21">
        <v>164200</v>
      </c>
      <c r="J51" s="22">
        <f t="shared" si="0"/>
        <v>46.914285714285711</v>
      </c>
      <c r="K51" s="21">
        <v>373742</v>
      </c>
      <c r="L51" s="21">
        <f>H51-343341</f>
        <v>6659</v>
      </c>
      <c r="M51" s="21">
        <v>30401</v>
      </c>
      <c r="N51" s="67">
        <f t="shared" si="1"/>
        <v>8.6860000000000007E-2</v>
      </c>
      <c r="O51" s="23">
        <v>73.959999999999994</v>
      </c>
      <c r="P51" s="24">
        <v>160.49</v>
      </c>
      <c r="Q51" s="25">
        <v>0.27600000000000002</v>
      </c>
      <c r="R51" s="25">
        <v>0.27600000000000002</v>
      </c>
      <c r="S51" s="21">
        <f t="shared" si="2"/>
        <v>90.035154137371563</v>
      </c>
      <c r="T51" s="21">
        <f t="shared" si="3"/>
        <v>24126.811594202896</v>
      </c>
      <c r="U51" s="26">
        <f t="shared" si="4"/>
        <v>0.55387538095047972</v>
      </c>
      <c r="V51" s="25">
        <v>75</v>
      </c>
      <c r="W51" s="25">
        <f t="shared" si="5"/>
        <v>70000</v>
      </c>
      <c r="X51" s="25">
        <f t="shared" si="6"/>
        <v>933.33333333333337</v>
      </c>
      <c r="Y51" s="27" t="s">
        <v>2073</v>
      </c>
      <c r="Z51" s="19" t="s">
        <v>35</v>
      </c>
      <c r="AA51" s="19" t="s">
        <v>35</v>
      </c>
      <c r="AB51" s="19" t="s">
        <v>2074</v>
      </c>
      <c r="AC51" s="19">
        <v>0</v>
      </c>
      <c r="AD51" s="19">
        <v>1</v>
      </c>
      <c r="AE51" s="19" t="s">
        <v>37</v>
      </c>
      <c r="AF51" s="19" t="s">
        <v>43</v>
      </c>
      <c r="AG51" s="19" t="s">
        <v>38</v>
      </c>
      <c r="AH51" s="19" t="s">
        <v>92</v>
      </c>
    </row>
    <row r="52" spans="1:34" x14ac:dyDescent="0.3">
      <c r="A52" s="74" t="s">
        <v>2200</v>
      </c>
      <c r="B52" s="10" t="s">
        <v>2203</v>
      </c>
      <c r="C52" s="10" t="s">
        <v>2204</v>
      </c>
      <c r="D52" s="11">
        <v>45238</v>
      </c>
      <c r="E52" s="12">
        <v>215000</v>
      </c>
      <c r="F52" s="10" t="s">
        <v>32</v>
      </c>
      <c r="G52" s="10" t="s">
        <v>33</v>
      </c>
      <c r="H52" s="12">
        <v>215000</v>
      </c>
      <c r="I52" s="12">
        <v>95300</v>
      </c>
      <c r="J52" s="13">
        <f t="shared" si="0"/>
        <v>44.325581395348841</v>
      </c>
      <c r="K52" s="12">
        <v>225038</v>
      </c>
      <c r="L52" s="12">
        <f>H52-202279</f>
        <v>12721</v>
      </c>
      <c r="M52" s="12">
        <v>22759</v>
      </c>
      <c r="N52" s="66">
        <f t="shared" si="1"/>
        <v>0.10585581395348838</v>
      </c>
      <c r="O52" s="14">
        <v>133.09</v>
      </c>
      <c r="P52" s="15">
        <v>305</v>
      </c>
      <c r="Q52" s="16">
        <v>0.92400000000000004</v>
      </c>
      <c r="R52" s="16">
        <v>0.92400000000000004</v>
      </c>
      <c r="S52" s="12">
        <f t="shared" si="2"/>
        <v>95.581937035089041</v>
      </c>
      <c r="T52" s="12">
        <f t="shared" si="3"/>
        <v>13767.316017316016</v>
      </c>
      <c r="U52" s="17">
        <f t="shared" si="4"/>
        <v>0.31605408671524371</v>
      </c>
      <c r="V52" s="16">
        <v>132</v>
      </c>
      <c r="W52" s="16">
        <f t="shared" si="5"/>
        <v>43000</v>
      </c>
      <c r="X52" s="16">
        <f t="shared" si="6"/>
        <v>325.75757575757575</v>
      </c>
      <c r="Y52" s="18" t="s">
        <v>2199</v>
      </c>
      <c r="Z52" s="10" t="s">
        <v>35</v>
      </c>
      <c r="AA52" s="10" t="s">
        <v>35</v>
      </c>
      <c r="AB52" s="10" t="s">
        <v>2200</v>
      </c>
      <c r="AC52" s="10">
        <v>0</v>
      </c>
      <c r="AD52" s="10">
        <v>1</v>
      </c>
      <c r="AE52" s="10" t="s">
        <v>42</v>
      </c>
      <c r="AF52" s="10" t="s">
        <v>43</v>
      </c>
      <c r="AG52" s="10" t="s">
        <v>38</v>
      </c>
      <c r="AH52" s="10" t="s">
        <v>92</v>
      </c>
    </row>
    <row r="53" spans="1:34" x14ac:dyDescent="0.3">
      <c r="A53" s="74" t="s">
        <v>2846</v>
      </c>
      <c r="B53" s="10" t="s">
        <v>2863</v>
      </c>
      <c r="C53" s="10" t="s">
        <v>2864</v>
      </c>
      <c r="D53" s="11">
        <v>45441</v>
      </c>
      <c r="E53" s="12">
        <v>12000</v>
      </c>
      <c r="F53" s="10" t="s">
        <v>32</v>
      </c>
      <c r="G53" s="10" t="s">
        <v>66</v>
      </c>
      <c r="H53" s="12">
        <v>12000</v>
      </c>
      <c r="I53" s="12">
        <v>10000</v>
      </c>
      <c r="J53" s="13">
        <f t="shared" si="0"/>
        <v>83.333333333333343</v>
      </c>
      <c r="K53" s="12">
        <v>19954</v>
      </c>
      <c r="L53" s="12">
        <f>H53-0</f>
        <v>12000</v>
      </c>
      <c r="M53" s="12">
        <v>19954</v>
      </c>
      <c r="N53" s="66">
        <v>0</v>
      </c>
      <c r="O53" s="14">
        <v>124.7</v>
      </c>
      <c r="P53" s="15">
        <v>270</v>
      </c>
      <c r="Q53" s="16">
        <v>0.372</v>
      </c>
      <c r="R53" s="16">
        <v>0.186</v>
      </c>
      <c r="S53" s="12">
        <f t="shared" si="2"/>
        <v>96.230954290296708</v>
      </c>
      <c r="T53" s="12">
        <f t="shared" si="3"/>
        <v>32258.064516129034</v>
      </c>
      <c r="U53" s="17">
        <f t="shared" si="4"/>
        <v>0.74054326253739744</v>
      </c>
      <c r="V53" s="16">
        <v>120</v>
      </c>
      <c r="W53" s="16">
        <f t="shared" si="5"/>
        <v>2400</v>
      </c>
      <c r="X53" s="16">
        <f t="shared" si="6"/>
        <v>20</v>
      </c>
      <c r="Y53" s="18" t="s">
        <v>2845</v>
      </c>
      <c r="Z53" s="10" t="s">
        <v>35</v>
      </c>
      <c r="AA53" s="10" t="s">
        <v>2865</v>
      </c>
      <c r="AB53" s="10" t="s">
        <v>2846</v>
      </c>
      <c r="AC53" s="10">
        <v>0</v>
      </c>
      <c r="AD53" s="10">
        <v>0</v>
      </c>
      <c r="AE53" s="10" t="s">
        <v>2866</v>
      </c>
      <c r="AF53" s="10" t="s">
        <v>43</v>
      </c>
      <c r="AG53" s="10" t="s">
        <v>61</v>
      </c>
      <c r="AH53" s="10" t="s">
        <v>92</v>
      </c>
    </row>
    <row r="54" spans="1:34" x14ac:dyDescent="0.3">
      <c r="A54" s="75" t="s">
        <v>652</v>
      </c>
      <c r="B54" s="19" t="s">
        <v>663</v>
      </c>
      <c r="C54" s="19" t="s">
        <v>664</v>
      </c>
      <c r="D54" s="20">
        <v>45471</v>
      </c>
      <c r="E54" s="21">
        <v>220000</v>
      </c>
      <c r="F54" s="19" t="s">
        <v>32</v>
      </c>
      <c r="G54" s="19" t="s">
        <v>33</v>
      </c>
      <c r="H54" s="21">
        <v>220000</v>
      </c>
      <c r="I54" s="21">
        <v>107400</v>
      </c>
      <c r="J54" s="22">
        <f t="shared" si="0"/>
        <v>48.818181818181813</v>
      </c>
      <c r="K54" s="21">
        <v>239988</v>
      </c>
      <c r="L54" s="21">
        <f>H54-193517</f>
        <v>26483</v>
      </c>
      <c r="M54" s="21">
        <v>46471</v>
      </c>
      <c r="N54" s="67">
        <f t="shared" si="1"/>
        <v>0.21123181818181819</v>
      </c>
      <c r="O54" s="23">
        <v>267.07</v>
      </c>
      <c r="P54" s="24">
        <v>397.99</v>
      </c>
      <c r="Q54" s="25">
        <v>1.6240000000000001</v>
      </c>
      <c r="R54" s="25">
        <v>1.6240000000000001</v>
      </c>
      <c r="S54" s="21">
        <f t="shared" si="2"/>
        <v>99.161268581270832</v>
      </c>
      <c r="T54" s="21">
        <f t="shared" si="3"/>
        <v>16307.266009852216</v>
      </c>
      <c r="U54" s="26">
        <f t="shared" si="4"/>
        <v>0.37436331519403615</v>
      </c>
      <c r="V54" s="25">
        <v>119.82</v>
      </c>
      <c r="W54" s="25">
        <f t="shared" si="5"/>
        <v>44000</v>
      </c>
      <c r="X54" s="25">
        <f t="shared" si="6"/>
        <v>367.21749290602571</v>
      </c>
      <c r="Y54" s="27" t="s">
        <v>651</v>
      </c>
      <c r="Z54" s="19" t="s">
        <v>35</v>
      </c>
      <c r="AA54" s="19" t="s">
        <v>35</v>
      </c>
      <c r="AB54" s="19" t="s">
        <v>652</v>
      </c>
      <c r="AC54" s="19">
        <v>0</v>
      </c>
      <c r="AD54" s="19">
        <v>0</v>
      </c>
      <c r="AE54" s="19" t="s">
        <v>42</v>
      </c>
      <c r="AF54" s="19" t="s">
        <v>43</v>
      </c>
      <c r="AG54" s="19" t="s">
        <v>38</v>
      </c>
      <c r="AH54" s="19" t="s">
        <v>92</v>
      </c>
    </row>
    <row r="55" spans="1:34" x14ac:dyDescent="0.3">
      <c r="A55" s="74" t="s">
        <v>192</v>
      </c>
      <c r="B55" s="10" t="s">
        <v>262</v>
      </c>
      <c r="C55" s="10" t="s">
        <v>263</v>
      </c>
      <c r="D55" s="11">
        <v>45161</v>
      </c>
      <c r="E55" s="12">
        <v>295000</v>
      </c>
      <c r="F55" s="10" t="s">
        <v>32</v>
      </c>
      <c r="G55" s="10" t="s">
        <v>33</v>
      </c>
      <c r="H55" s="12">
        <v>295000</v>
      </c>
      <c r="I55" s="12">
        <v>74300</v>
      </c>
      <c r="J55" s="13">
        <f t="shared" si="0"/>
        <v>25.186440677966104</v>
      </c>
      <c r="K55" s="12">
        <v>305961</v>
      </c>
      <c r="L55" s="12">
        <f>H55-277106</f>
        <v>17894</v>
      </c>
      <c r="M55" s="12">
        <v>28855</v>
      </c>
      <c r="N55" s="66">
        <f t="shared" si="1"/>
        <v>9.7813559322033894E-2</v>
      </c>
      <c r="O55" s="14">
        <v>169.73</v>
      </c>
      <c r="P55" s="15">
        <v>325.56</v>
      </c>
      <c r="Q55" s="16">
        <v>0.754</v>
      </c>
      <c r="R55" s="16">
        <v>0.754</v>
      </c>
      <c r="S55" s="12">
        <f t="shared" si="2"/>
        <v>105.42626524480058</v>
      </c>
      <c r="T55" s="12">
        <f t="shared" si="3"/>
        <v>23732.095490716179</v>
      </c>
      <c r="U55" s="17">
        <f t="shared" si="4"/>
        <v>0.5448139460678646</v>
      </c>
      <c r="V55" s="16">
        <v>100.88</v>
      </c>
      <c r="W55" s="16">
        <f t="shared" si="5"/>
        <v>59000</v>
      </c>
      <c r="X55" s="16">
        <f t="shared" si="6"/>
        <v>584.85329103885806</v>
      </c>
      <c r="Y55" s="18" t="s">
        <v>195</v>
      </c>
      <c r="Z55" s="10" t="s">
        <v>35</v>
      </c>
      <c r="AA55" s="10" t="s">
        <v>35</v>
      </c>
      <c r="AB55" s="10" t="s">
        <v>192</v>
      </c>
      <c r="AC55" s="10">
        <v>0</v>
      </c>
      <c r="AD55" s="10">
        <v>0</v>
      </c>
      <c r="AE55" s="10" t="s">
        <v>37</v>
      </c>
      <c r="AF55" s="10" t="s">
        <v>43</v>
      </c>
      <c r="AG55" s="10" t="s">
        <v>38</v>
      </c>
      <c r="AH55" s="10" t="s">
        <v>92</v>
      </c>
    </row>
    <row r="56" spans="1:34" x14ac:dyDescent="0.3">
      <c r="A56" s="75" t="s">
        <v>2594</v>
      </c>
      <c r="B56" s="19" t="s">
        <v>2636</v>
      </c>
      <c r="C56" s="19" t="s">
        <v>2637</v>
      </c>
      <c r="D56" s="20">
        <v>45716</v>
      </c>
      <c r="E56" s="21">
        <v>160000</v>
      </c>
      <c r="F56" s="19" t="s">
        <v>32</v>
      </c>
      <c r="G56" s="19" t="s">
        <v>33</v>
      </c>
      <c r="H56" s="21">
        <v>160000</v>
      </c>
      <c r="I56" s="21">
        <v>76300</v>
      </c>
      <c r="J56" s="22">
        <f t="shared" si="0"/>
        <v>47.6875</v>
      </c>
      <c r="K56" s="21">
        <v>172728</v>
      </c>
      <c r="L56" s="21">
        <f>H56-148748</f>
        <v>11252</v>
      </c>
      <c r="M56" s="21">
        <v>23980</v>
      </c>
      <c r="N56" s="67">
        <f t="shared" si="1"/>
        <v>0.14987500000000001</v>
      </c>
      <c r="O56" s="23">
        <v>106.1</v>
      </c>
      <c r="P56" s="24">
        <v>204.74</v>
      </c>
      <c r="Q56" s="25">
        <v>0.38500000000000001</v>
      </c>
      <c r="R56" s="25">
        <v>0.38500000000000001</v>
      </c>
      <c r="S56" s="21">
        <f t="shared" si="2"/>
        <v>106.05089538171536</v>
      </c>
      <c r="T56" s="21">
        <f t="shared" si="3"/>
        <v>29225.974025974025</v>
      </c>
      <c r="U56" s="26">
        <f t="shared" si="4"/>
        <v>0.67093604283686925</v>
      </c>
      <c r="V56" s="25">
        <v>80</v>
      </c>
      <c r="W56" s="25">
        <f t="shared" si="5"/>
        <v>32000</v>
      </c>
      <c r="X56" s="25">
        <f t="shared" si="6"/>
        <v>400</v>
      </c>
      <c r="Y56" s="27" t="s">
        <v>2593</v>
      </c>
      <c r="Z56" s="19" t="s">
        <v>35</v>
      </c>
      <c r="AA56" s="19" t="s">
        <v>35</v>
      </c>
      <c r="AB56" s="19" t="s">
        <v>2594</v>
      </c>
      <c r="AC56" s="19">
        <v>0</v>
      </c>
      <c r="AD56" s="19">
        <v>1</v>
      </c>
      <c r="AE56" s="19" t="s">
        <v>412</v>
      </c>
      <c r="AF56" s="19" t="s">
        <v>35</v>
      </c>
      <c r="AG56" s="19" t="s">
        <v>38</v>
      </c>
      <c r="AH56" s="19" t="s">
        <v>92</v>
      </c>
    </row>
    <row r="57" spans="1:34" x14ac:dyDescent="0.3">
      <c r="A57" s="75" t="s">
        <v>267</v>
      </c>
      <c r="B57" s="19" t="s">
        <v>540</v>
      </c>
      <c r="C57" s="19" t="s">
        <v>541</v>
      </c>
      <c r="D57" s="20">
        <v>45520</v>
      </c>
      <c r="E57" s="21">
        <v>140500</v>
      </c>
      <c r="F57" s="19" t="s">
        <v>32</v>
      </c>
      <c r="G57" s="19" t="s">
        <v>33</v>
      </c>
      <c r="H57" s="21">
        <v>140500</v>
      </c>
      <c r="I57" s="21">
        <v>72100</v>
      </c>
      <c r="J57" s="22">
        <f t="shared" si="0"/>
        <v>51.316725978647682</v>
      </c>
      <c r="K57" s="21">
        <v>160488</v>
      </c>
      <c r="L57" s="21">
        <f>H57-117594</f>
        <v>22906</v>
      </c>
      <c r="M57" s="21">
        <v>42894</v>
      </c>
      <c r="N57" s="67">
        <f t="shared" si="1"/>
        <v>0.30529537366548043</v>
      </c>
      <c r="O57" s="23">
        <v>211.3</v>
      </c>
      <c r="P57" s="24">
        <v>286.26</v>
      </c>
      <c r="Q57" s="25">
        <v>0.91800000000000004</v>
      </c>
      <c r="R57" s="25">
        <v>0.91800000000000004</v>
      </c>
      <c r="S57" s="21">
        <f t="shared" si="2"/>
        <v>108.40511121628016</v>
      </c>
      <c r="T57" s="21">
        <f t="shared" si="3"/>
        <v>24952.069716775597</v>
      </c>
      <c r="U57" s="26">
        <f t="shared" si="4"/>
        <v>0.57282070056876944</v>
      </c>
      <c r="V57" s="25">
        <v>139.63</v>
      </c>
      <c r="W57" s="25">
        <f t="shared" si="5"/>
        <v>28100</v>
      </c>
      <c r="X57" s="25">
        <f t="shared" si="6"/>
        <v>201.24615054071475</v>
      </c>
      <c r="Y57" s="27" t="s">
        <v>266</v>
      </c>
      <c r="Z57" s="19" t="s">
        <v>35</v>
      </c>
      <c r="AA57" s="19" t="s">
        <v>35</v>
      </c>
      <c r="AB57" s="19" t="s">
        <v>267</v>
      </c>
      <c r="AC57" s="19">
        <v>0</v>
      </c>
      <c r="AD57" s="19">
        <v>1</v>
      </c>
      <c r="AE57" s="19" t="s">
        <v>37</v>
      </c>
      <c r="AF57" s="19" t="s">
        <v>43</v>
      </c>
      <c r="AG57" s="19" t="s">
        <v>38</v>
      </c>
      <c r="AH57" s="19" t="s">
        <v>92</v>
      </c>
    </row>
    <row r="58" spans="1:34" x14ac:dyDescent="0.3">
      <c r="A58" s="75" t="s">
        <v>1921</v>
      </c>
      <c r="B58" s="19" t="s">
        <v>1926</v>
      </c>
      <c r="C58" s="19" t="s">
        <v>1927</v>
      </c>
      <c r="D58" s="20">
        <v>45229</v>
      </c>
      <c r="E58" s="21">
        <v>235000</v>
      </c>
      <c r="F58" s="19" t="s">
        <v>32</v>
      </c>
      <c r="G58" s="19" t="s">
        <v>33</v>
      </c>
      <c r="H58" s="21">
        <v>235000</v>
      </c>
      <c r="I58" s="21">
        <v>94000</v>
      </c>
      <c r="J58" s="22">
        <f t="shared" si="0"/>
        <v>40</v>
      </c>
      <c r="K58" s="21">
        <v>240627</v>
      </c>
      <c r="L58" s="21">
        <f>H58-227503</f>
        <v>7497</v>
      </c>
      <c r="M58" s="21">
        <v>13124</v>
      </c>
      <c r="N58" s="67">
        <f t="shared" si="1"/>
        <v>5.58468085106383E-2</v>
      </c>
      <c r="O58" s="23">
        <v>68.349999999999994</v>
      </c>
      <c r="P58" s="24">
        <v>234.17</v>
      </c>
      <c r="Q58" s="25">
        <v>0.36</v>
      </c>
      <c r="R58" s="25">
        <v>0.36</v>
      </c>
      <c r="S58" s="21">
        <f t="shared" si="2"/>
        <v>109.68544257498172</v>
      </c>
      <c r="T58" s="21">
        <f t="shared" si="3"/>
        <v>20825</v>
      </c>
      <c r="U58" s="26">
        <f t="shared" si="4"/>
        <v>0.47807621671258033</v>
      </c>
      <c r="V58" s="25">
        <v>67</v>
      </c>
      <c r="W58" s="25">
        <f t="shared" si="5"/>
        <v>47000</v>
      </c>
      <c r="X58" s="25">
        <f t="shared" si="6"/>
        <v>701.49253731343288</v>
      </c>
      <c r="Y58" s="27" t="s">
        <v>1915</v>
      </c>
      <c r="Z58" s="19" t="s">
        <v>35</v>
      </c>
      <c r="AA58" s="19" t="s">
        <v>35</v>
      </c>
      <c r="AB58" s="19" t="s">
        <v>1921</v>
      </c>
      <c r="AC58" s="19">
        <v>0</v>
      </c>
      <c r="AD58" s="19">
        <v>1</v>
      </c>
      <c r="AE58" s="19" t="s">
        <v>1928</v>
      </c>
      <c r="AF58" s="19" t="s">
        <v>43</v>
      </c>
      <c r="AG58" s="19" t="s">
        <v>38</v>
      </c>
      <c r="AH58" s="19" t="s">
        <v>92</v>
      </c>
    </row>
    <row r="59" spans="1:34" x14ac:dyDescent="0.3">
      <c r="A59" s="75" t="s">
        <v>652</v>
      </c>
      <c r="B59" s="19" t="s">
        <v>655</v>
      </c>
      <c r="C59" s="19" t="s">
        <v>656</v>
      </c>
      <c r="D59" s="20">
        <v>45141</v>
      </c>
      <c r="E59" s="21">
        <v>138000</v>
      </c>
      <c r="F59" s="19" t="s">
        <v>32</v>
      </c>
      <c r="G59" s="19" t="s">
        <v>33</v>
      </c>
      <c r="H59" s="21">
        <v>138000</v>
      </c>
      <c r="I59" s="21">
        <v>60000</v>
      </c>
      <c r="J59" s="22">
        <f t="shared" si="0"/>
        <v>43.478260869565219</v>
      </c>
      <c r="K59" s="21">
        <v>143740</v>
      </c>
      <c r="L59" s="21">
        <f>H59-126874</f>
        <v>11126</v>
      </c>
      <c r="M59" s="21">
        <v>16866</v>
      </c>
      <c r="N59" s="67">
        <f t="shared" si="1"/>
        <v>0.12221739130434782</v>
      </c>
      <c r="O59" s="23">
        <v>96.92</v>
      </c>
      <c r="P59" s="24">
        <v>354.3</v>
      </c>
      <c r="Q59" s="25">
        <v>0.499</v>
      </c>
      <c r="R59" s="25">
        <v>0.499</v>
      </c>
      <c r="S59" s="21">
        <f t="shared" si="2"/>
        <v>114.79570780024763</v>
      </c>
      <c r="T59" s="21">
        <f t="shared" si="3"/>
        <v>22296.593186372746</v>
      </c>
      <c r="U59" s="26">
        <f t="shared" si="4"/>
        <v>0.51185934771287289</v>
      </c>
      <c r="V59" s="25">
        <v>60</v>
      </c>
      <c r="W59" s="25">
        <f t="shared" si="5"/>
        <v>27600</v>
      </c>
      <c r="X59" s="25">
        <f t="shared" si="6"/>
        <v>460</v>
      </c>
      <c r="Y59" s="27" t="s">
        <v>651</v>
      </c>
      <c r="Z59" s="19" t="s">
        <v>35</v>
      </c>
      <c r="AA59" s="19" t="s">
        <v>35</v>
      </c>
      <c r="AB59" s="19" t="s">
        <v>652</v>
      </c>
      <c r="AC59" s="19">
        <v>0</v>
      </c>
      <c r="AD59" s="19">
        <v>1</v>
      </c>
      <c r="AE59" s="19" t="s">
        <v>42</v>
      </c>
      <c r="AF59" s="19" t="s">
        <v>43</v>
      </c>
      <c r="AG59" s="19" t="s">
        <v>38</v>
      </c>
      <c r="AH59" s="19" t="s">
        <v>92</v>
      </c>
    </row>
    <row r="60" spans="1:34" x14ac:dyDescent="0.3">
      <c r="A60" s="75" t="s">
        <v>2435</v>
      </c>
      <c r="B60" s="19" t="s">
        <v>2440</v>
      </c>
      <c r="C60" s="19" t="s">
        <v>2441</v>
      </c>
      <c r="D60" s="20">
        <v>45548</v>
      </c>
      <c r="E60" s="21">
        <v>140000</v>
      </c>
      <c r="F60" s="19" t="s">
        <v>32</v>
      </c>
      <c r="G60" s="19" t="s">
        <v>33</v>
      </c>
      <c r="H60" s="21">
        <v>140000</v>
      </c>
      <c r="I60" s="21">
        <v>64600</v>
      </c>
      <c r="J60" s="22">
        <f t="shared" si="0"/>
        <v>46.142857142857139</v>
      </c>
      <c r="K60" s="21">
        <v>142873</v>
      </c>
      <c r="L60" s="21">
        <f>H60-134190</f>
        <v>5810</v>
      </c>
      <c r="M60" s="21">
        <v>8683</v>
      </c>
      <c r="N60" s="67">
        <f t="shared" si="1"/>
        <v>6.2021428571428575E-2</v>
      </c>
      <c r="O60" s="23">
        <v>46.93</v>
      </c>
      <c r="P60" s="24">
        <v>178.97</v>
      </c>
      <c r="Q60" s="25">
        <v>0.16400000000000001</v>
      </c>
      <c r="R60" s="25">
        <v>0.16400000000000001</v>
      </c>
      <c r="S60" s="21">
        <f t="shared" si="2"/>
        <v>123.80140634988281</v>
      </c>
      <c r="T60" s="21">
        <f t="shared" si="3"/>
        <v>35426.829268292684</v>
      </c>
      <c r="U60" s="26">
        <f t="shared" si="4"/>
        <v>0.8132880915586016</v>
      </c>
      <c r="V60" s="25">
        <v>40</v>
      </c>
      <c r="W60" s="25">
        <f t="shared" si="5"/>
        <v>28000</v>
      </c>
      <c r="X60" s="25">
        <f t="shared" si="6"/>
        <v>700</v>
      </c>
      <c r="Y60" s="27" t="s">
        <v>2434</v>
      </c>
      <c r="Z60" s="19" t="s">
        <v>35</v>
      </c>
      <c r="AA60" s="19" t="s">
        <v>35</v>
      </c>
      <c r="AB60" s="19" t="s">
        <v>2435</v>
      </c>
      <c r="AC60" s="19">
        <v>0</v>
      </c>
      <c r="AD60" s="19">
        <v>1</v>
      </c>
      <c r="AE60" s="19" t="s">
        <v>37</v>
      </c>
      <c r="AF60" s="19" t="s">
        <v>43</v>
      </c>
      <c r="AG60" s="19" t="s">
        <v>38</v>
      </c>
      <c r="AH60" s="19" t="s">
        <v>92</v>
      </c>
    </row>
    <row r="61" spans="1:34" x14ac:dyDescent="0.3">
      <c r="A61" s="74" t="s">
        <v>1563</v>
      </c>
      <c r="B61" s="10" t="s">
        <v>1568</v>
      </c>
      <c r="C61" s="10" t="s">
        <v>1569</v>
      </c>
      <c r="D61" s="11">
        <v>45182</v>
      </c>
      <c r="E61" s="12">
        <v>229000</v>
      </c>
      <c r="F61" s="10" t="s">
        <v>32</v>
      </c>
      <c r="G61" s="10" t="s">
        <v>33</v>
      </c>
      <c r="H61" s="12">
        <v>229000</v>
      </c>
      <c r="I61" s="12">
        <v>85200</v>
      </c>
      <c r="J61" s="13">
        <f t="shared" si="0"/>
        <v>37.20524017467249</v>
      </c>
      <c r="K61" s="12">
        <v>231359</v>
      </c>
      <c r="L61" s="12">
        <f>H61-215959</f>
        <v>13041</v>
      </c>
      <c r="M61" s="12">
        <v>15400</v>
      </c>
      <c r="N61" s="66">
        <f t="shared" si="1"/>
        <v>6.724890829694323E-2</v>
      </c>
      <c r="O61" s="14">
        <v>100</v>
      </c>
      <c r="P61" s="15">
        <v>200</v>
      </c>
      <c r="Q61" s="16">
        <v>0.45900000000000002</v>
      </c>
      <c r="R61" s="16">
        <v>0.45900000000000002</v>
      </c>
      <c r="S61" s="12">
        <f t="shared" si="2"/>
        <v>130.41</v>
      </c>
      <c r="T61" s="12">
        <f t="shared" si="3"/>
        <v>28411.764705882353</v>
      </c>
      <c r="U61" s="17">
        <f t="shared" si="4"/>
        <v>0.65224436882190895</v>
      </c>
      <c r="V61" s="16">
        <v>100</v>
      </c>
      <c r="W61" s="16">
        <f t="shared" si="5"/>
        <v>45800</v>
      </c>
      <c r="X61" s="16">
        <f t="shared" si="6"/>
        <v>458</v>
      </c>
      <c r="Y61" s="18" t="s">
        <v>1562</v>
      </c>
      <c r="Z61" s="10" t="s">
        <v>35</v>
      </c>
      <c r="AA61" s="10" t="s">
        <v>35</v>
      </c>
      <c r="AB61" s="10" t="s">
        <v>1563</v>
      </c>
      <c r="AC61" s="10">
        <v>0</v>
      </c>
      <c r="AD61" s="10">
        <v>0</v>
      </c>
      <c r="AE61" s="10" t="s">
        <v>42</v>
      </c>
      <c r="AF61" s="10" t="s">
        <v>43</v>
      </c>
      <c r="AG61" s="10" t="s">
        <v>38</v>
      </c>
      <c r="AH61" s="10" t="s">
        <v>92</v>
      </c>
    </row>
    <row r="62" spans="1:34" x14ac:dyDescent="0.3">
      <c r="A62" s="74" t="s">
        <v>215</v>
      </c>
      <c r="B62" s="10" t="s">
        <v>255</v>
      </c>
      <c r="C62" s="10" t="s">
        <v>256</v>
      </c>
      <c r="D62" s="11">
        <v>45107</v>
      </c>
      <c r="E62" s="12">
        <v>155000</v>
      </c>
      <c r="F62" s="10" t="s">
        <v>32</v>
      </c>
      <c r="G62" s="10" t="s">
        <v>33</v>
      </c>
      <c r="H62" s="12">
        <v>155000</v>
      </c>
      <c r="I62" s="12">
        <v>63500</v>
      </c>
      <c r="J62" s="13">
        <f t="shared" si="0"/>
        <v>40.967741935483872</v>
      </c>
      <c r="K62" s="12">
        <v>161091</v>
      </c>
      <c r="L62" s="12">
        <f>H62-145553</f>
        <v>9447</v>
      </c>
      <c r="M62" s="12">
        <v>15538</v>
      </c>
      <c r="N62" s="66">
        <f t="shared" si="1"/>
        <v>0.10024516129032258</v>
      </c>
      <c r="O62" s="14">
        <v>72.27</v>
      </c>
      <c r="P62" s="15">
        <v>168.44</v>
      </c>
      <c r="Q62" s="16">
        <v>0.23599999999999999</v>
      </c>
      <c r="R62" s="16">
        <v>0.23599999999999999</v>
      </c>
      <c r="S62" s="12">
        <f t="shared" si="2"/>
        <v>130.71814030718141</v>
      </c>
      <c r="T62" s="12">
        <f t="shared" si="3"/>
        <v>40029.661016949154</v>
      </c>
      <c r="U62" s="17">
        <f t="shared" si="4"/>
        <v>0.91895456880048565</v>
      </c>
      <c r="V62" s="16">
        <v>61</v>
      </c>
      <c r="W62" s="16">
        <f t="shared" si="5"/>
        <v>31000</v>
      </c>
      <c r="X62" s="16">
        <f t="shared" si="6"/>
        <v>508.19672131147541</v>
      </c>
      <c r="Y62" s="18" t="s">
        <v>191</v>
      </c>
      <c r="Z62" s="10" t="s">
        <v>35</v>
      </c>
      <c r="AA62" s="10" t="s">
        <v>35</v>
      </c>
      <c r="AB62" s="10" t="s">
        <v>215</v>
      </c>
      <c r="AC62" s="10">
        <v>0</v>
      </c>
      <c r="AD62" s="10">
        <v>1</v>
      </c>
      <c r="AE62" s="10" t="s">
        <v>37</v>
      </c>
      <c r="AF62" s="10" t="s">
        <v>43</v>
      </c>
      <c r="AG62" s="10" t="s">
        <v>38</v>
      </c>
      <c r="AH62" s="10" t="s">
        <v>217</v>
      </c>
    </row>
    <row r="63" spans="1:34" x14ac:dyDescent="0.3">
      <c r="A63" s="74" t="s">
        <v>2435</v>
      </c>
      <c r="B63" s="10" t="s">
        <v>2444</v>
      </c>
      <c r="C63" s="10" t="s">
        <v>2445</v>
      </c>
      <c r="D63" s="11">
        <v>45580</v>
      </c>
      <c r="E63" s="12">
        <v>164000</v>
      </c>
      <c r="F63" s="10" t="s">
        <v>32</v>
      </c>
      <c r="G63" s="10" t="s">
        <v>33</v>
      </c>
      <c r="H63" s="12">
        <v>164000</v>
      </c>
      <c r="I63" s="12">
        <v>74100</v>
      </c>
      <c r="J63" s="13">
        <f t="shared" si="0"/>
        <v>45.182926829268297</v>
      </c>
      <c r="K63" s="12">
        <v>169185</v>
      </c>
      <c r="L63" s="12">
        <f>H63-151277</f>
        <v>12723</v>
      </c>
      <c r="M63" s="12">
        <v>17908</v>
      </c>
      <c r="N63" s="66">
        <f t="shared" si="1"/>
        <v>0.10919512195121951</v>
      </c>
      <c r="O63" s="14">
        <v>96.79</v>
      </c>
      <c r="P63" s="15">
        <v>178.97</v>
      </c>
      <c r="Q63" s="16">
        <v>0.33800000000000002</v>
      </c>
      <c r="R63" s="16">
        <v>0.33800000000000002</v>
      </c>
      <c r="S63" s="12">
        <f t="shared" si="2"/>
        <v>131.44952991011468</v>
      </c>
      <c r="T63" s="12">
        <f t="shared" si="3"/>
        <v>37642.011834319521</v>
      </c>
      <c r="U63" s="17">
        <f t="shared" si="4"/>
        <v>0.86414168582000739</v>
      </c>
      <c r="V63" s="16">
        <v>83</v>
      </c>
      <c r="W63" s="16">
        <f t="shared" si="5"/>
        <v>32800</v>
      </c>
      <c r="X63" s="16">
        <f t="shared" si="6"/>
        <v>395.18072289156629</v>
      </c>
      <c r="Y63" s="18" t="s">
        <v>2434</v>
      </c>
      <c r="Z63" s="10" t="s">
        <v>35</v>
      </c>
      <c r="AA63" s="10" t="s">
        <v>35</v>
      </c>
      <c r="AB63" s="10" t="s">
        <v>2435</v>
      </c>
      <c r="AC63" s="10">
        <v>0</v>
      </c>
      <c r="AD63" s="10">
        <v>1</v>
      </c>
      <c r="AE63" s="10" t="s">
        <v>37</v>
      </c>
      <c r="AF63" s="10" t="s">
        <v>35</v>
      </c>
      <c r="AG63" s="10" t="s">
        <v>38</v>
      </c>
      <c r="AH63" s="10" t="s">
        <v>92</v>
      </c>
    </row>
    <row r="64" spans="1:34" x14ac:dyDescent="0.3">
      <c r="A64" s="75" t="s">
        <v>2168</v>
      </c>
      <c r="B64" s="19" t="s">
        <v>2180</v>
      </c>
      <c r="C64" s="19" t="s">
        <v>2181</v>
      </c>
      <c r="D64" s="20">
        <v>45072</v>
      </c>
      <c r="E64" s="21">
        <v>94000</v>
      </c>
      <c r="F64" s="19" t="s">
        <v>32</v>
      </c>
      <c r="G64" s="19" t="s">
        <v>66</v>
      </c>
      <c r="H64" s="21">
        <v>94000</v>
      </c>
      <c r="I64" s="21">
        <v>35600</v>
      </c>
      <c r="J64" s="22">
        <f t="shared" si="0"/>
        <v>37.872340425531917</v>
      </c>
      <c r="K64" s="21">
        <v>93721</v>
      </c>
      <c r="L64" s="21">
        <f>H64-82663</f>
        <v>11337</v>
      </c>
      <c r="M64" s="21">
        <v>11058</v>
      </c>
      <c r="N64" s="67">
        <f t="shared" si="1"/>
        <v>0.11763829787234042</v>
      </c>
      <c r="O64" s="23">
        <v>83.13</v>
      </c>
      <c r="P64" s="24">
        <v>270</v>
      </c>
      <c r="Q64" s="25">
        <v>0.248</v>
      </c>
      <c r="R64" s="25">
        <v>0.124</v>
      </c>
      <c r="S64" s="21">
        <f t="shared" si="2"/>
        <v>136.37675929267414</v>
      </c>
      <c r="T64" s="21">
        <f t="shared" si="3"/>
        <v>45713.709677419356</v>
      </c>
      <c r="U64" s="26">
        <f t="shared" si="4"/>
        <v>1.0494423709233094</v>
      </c>
      <c r="V64" s="25">
        <v>80</v>
      </c>
      <c r="W64" s="25">
        <f t="shared" si="5"/>
        <v>18800</v>
      </c>
      <c r="X64" s="25">
        <f t="shared" si="6"/>
        <v>235</v>
      </c>
      <c r="Y64" s="27" t="s">
        <v>1562</v>
      </c>
      <c r="Z64" s="19" t="s">
        <v>35</v>
      </c>
      <c r="AA64" s="19" t="s">
        <v>2182</v>
      </c>
      <c r="AB64" s="19" t="s">
        <v>2168</v>
      </c>
      <c r="AC64" s="19">
        <v>0</v>
      </c>
      <c r="AD64" s="19">
        <v>1</v>
      </c>
      <c r="AE64" s="19" t="s">
        <v>42</v>
      </c>
      <c r="AF64" s="19" t="s">
        <v>43</v>
      </c>
      <c r="AG64" s="19" t="s">
        <v>38</v>
      </c>
      <c r="AH64" s="19" t="s">
        <v>92</v>
      </c>
    </row>
    <row r="65" spans="1:34" x14ac:dyDescent="0.3">
      <c r="A65" s="74" t="s">
        <v>693</v>
      </c>
      <c r="B65" s="10" t="s">
        <v>694</v>
      </c>
      <c r="C65" s="10" t="s">
        <v>695</v>
      </c>
      <c r="D65" s="11">
        <v>45044</v>
      </c>
      <c r="E65" s="12">
        <v>126000</v>
      </c>
      <c r="F65" s="10" t="s">
        <v>32</v>
      </c>
      <c r="G65" s="10" t="s">
        <v>33</v>
      </c>
      <c r="H65" s="12">
        <v>126000</v>
      </c>
      <c r="I65" s="12">
        <v>59200</v>
      </c>
      <c r="J65" s="13">
        <f t="shared" si="0"/>
        <v>46.984126984126981</v>
      </c>
      <c r="K65" s="12">
        <v>128493</v>
      </c>
      <c r="L65" s="12">
        <f>H65-116858</f>
        <v>9142</v>
      </c>
      <c r="M65" s="12">
        <v>11635</v>
      </c>
      <c r="N65" s="66">
        <f t="shared" si="1"/>
        <v>9.2341269841269835E-2</v>
      </c>
      <c r="O65" s="14">
        <v>66.48</v>
      </c>
      <c r="P65" s="15">
        <v>304.43</v>
      </c>
      <c r="Q65" s="16">
        <v>0.46100000000000002</v>
      </c>
      <c r="R65" s="16">
        <v>0.46100000000000002</v>
      </c>
      <c r="S65" s="12">
        <f t="shared" si="2"/>
        <v>137.51504211793019</v>
      </c>
      <c r="T65" s="12">
        <f t="shared" si="3"/>
        <v>19830.802603036875</v>
      </c>
      <c r="U65" s="17">
        <f t="shared" si="4"/>
        <v>0.45525258501002924</v>
      </c>
      <c r="V65" s="16">
        <v>66</v>
      </c>
      <c r="W65" s="16">
        <f t="shared" si="5"/>
        <v>25200</v>
      </c>
      <c r="X65" s="16">
        <f t="shared" si="6"/>
        <v>381.81818181818181</v>
      </c>
      <c r="Y65" s="18" t="s">
        <v>692</v>
      </c>
      <c r="Z65" s="10" t="s">
        <v>35</v>
      </c>
      <c r="AA65" s="10" t="s">
        <v>35</v>
      </c>
      <c r="AB65" s="10" t="s">
        <v>693</v>
      </c>
      <c r="AC65" s="10">
        <v>0</v>
      </c>
      <c r="AD65" s="10">
        <v>1</v>
      </c>
      <c r="AE65" s="10" t="s">
        <v>37</v>
      </c>
      <c r="AF65" s="10" t="s">
        <v>43</v>
      </c>
      <c r="AG65" s="10" t="s">
        <v>38</v>
      </c>
      <c r="AH65" s="10" t="s">
        <v>92</v>
      </c>
    </row>
    <row r="66" spans="1:34" x14ac:dyDescent="0.3">
      <c r="A66" s="75" t="s">
        <v>2163</v>
      </c>
      <c r="B66" s="19" t="s">
        <v>2160</v>
      </c>
      <c r="C66" s="19" t="s">
        <v>2161</v>
      </c>
      <c r="D66" s="20">
        <v>45490</v>
      </c>
      <c r="E66" s="21">
        <v>140000</v>
      </c>
      <c r="F66" s="19" t="s">
        <v>81</v>
      </c>
      <c r="G66" s="19" t="s">
        <v>33</v>
      </c>
      <c r="H66" s="21">
        <v>140000</v>
      </c>
      <c r="I66" s="21">
        <v>63000</v>
      </c>
      <c r="J66" s="22">
        <f t="shared" si="0"/>
        <v>45</v>
      </c>
      <c r="K66" s="21">
        <v>146030</v>
      </c>
      <c r="L66" s="21">
        <f>H66-130615</f>
        <v>9385</v>
      </c>
      <c r="M66" s="21">
        <v>15415</v>
      </c>
      <c r="N66" s="67">
        <f t="shared" si="1"/>
        <v>0.11010714285714286</v>
      </c>
      <c r="O66" s="23">
        <v>65.31</v>
      </c>
      <c r="P66" s="24">
        <v>200</v>
      </c>
      <c r="Q66" s="25">
        <v>0.36699999999999999</v>
      </c>
      <c r="R66" s="25">
        <v>0.36699999999999999</v>
      </c>
      <c r="S66" s="21">
        <f t="shared" si="2"/>
        <v>143.69928035522889</v>
      </c>
      <c r="T66" s="21">
        <f t="shared" si="3"/>
        <v>25572.207084468664</v>
      </c>
      <c r="U66" s="26">
        <f t="shared" si="4"/>
        <v>0.58705709560304553</v>
      </c>
      <c r="V66" s="25">
        <v>80</v>
      </c>
      <c r="W66" s="25">
        <f t="shared" si="5"/>
        <v>28000</v>
      </c>
      <c r="X66" s="25">
        <f t="shared" si="6"/>
        <v>350</v>
      </c>
      <c r="Y66" s="27" t="s">
        <v>2162</v>
      </c>
      <c r="Z66" s="19" t="s">
        <v>35</v>
      </c>
      <c r="AA66" s="19" t="s">
        <v>35</v>
      </c>
      <c r="AB66" s="19" t="s">
        <v>2163</v>
      </c>
      <c r="AC66" s="19">
        <v>0</v>
      </c>
      <c r="AD66" s="19">
        <v>1</v>
      </c>
      <c r="AE66" s="19" t="s">
        <v>1968</v>
      </c>
      <c r="AF66" s="19" t="s">
        <v>43</v>
      </c>
      <c r="AG66" s="19" t="s">
        <v>38</v>
      </c>
      <c r="AH66" s="19" t="s">
        <v>92</v>
      </c>
    </row>
    <row r="67" spans="1:34" x14ac:dyDescent="0.3">
      <c r="A67" s="75" t="s">
        <v>1555</v>
      </c>
      <c r="B67" s="19" t="s">
        <v>1552</v>
      </c>
      <c r="C67" s="19" t="s">
        <v>1553</v>
      </c>
      <c r="D67" s="20">
        <v>45590</v>
      </c>
      <c r="E67" s="21">
        <v>225500</v>
      </c>
      <c r="F67" s="19" t="s">
        <v>32</v>
      </c>
      <c r="G67" s="19" t="s">
        <v>33</v>
      </c>
      <c r="H67" s="21">
        <v>225500</v>
      </c>
      <c r="I67" s="21">
        <v>97200</v>
      </c>
      <c r="J67" s="22">
        <f t="shared" ref="J67:J130" si="7">I67/H67*100</f>
        <v>43.104212860310419</v>
      </c>
      <c r="K67" s="21">
        <v>228515</v>
      </c>
      <c r="L67" s="21">
        <f>H67-215643</f>
        <v>9857</v>
      </c>
      <c r="M67" s="21">
        <v>12872</v>
      </c>
      <c r="N67" s="67">
        <f t="shared" ref="N67:N130" si="8">M67/E67</f>
        <v>5.7082039911308204E-2</v>
      </c>
      <c r="O67" s="23">
        <v>66</v>
      </c>
      <c r="P67" s="24">
        <v>300.07</v>
      </c>
      <c r="Q67" s="25">
        <v>0.45500000000000002</v>
      </c>
      <c r="R67" s="25">
        <v>0.45500000000000002</v>
      </c>
      <c r="S67" s="21">
        <f t="shared" ref="S67:S130" si="9">L67/O67</f>
        <v>149.34848484848484</v>
      </c>
      <c r="T67" s="21">
        <f t="shared" ref="T67:T130" si="10">L67/Q67</f>
        <v>21663.736263736264</v>
      </c>
      <c r="U67" s="26">
        <f t="shared" ref="U67:U130" si="11">L67/Q67/43560</f>
        <v>0.49733095187640641</v>
      </c>
      <c r="V67" s="25">
        <v>66</v>
      </c>
      <c r="W67" s="25">
        <f t="shared" ref="W67:W130" si="12">0.2*E67</f>
        <v>45100</v>
      </c>
      <c r="X67" s="25">
        <f t="shared" ref="X67:X130" si="13">W67/V67</f>
        <v>683.33333333333337</v>
      </c>
      <c r="Y67" s="27" t="s">
        <v>1554</v>
      </c>
      <c r="Z67" s="19" t="s">
        <v>35</v>
      </c>
      <c r="AA67" s="19" t="s">
        <v>35</v>
      </c>
      <c r="AB67" s="19" t="s">
        <v>1555</v>
      </c>
      <c r="AC67" s="19">
        <v>0</v>
      </c>
      <c r="AD67" s="19">
        <v>0</v>
      </c>
      <c r="AE67" s="19" t="s">
        <v>42</v>
      </c>
      <c r="AF67" s="19" t="s">
        <v>35</v>
      </c>
      <c r="AG67" s="19" t="s">
        <v>38</v>
      </c>
      <c r="AH67" s="19" t="s">
        <v>92</v>
      </c>
    </row>
    <row r="68" spans="1:34" x14ac:dyDescent="0.3">
      <c r="A68" s="75" t="s">
        <v>2594</v>
      </c>
      <c r="B68" s="19" t="s">
        <v>2634</v>
      </c>
      <c r="C68" s="19" t="s">
        <v>2635</v>
      </c>
      <c r="D68" s="20">
        <v>45569</v>
      </c>
      <c r="E68" s="21">
        <v>165000</v>
      </c>
      <c r="F68" s="19" t="s">
        <v>32</v>
      </c>
      <c r="G68" s="19" t="s">
        <v>33</v>
      </c>
      <c r="H68" s="21">
        <v>165000</v>
      </c>
      <c r="I68" s="21">
        <v>75700</v>
      </c>
      <c r="J68" s="22">
        <f t="shared" si="7"/>
        <v>45.878787878787882</v>
      </c>
      <c r="K68" s="21">
        <v>170804</v>
      </c>
      <c r="L68" s="21">
        <f>H68-152759</f>
        <v>12241</v>
      </c>
      <c r="M68" s="21">
        <v>18045</v>
      </c>
      <c r="N68" s="67">
        <f t="shared" si="8"/>
        <v>0.10936363636363636</v>
      </c>
      <c r="O68" s="23">
        <v>79.84</v>
      </c>
      <c r="P68" s="24">
        <v>183.88</v>
      </c>
      <c r="Q68" s="25">
        <v>0.28799999999999998</v>
      </c>
      <c r="R68" s="25">
        <v>0.28799999999999998</v>
      </c>
      <c r="S68" s="21">
        <f t="shared" si="9"/>
        <v>153.3191382765531</v>
      </c>
      <c r="T68" s="21">
        <f t="shared" si="10"/>
        <v>42503.472222222226</v>
      </c>
      <c r="U68" s="26">
        <f t="shared" si="11"/>
        <v>0.9757454596469749</v>
      </c>
      <c r="V68" s="25">
        <v>56.91</v>
      </c>
      <c r="W68" s="25">
        <f t="shared" si="12"/>
        <v>33000</v>
      </c>
      <c r="X68" s="25">
        <f t="shared" si="13"/>
        <v>579.8629414865577</v>
      </c>
      <c r="Y68" s="27" t="s">
        <v>2593</v>
      </c>
      <c r="Z68" s="19" t="s">
        <v>35</v>
      </c>
      <c r="AA68" s="19" t="s">
        <v>35</v>
      </c>
      <c r="AB68" s="19" t="s">
        <v>2594</v>
      </c>
      <c r="AC68" s="19">
        <v>0</v>
      </c>
      <c r="AD68" s="19">
        <v>1</v>
      </c>
      <c r="AE68" s="19" t="s">
        <v>2530</v>
      </c>
      <c r="AF68" s="19" t="s">
        <v>43</v>
      </c>
      <c r="AG68" s="19" t="s">
        <v>38</v>
      </c>
      <c r="AH68" s="19" t="s">
        <v>92</v>
      </c>
    </row>
    <row r="69" spans="1:34" x14ac:dyDescent="0.3">
      <c r="A69" s="75" t="s">
        <v>2435</v>
      </c>
      <c r="B69" s="19" t="s">
        <v>2456</v>
      </c>
      <c r="C69" s="19" t="s">
        <v>2457</v>
      </c>
      <c r="D69" s="20">
        <v>45121</v>
      </c>
      <c r="E69" s="21">
        <v>135000</v>
      </c>
      <c r="F69" s="19" t="s">
        <v>81</v>
      </c>
      <c r="G69" s="19" t="s">
        <v>33</v>
      </c>
      <c r="H69" s="21">
        <v>135000</v>
      </c>
      <c r="I69" s="21">
        <v>52300</v>
      </c>
      <c r="J69" s="22">
        <f t="shared" si="7"/>
        <v>38.74074074074074</v>
      </c>
      <c r="K69" s="21">
        <v>136363</v>
      </c>
      <c r="L69" s="21">
        <f>H69-127162</f>
        <v>7838</v>
      </c>
      <c r="M69" s="21">
        <v>9201</v>
      </c>
      <c r="N69" s="67">
        <f t="shared" si="8"/>
        <v>6.8155555555555553E-2</v>
      </c>
      <c r="O69" s="23">
        <v>49.73</v>
      </c>
      <c r="P69" s="24">
        <v>201</v>
      </c>
      <c r="Q69" s="25">
        <v>0.185</v>
      </c>
      <c r="R69" s="25">
        <v>0.185</v>
      </c>
      <c r="S69" s="21">
        <f t="shared" si="9"/>
        <v>157.61109993967426</v>
      </c>
      <c r="T69" s="21">
        <f t="shared" si="10"/>
        <v>42367.567567567567</v>
      </c>
      <c r="U69" s="26">
        <f t="shared" si="11"/>
        <v>0.97262551808006348</v>
      </c>
      <c r="V69" s="25">
        <v>40</v>
      </c>
      <c r="W69" s="25">
        <f t="shared" si="12"/>
        <v>27000</v>
      </c>
      <c r="X69" s="25">
        <f t="shared" si="13"/>
        <v>675</v>
      </c>
      <c r="Y69" s="27" t="s">
        <v>2434</v>
      </c>
      <c r="Z69" s="19" t="s">
        <v>35</v>
      </c>
      <c r="AA69" s="19" t="s">
        <v>35</v>
      </c>
      <c r="AB69" s="19" t="s">
        <v>2435</v>
      </c>
      <c r="AC69" s="19">
        <v>0</v>
      </c>
      <c r="AD69" s="19">
        <v>1</v>
      </c>
      <c r="AE69" s="19" t="s">
        <v>37</v>
      </c>
      <c r="AF69" s="19" t="s">
        <v>43</v>
      </c>
      <c r="AG69" s="19" t="s">
        <v>38</v>
      </c>
      <c r="AH69" s="19" t="s">
        <v>92</v>
      </c>
    </row>
    <row r="70" spans="1:34" x14ac:dyDescent="0.3">
      <c r="A70" s="74" t="s">
        <v>2192</v>
      </c>
      <c r="B70" s="10" t="s">
        <v>2193</v>
      </c>
      <c r="C70" s="10" t="s">
        <v>2194</v>
      </c>
      <c r="D70" s="11">
        <v>45595</v>
      </c>
      <c r="E70" s="12">
        <v>236610</v>
      </c>
      <c r="F70" s="10" t="s">
        <v>32</v>
      </c>
      <c r="G70" s="10" t="s">
        <v>33</v>
      </c>
      <c r="H70" s="12">
        <v>236610</v>
      </c>
      <c r="I70" s="12">
        <v>111300</v>
      </c>
      <c r="J70" s="13">
        <f t="shared" si="7"/>
        <v>47.039431976670471</v>
      </c>
      <c r="K70" s="12">
        <v>245421</v>
      </c>
      <c r="L70" s="12">
        <f>H70-221451</f>
        <v>15159</v>
      </c>
      <c r="M70" s="12">
        <v>23970</v>
      </c>
      <c r="N70" s="66">
        <f t="shared" si="8"/>
        <v>0.10130594649423101</v>
      </c>
      <c r="O70" s="14">
        <v>94</v>
      </c>
      <c r="P70" s="15">
        <v>190</v>
      </c>
      <c r="Q70" s="16">
        <v>0.52900000000000003</v>
      </c>
      <c r="R70" s="16">
        <v>0.41</v>
      </c>
      <c r="S70" s="12">
        <f t="shared" si="9"/>
        <v>161.2659574468085</v>
      </c>
      <c r="T70" s="12">
        <f t="shared" si="10"/>
        <v>28655.954631379962</v>
      </c>
      <c r="U70" s="17">
        <f t="shared" si="11"/>
        <v>0.65785019814921863</v>
      </c>
      <c r="V70" s="16">
        <v>94</v>
      </c>
      <c r="W70" s="16">
        <f t="shared" si="12"/>
        <v>47322</v>
      </c>
      <c r="X70" s="16">
        <f t="shared" si="13"/>
        <v>503.42553191489361</v>
      </c>
      <c r="Y70" s="18" t="s">
        <v>1562</v>
      </c>
      <c r="Z70" s="10" t="s">
        <v>35</v>
      </c>
      <c r="AA70" s="10" t="s">
        <v>35</v>
      </c>
      <c r="AB70" s="10" t="s">
        <v>2192</v>
      </c>
      <c r="AC70" s="10">
        <v>0</v>
      </c>
      <c r="AD70" s="10">
        <v>1</v>
      </c>
      <c r="AE70" s="10" t="s">
        <v>205</v>
      </c>
      <c r="AF70" s="10" t="s">
        <v>35</v>
      </c>
      <c r="AG70" s="10" t="s">
        <v>38</v>
      </c>
      <c r="AH70" s="10" t="s">
        <v>92</v>
      </c>
    </row>
    <row r="71" spans="1:34" x14ac:dyDescent="0.3">
      <c r="A71" s="75" t="s">
        <v>1921</v>
      </c>
      <c r="B71" s="19" t="s">
        <v>1919</v>
      </c>
      <c r="C71" s="19" t="s">
        <v>1920</v>
      </c>
      <c r="D71" s="20">
        <v>45595</v>
      </c>
      <c r="E71" s="21">
        <v>174900</v>
      </c>
      <c r="F71" s="19" t="s">
        <v>32</v>
      </c>
      <c r="G71" s="19" t="s">
        <v>33</v>
      </c>
      <c r="H71" s="21">
        <v>174900</v>
      </c>
      <c r="I71" s="21">
        <v>75200</v>
      </c>
      <c r="J71" s="22">
        <f t="shared" si="7"/>
        <v>42.995997712978848</v>
      </c>
      <c r="K71" s="21">
        <v>176641</v>
      </c>
      <c r="L71" s="21">
        <f>H71-164498</f>
        <v>10402</v>
      </c>
      <c r="M71" s="21">
        <v>12143</v>
      </c>
      <c r="N71" s="67">
        <f t="shared" si="8"/>
        <v>6.9428244711263576E-2</v>
      </c>
      <c r="O71" s="23">
        <v>63.24</v>
      </c>
      <c r="P71" s="24">
        <v>250</v>
      </c>
      <c r="Q71" s="25">
        <v>0.34399999999999997</v>
      </c>
      <c r="R71" s="25">
        <v>0.34399999999999997</v>
      </c>
      <c r="S71" s="21">
        <f t="shared" si="9"/>
        <v>164.48450347881086</v>
      </c>
      <c r="T71" s="21">
        <f t="shared" si="10"/>
        <v>30238.372093023259</v>
      </c>
      <c r="U71" s="26">
        <f t="shared" si="11"/>
        <v>0.6941775044312043</v>
      </c>
      <c r="V71" s="25">
        <v>60</v>
      </c>
      <c r="W71" s="25">
        <f t="shared" si="12"/>
        <v>34980</v>
      </c>
      <c r="X71" s="25">
        <f t="shared" si="13"/>
        <v>583</v>
      </c>
      <c r="Y71" s="27" t="s">
        <v>1915</v>
      </c>
      <c r="Z71" s="19" t="s">
        <v>35</v>
      </c>
      <c r="AA71" s="19" t="s">
        <v>35</v>
      </c>
      <c r="AB71" s="19" t="s">
        <v>1921</v>
      </c>
      <c r="AC71" s="19">
        <v>0</v>
      </c>
      <c r="AD71" s="19">
        <v>1</v>
      </c>
      <c r="AE71" s="19" t="s">
        <v>37</v>
      </c>
      <c r="AF71" s="19" t="s">
        <v>35</v>
      </c>
      <c r="AG71" s="19" t="s">
        <v>38</v>
      </c>
      <c r="AH71" s="19" t="s">
        <v>92</v>
      </c>
    </row>
    <row r="72" spans="1:34" x14ac:dyDescent="0.3">
      <c r="A72" s="75" t="s">
        <v>1563</v>
      </c>
      <c r="B72" s="19" t="s">
        <v>1570</v>
      </c>
      <c r="C72" s="19" t="s">
        <v>1571</v>
      </c>
      <c r="D72" s="20">
        <v>45399</v>
      </c>
      <c r="E72" s="21">
        <v>115000</v>
      </c>
      <c r="F72" s="19" t="s">
        <v>32</v>
      </c>
      <c r="G72" s="19" t="s">
        <v>33</v>
      </c>
      <c r="H72" s="21">
        <v>115000</v>
      </c>
      <c r="I72" s="21">
        <v>51300</v>
      </c>
      <c r="J72" s="22">
        <f t="shared" si="7"/>
        <v>44.608695652173914</v>
      </c>
      <c r="K72" s="21">
        <v>114401</v>
      </c>
      <c r="L72" s="21">
        <f>H72-106701</f>
        <v>8299</v>
      </c>
      <c r="M72" s="21">
        <v>7700</v>
      </c>
      <c r="N72" s="67">
        <f t="shared" si="8"/>
        <v>6.6956521739130428E-2</v>
      </c>
      <c r="O72" s="23">
        <v>50</v>
      </c>
      <c r="P72" s="24">
        <v>200</v>
      </c>
      <c r="Q72" s="25">
        <v>0.23</v>
      </c>
      <c r="R72" s="25">
        <v>0.23</v>
      </c>
      <c r="S72" s="21">
        <f t="shared" si="9"/>
        <v>165.98</v>
      </c>
      <c r="T72" s="21">
        <f t="shared" si="10"/>
        <v>36082.608695652176</v>
      </c>
      <c r="U72" s="26">
        <f t="shared" si="11"/>
        <v>0.82834271569449436</v>
      </c>
      <c r="V72" s="25">
        <v>50</v>
      </c>
      <c r="W72" s="25">
        <f t="shared" si="12"/>
        <v>23000</v>
      </c>
      <c r="X72" s="25">
        <f t="shared" si="13"/>
        <v>460</v>
      </c>
      <c r="Y72" s="27" t="s">
        <v>1562</v>
      </c>
      <c r="Z72" s="19" t="s">
        <v>35</v>
      </c>
      <c r="AA72" s="19" t="s">
        <v>35</v>
      </c>
      <c r="AB72" s="19" t="s">
        <v>1563</v>
      </c>
      <c r="AC72" s="19">
        <v>0</v>
      </c>
      <c r="AD72" s="19">
        <v>0</v>
      </c>
      <c r="AE72" s="19" t="s">
        <v>37</v>
      </c>
      <c r="AF72" s="19" t="s">
        <v>43</v>
      </c>
      <c r="AG72" s="19" t="s">
        <v>38</v>
      </c>
      <c r="AH72" s="19" t="s">
        <v>92</v>
      </c>
    </row>
    <row r="73" spans="1:34" x14ac:dyDescent="0.3">
      <c r="A73" s="75" t="s">
        <v>1194</v>
      </c>
      <c r="B73" s="19" t="s">
        <v>1525</v>
      </c>
      <c r="C73" s="19" t="s">
        <v>1526</v>
      </c>
      <c r="D73" s="20">
        <v>45474</v>
      </c>
      <c r="E73" s="21">
        <v>226000</v>
      </c>
      <c r="F73" s="19" t="s">
        <v>32</v>
      </c>
      <c r="G73" s="19" t="s">
        <v>33</v>
      </c>
      <c r="H73" s="21">
        <v>226000</v>
      </c>
      <c r="I73" s="21">
        <v>94200</v>
      </c>
      <c r="J73" s="22">
        <f t="shared" si="7"/>
        <v>41.681415929203538</v>
      </c>
      <c r="K73" s="21">
        <v>226041</v>
      </c>
      <c r="L73" s="21">
        <f>H73-208882</f>
        <v>17118</v>
      </c>
      <c r="M73" s="21">
        <v>17159</v>
      </c>
      <c r="N73" s="67">
        <f t="shared" si="8"/>
        <v>7.5924778761061948E-2</v>
      </c>
      <c r="O73" s="23">
        <v>95.32</v>
      </c>
      <c r="P73" s="24">
        <v>283.36</v>
      </c>
      <c r="Q73" s="25">
        <v>0.52100000000000002</v>
      </c>
      <c r="R73" s="25">
        <v>0.52100000000000002</v>
      </c>
      <c r="S73" s="21">
        <f t="shared" si="9"/>
        <v>179.58455728073858</v>
      </c>
      <c r="T73" s="21">
        <f t="shared" si="10"/>
        <v>32856.046065259114</v>
      </c>
      <c r="U73" s="26">
        <f t="shared" si="11"/>
        <v>0.75427102996462614</v>
      </c>
      <c r="V73" s="25">
        <v>80.13</v>
      </c>
      <c r="W73" s="25">
        <f t="shared" si="12"/>
        <v>45200</v>
      </c>
      <c r="X73" s="25">
        <f t="shared" si="13"/>
        <v>564.0833645326345</v>
      </c>
      <c r="Y73" s="27" t="s">
        <v>1193</v>
      </c>
      <c r="Z73" s="19" t="s">
        <v>35</v>
      </c>
      <c r="AA73" s="19" t="s">
        <v>35</v>
      </c>
      <c r="AB73" s="19" t="s">
        <v>1194</v>
      </c>
      <c r="AC73" s="19">
        <v>0</v>
      </c>
      <c r="AD73" s="19">
        <v>1</v>
      </c>
      <c r="AE73" s="19" t="s">
        <v>42</v>
      </c>
      <c r="AF73" s="19" t="s">
        <v>43</v>
      </c>
      <c r="AG73" s="19" t="s">
        <v>38</v>
      </c>
      <c r="AH73" s="19" t="s">
        <v>92</v>
      </c>
    </row>
    <row r="74" spans="1:34" x14ac:dyDescent="0.3">
      <c r="A74" s="75" t="s">
        <v>1984</v>
      </c>
      <c r="B74" s="19" t="s">
        <v>1985</v>
      </c>
      <c r="C74" s="19" t="s">
        <v>1986</v>
      </c>
      <c r="D74" s="20">
        <v>45054</v>
      </c>
      <c r="E74" s="21">
        <v>295000</v>
      </c>
      <c r="F74" s="19" t="s">
        <v>32</v>
      </c>
      <c r="G74" s="19" t="s">
        <v>33</v>
      </c>
      <c r="H74" s="21">
        <v>295000</v>
      </c>
      <c r="I74" s="21">
        <v>146800</v>
      </c>
      <c r="J74" s="22">
        <f t="shared" si="7"/>
        <v>49.762711864406775</v>
      </c>
      <c r="K74" s="21">
        <v>313126</v>
      </c>
      <c r="L74" s="21">
        <f>H74-279206</f>
        <v>15794</v>
      </c>
      <c r="M74" s="21">
        <v>33920</v>
      </c>
      <c r="N74" s="67">
        <f t="shared" si="8"/>
        <v>0.11498305084745762</v>
      </c>
      <c r="O74" s="23">
        <v>80</v>
      </c>
      <c r="P74" s="24">
        <v>150</v>
      </c>
      <c r="Q74" s="25">
        <v>0.27500000000000002</v>
      </c>
      <c r="R74" s="25">
        <v>0.27500000000000002</v>
      </c>
      <c r="S74" s="21">
        <f t="shared" si="9"/>
        <v>197.42500000000001</v>
      </c>
      <c r="T74" s="21">
        <f t="shared" si="10"/>
        <v>57432.727272727265</v>
      </c>
      <c r="U74" s="26">
        <f t="shared" si="11"/>
        <v>1.3184739961599463</v>
      </c>
      <c r="V74" s="25">
        <v>80</v>
      </c>
      <c r="W74" s="25">
        <f t="shared" si="12"/>
        <v>59000</v>
      </c>
      <c r="X74" s="25">
        <f t="shared" si="13"/>
        <v>737.5</v>
      </c>
      <c r="Y74" s="27" t="s">
        <v>1983</v>
      </c>
      <c r="Z74" s="19" t="s">
        <v>35</v>
      </c>
      <c r="AA74" s="19" t="s">
        <v>35</v>
      </c>
      <c r="AB74" s="19" t="s">
        <v>1984</v>
      </c>
      <c r="AC74" s="19">
        <v>0</v>
      </c>
      <c r="AD74" s="19">
        <v>1</v>
      </c>
      <c r="AE74" s="19" t="s">
        <v>37</v>
      </c>
      <c r="AF74" s="19" t="s">
        <v>43</v>
      </c>
      <c r="AG74" s="19" t="s">
        <v>38</v>
      </c>
      <c r="AH74" s="19" t="s">
        <v>92</v>
      </c>
    </row>
    <row r="75" spans="1:34" x14ac:dyDescent="0.3">
      <c r="A75" s="74" t="s">
        <v>611</v>
      </c>
      <c r="B75" s="10" t="s">
        <v>678</v>
      </c>
      <c r="C75" s="10" t="s">
        <v>679</v>
      </c>
      <c r="D75" s="11">
        <v>45246</v>
      </c>
      <c r="E75" s="12">
        <v>200000</v>
      </c>
      <c r="F75" s="10" t="s">
        <v>32</v>
      </c>
      <c r="G75" s="10" t="s">
        <v>33</v>
      </c>
      <c r="H75" s="12">
        <v>200000</v>
      </c>
      <c r="I75" s="12">
        <v>79000</v>
      </c>
      <c r="J75" s="13">
        <f t="shared" si="7"/>
        <v>39.5</v>
      </c>
      <c r="K75" s="12">
        <v>200796</v>
      </c>
      <c r="L75" s="12">
        <f>H75-187967</f>
        <v>12033</v>
      </c>
      <c r="M75" s="12">
        <v>12829</v>
      </c>
      <c r="N75" s="66">
        <f t="shared" si="8"/>
        <v>6.4144999999999994E-2</v>
      </c>
      <c r="O75" s="14">
        <v>60.22</v>
      </c>
      <c r="P75" s="15">
        <v>166.86</v>
      </c>
      <c r="Q75" s="16">
        <v>0.192</v>
      </c>
      <c r="R75" s="16">
        <v>0.192</v>
      </c>
      <c r="S75" s="12">
        <f t="shared" si="9"/>
        <v>199.81733643307871</v>
      </c>
      <c r="T75" s="12">
        <f t="shared" si="10"/>
        <v>62671.875</v>
      </c>
      <c r="U75" s="17">
        <f t="shared" si="11"/>
        <v>1.4387482782369145</v>
      </c>
      <c r="V75" s="16">
        <v>50</v>
      </c>
      <c r="W75" s="16">
        <f t="shared" si="12"/>
        <v>40000</v>
      </c>
      <c r="X75" s="16">
        <f t="shared" si="13"/>
        <v>800</v>
      </c>
      <c r="Y75" s="18" t="s">
        <v>610</v>
      </c>
      <c r="Z75" s="10" t="s">
        <v>35</v>
      </c>
      <c r="AA75" s="10" t="s">
        <v>35</v>
      </c>
      <c r="AB75" s="10" t="s">
        <v>611</v>
      </c>
      <c r="AC75" s="10">
        <v>0</v>
      </c>
      <c r="AD75" s="10">
        <v>1</v>
      </c>
      <c r="AE75" s="10" t="s">
        <v>37</v>
      </c>
      <c r="AF75" s="10" t="s">
        <v>43</v>
      </c>
      <c r="AG75" s="10" t="s">
        <v>38</v>
      </c>
      <c r="AH75" s="10" t="s">
        <v>92</v>
      </c>
    </row>
    <row r="76" spans="1:34" x14ac:dyDescent="0.3">
      <c r="A76" s="74" t="s">
        <v>2435</v>
      </c>
      <c r="B76" s="10" t="s">
        <v>2450</v>
      </c>
      <c r="C76" s="10" t="s">
        <v>2451</v>
      </c>
      <c r="D76" s="11">
        <v>45314</v>
      </c>
      <c r="E76" s="12">
        <v>155000</v>
      </c>
      <c r="F76" s="10" t="s">
        <v>32</v>
      </c>
      <c r="G76" s="10" t="s">
        <v>33</v>
      </c>
      <c r="H76" s="12">
        <v>155000</v>
      </c>
      <c r="I76" s="12">
        <v>60400</v>
      </c>
      <c r="J76" s="13">
        <f t="shared" si="7"/>
        <v>38.967741935483872</v>
      </c>
      <c r="K76" s="12">
        <v>153891</v>
      </c>
      <c r="L76" s="12">
        <f>H76-144657</f>
        <v>10343</v>
      </c>
      <c r="M76" s="12">
        <v>9234</v>
      </c>
      <c r="N76" s="66">
        <f t="shared" si="8"/>
        <v>5.9574193548387097E-2</v>
      </c>
      <c r="O76" s="14">
        <v>49.91</v>
      </c>
      <c r="P76" s="15">
        <v>202.43</v>
      </c>
      <c r="Q76" s="16">
        <v>0.186</v>
      </c>
      <c r="R76" s="16">
        <v>0.186</v>
      </c>
      <c r="S76" s="12">
        <f t="shared" si="9"/>
        <v>207.23301943498299</v>
      </c>
      <c r="T76" s="12">
        <f t="shared" si="10"/>
        <v>55607.526881720427</v>
      </c>
      <c r="U76" s="17">
        <f t="shared" si="11"/>
        <v>1.2765731607373836</v>
      </c>
      <c r="V76" s="16">
        <v>40</v>
      </c>
      <c r="W76" s="16">
        <f t="shared" si="12"/>
        <v>31000</v>
      </c>
      <c r="X76" s="16">
        <f t="shared" si="13"/>
        <v>775</v>
      </c>
      <c r="Y76" s="18" t="s">
        <v>2434</v>
      </c>
      <c r="Z76" s="10" t="s">
        <v>35</v>
      </c>
      <c r="AA76" s="10" t="s">
        <v>35</v>
      </c>
      <c r="AB76" s="10" t="s">
        <v>2435</v>
      </c>
      <c r="AC76" s="10">
        <v>0</v>
      </c>
      <c r="AD76" s="10">
        <v>1</v>
      </c>
      <c r="AE76" s="10" t="s">
        <v>42</v>
      </c>
      <c r="AF76" s="10" t="s">
        <v>43</v>
      </c>
      <c r="AG76" s="10" t="s">
        <v>38</v>
      </c>
      <c r="AH76" s="10" t="s">
        <v>92</v>
      </c>
    </row>
    <row r="77" spans="1:34" x14ac:dyDescent="0.3">
      <c r="A77" s="74" t="s">
        <v>2397</v>
      </c>
      <c r="B77" s="10" t="s">
        <v>2402</v>
      </c>
      <c r="C77" s="10" t="s">
        <v>2403</v>
      </c>
      <c r="D77" s="11">
        <v>45061</v>
      </c>
      <c r="E77" s="12">
        <v>205000</v>
      </c>
      <c r="F77" s="10" t="s">
        <v>32</v>
      </c>
      <c r="G77" s="10" t="s">
        <v>33</v>
      </c>
      <c r="H77" s="12">
        <v>205000</v>
      </c>
      <c r="I77" s="12">
        <v>73800</v>
      </c>
      <c r="J77" s="13">
        <f t="shared" si="7"/>
        <v>36</v>
      </c>
      <c r="K77" s="12">
        <v>199734</v>
      </c>
      <c r="L77" s="12">
        <f>H77-186646</f>
        <v>18354</v>
      </c>
      <c r="M77" s="12">
        <v>13088</v>
      </c>
      <c r="N77" s="66">
        <f t="shared" si="8"/>
        <v>6.3843902439024394E-2</v>
      </c>
      <c r="O77" s="14">
        <v>88.43</v>
      </c>
      <c r="P77" s="15">
        <v>304.75</v>
      </c>
      <c r="Q77" s="16">
        <v>0.42699999999999999</v>
      </c>
      <c r="R77" s="16">
        <v>0.42699999999999999</v>
      </c>
      <c r="S77" s="12">
        <f t="shared" si="9"/>
        <v>207.55399751215649</v>
      </c>
      <c r="T77" s="12">
        <f t="shared" si="10"/>
        <v>42983.606557377047</v>
      </c>
      <c r="U77" s="17">
        <f t="shared" si="11"/>
        <v>0.98676782730433987</v>
      </c>
      <c r="V77" s="16">
        <v>61</v>
      </c>
      <c r="W77" s="16">
        <f t="shared" si="12"/>
        <v>41000</v>
      </c>
      <c r="X77" s="16">
        <f t="shared" si="13"/>
        <v>672.13114754098365</v>
      </c>
      <c r="Y77" s="18" t="s">
        <v>2396</v>
      </c>
      <c r="Z77" s="10" t="s">
        <v>35</v>
      </c>
      <c r="AA77" s="10" t="s">
        <v>35</v>
      </c>
      <c r="AB77" s="10" t="s">
        <v>2397</v>
      </c>
      <c r="AC77" s="10">
        <v>0</v>
      </c>
      <c r="AD77" s="10">
        <v>1</v>
      </c>
      <c r="AE77" s="10" t="s">
        <v>37</v>
      </c>
      <c r="AF77" s="10" t="s">
        <v>43</v>
      </c>
      <c r="AG77" s="10" t="s">
        <v>38</v>
      </c>
      <c r="AH77" s="10" t="s">
        <v>92</v>
      </c>
    </row>
    <row r="78" spans="1:34" x14ac:dyDescent="0.3">
      <c r="A78" s="75" t="s">
        <v>1639</v>
      </c>
      <c r="B78" s="19" t="s">
        <v>1679</v>
      </c>
      <c r="C78" s="19" t="s">
        <v>1680</v>
      </c>
      <c r="D78" s="20">
        <v>45044</v>
      </c>
      <c r="E78" s="21">
        <v>35000</v>
      </c>
      <c r="F78" s="19" t="s">
        <v>32</v>
      </c>
      <c r="G78" s="19" t="s">
        <v>33</v>
      </c>
      <c r="H78" s="21">
        <v>35000</v>
      </c>
      <c r="I78" s="21">
        <v>12700</v>
      </c>
      <c r="J78" s="22">
        <f t="shared" si="7"/>
        <v>36.285714285714285</v>
      </c>
      <c r="K78" s="21">
        <v>26976</v>
      </c>
      <c r="L78" s="21">
        <f>H78-0</f>
        <v>35000</v>
      </c>
      <c r="M78" s="21">
        <v>26976</v>
      </c>
      <c r="N78" s="67">
        <v>0</v>
      </c>
      <c r="O78" s="23">
        <v>164.48</v>
      </c>
      <c r="P78" s="24">
        <v>264.54000000000002</v>
      </c>
      <c r="Q78" s="25">
        <v>0.91100000000000003</v>
      </c>
      <c r="R78" s="25">
        <v>0.91100000000000003</v>
      </c>
      <c r="S78" s="21">
        <f t="shared" si="9"/>
        <v>212.79182879377433</v>
      </c>
      <c r="T78" s="21">
        <f t="shared" si="10"/>
        <v>38419.31942919868</v>
      </c>
      <c r="U78" s="26">
        <f t="shared" si="11"/>
        <v>0.88198621279152156</v>
      </c>
      <c r="V78" s="25">
        <v>150</v>
      </c>
      <c r="W78" s="25">
        <f t="shared" si="12"/>
        <v>7000</v>
      </c>
      <c r="X78" s="25">
        <f t="shared" si="13"/>
        <v>46.666666666666664</v>
      </c>
      <c r="Y78" s="27" t="s">
        <v>1638</v>
      </c>
      <c r="Z78" s="19" t="s">
        <v>35</v>
      </c>
      <c r="AA78" s="19" t="s">
        <v>35</v>
      </c>
      <c r="AB78" s="19" t="s">
        <v>1639</v>
      </c>
      <c r="AC78" s="19">
        <v>0</v>
      </c>
      <c r="AD78" s="19">
        <v>0</v>
      </c>
      <c r="AE78" s="19" t="s">
        <v>37</v>
      </c>
      <c r="AF78" s="19" t="s">
        <v>43</v>
      </c>
      <c r="AG78" s="19" t="s">
        <v>61</v>
      </c>
      <c r="AH78" s="19" t="s">
        <v>92</v>
      </c>
    </row>
    <row r="79" spans="1:34" x14ac:dyDescent="0.3">
      <c r="A79" s="74" t="s">
        <v>1921</v>
      </c>
      <c r="B79" s="10" t="s">
        <v>1931</v>
      </c>
      <c r="C79" s="10" t="s">
        <v>1932</v>
      </c>
      <c r="D79" s="11">
        <v>45454</v>
      </c>
      <c r="E79" s="12">
        <v>160000</v>
      </c>
      <c r="F79" s="10" t="s">
        <v>32</v>
      </c>
      <c r="G79" s="10" t="s">
        <v>33</v>
      </c>
      <c r="H79" s="12">
        <v>160000</v>
      </c>
      <c r="I79" s="12">
        <v>68000</v>
      </c>
      <c r="J79" s="13">
        <f t="shared" si="7"/>
        <v>42.5</v>
      </c>
      <c r="K79" s="12">
        <v>157195</v>
      </c>
      <c r="L79" s="12">
        <f>H79-133628</f>
        <v>26372</v>
      </c>
      <c r="M79" s="12">
        <v>23567</v>
      </c>
      <c r="N79" s="66">
        <f t="shared" si="8"/>
        <v>0.14729375</v>
      </c>
      <c r="O79" s="14">
        <v>122.74</v>
      </c>
      <c r="P79" s="15">
        <v>227.88</v>
      </c>
      <c r="Q79" s="16">
        <v>0.63500000000000001</v>
      </c>
      <c r="R79" s="16">
        <v>0.63500000000000001</v>
      </c>
      <c r="S79" s="12">
        <f t="shared" si="9"/>
        <v>214.86068111455108</v>
      </c>
      <c r="T79" s="12">
        <f t="shared" si="10"/>
        <v>41530.708661417324</v>
      </c>
      <c r="U79" s="17">
        <f t="shared" si="11"/>
        <v>0.95341388111610015</v>
      </c>
      <c r="V79" s="16">
        <v>122.95</v>
      </c>
      <c r="W79" s="16">
        <f t="shared" si="12"/>
        <v>32000</v>
      </c>
      <c r="X79" s="16">
        <f t="shared" si="13"/>
        <v>260.26840178934526</v>
      </c>
      <c r="Y79" s="18" t="s">
        <v>1915</v>
      </c>
      <c r="Z79" s="10" t="s">
        <v>35</v>
      </c>
      <c r="AA79" s="10" t="s">
        <v>35</v>
      </c>
      <c r="AB79" s="10" t="s">
        <v>1921</v>
      </c>
      <c r="AC79" s="10">
        <v>0</v>
      </c>
      <c r="AD79" s="10">
        <v>1</v>
      </c>
      <c r="AE79" s="10" t="s">
        <v>42</v>
      </c>
      <c r="AF79" s="10" t="s">
        <v>43</v>
      </c>
      <c r="AG79" s="10" t="s">
        <v>38</v>
      </c>
      <c r="AH79" s="10" t="s">
        <v>92</v>
      </c>
    </row>
    <row r="80" spans="1:34" x14ac:dyDescent="0.3">
      <c r="A80" s="74" t="s">
        <v>2466</v>
      </c>
      <c r="B80" s="10" t="s">
        <v>2471</v>
      </c>
      <c r="C80" s="10" t="s">
        <v>2472</v>
      </c>
      <c r="D80" s="11">
        <v>45393</v>
      </c>
      <c r="E80" s="12">
        <v>225000</v>
      </c>
      <c r="F80" s="10" t="s">
        <v>32</v>
      </c>
      <c r="G80" s="10" t="s">
        <v>33</v>
      </c>
      <c r="H80" s="12">
        <v>225000</v>
      </c>
      <c r="I80" s="12">
        <v>114200</v>
      </c>
      <c r="J80" s="13">
        <f t="shared" si="7"/>
        <v>50.755555555555553</v>
      </c>
      <c r="K80" s="12">
        <v>232519</v>
      </c>
      <c r="L80" s="12">
        <f>H80-205723</f>
        <v>19277</v>
      </c>
      <c r="M80" s="12">
        <v>26796</v>
      </c>
      <c r="N80" s="66">
        <f t="shared" si="8"/>
        <v>0.11909333333333333</v>
      </c>
      <c r="O80" s="14">
        <v>89.31</v>
      </c>
      <c r="P80" s="15">
        <v>157.19</v>
      </c>
      <c r="Q80" s="16">
        <v>0.33600000000000002</v>
      </c>
      <c r="R80" s="16">
        <v>0.33600000000000002</v>
      </c>
      <c r="S80" s="12">
        <f t="shared" si="9"/>
        <v>215.84369051617961</v>
      </c>
      <c r="T80" s="12">
        <f t="shared" si="10"/>
        <v>57372.023809523809</v>
      </c>
      <c r="U80" s="17">
        <f t="shared" si="11"/>
        <v>1.3170804363986182</v>
      </c>
      <c r="V80" s="16">
        <v>48</v>
      </c>
      <c r="W80" s="16">
        <f t="shared" si="12"/>
        <v>45000</v>
      </c>
      <c r="X80" s="16">
        <f t="shared" si="13"/>
        <v>937.5</v>
      </c>
      <c r="Y80" s="18" t="s">
        <v>2465</v>
      </c>
      <c r="Z80" s="10" t="s">
        <v>35</v>
      </c>
      <c r="AA80" s="10" t="s">
        <v>35</v>
      </c>
      <c r="AB80" s="10" t="s">
        <v>2466</v>
      </c>
      <c r="AC80" s="10">
        <v>0</v>
      </c>
      <c r="AD80" s="10">
        <v>1</v>
      </c>
      <c r="AE80" s="10" t="s">
        <v>42</v>
      </c>
      <c r="AF80" s="10" t="s">
        <v>43</v>
      </c>
      <c r="AG80" s="10" t="s">
        <v>38</v>
      </c>
      <c r="AH80" s="10" t="s">
        <v>92</v>
      </c>
    </row>
    <row r="81" spans="1:34" x14ac:dyDescent="0.3">
      <c r="A81" s="74" t="s">
        <v>1921</v>
      </c>
      <c r="B81" s="10" t="s">
        <v>1924</v>
      </c>
      <c r="C81" s="10" t="s">
        <v>1925</v>
      </c>
      <c r="D81" s="11">
        <v>45279</v>
      </c>
      <c r="E81" s="12">
        <v>159000</v>
      </c>
      <c r="F81" s="10" t="s">
        <v>32</v>
      </c>
      <c r="G81" s="10" t="s">
        <v>33</v>
      </c>
      <c r="H81" s="12">
        <v>159000</v>
      </c>
      <c r="I81" s="12">
        <v>63000</v>
      </c>
      <c r="J81" s="13">
        <f t="shared" si="7"/>
        <v>39.622641509433961</v>
      </c>
      <c r="K81" s="12">
        <v>157382</v>
      </c>
      <c r="L81" s="12">
        <f>H81-146835</f>
        <v>12165</v>
      </c>
      <c r="M81" s="12">
        <v>10547</v>
      </c>
      <c r="N81" s="66">
        <f t="shared" si="8"/>
        <v>6.6333333333333327E-2</v>
      </c>
      <c r="O81" s="14">
        <v>54.92</v>
      </c>
      <c r="P81" s="15">
        <v>188.58</v>
      </c>
      <c r="Q81" s="16">
        <v>0.26</v>
      </c>
      <c r="R81" s="16">
        <v>0.26</v>
      </c>
      <c r="S81" s="12">
        <f t="shared" si="9"/>
        <v>221.50400582665694</v>
      </c>
      <c r="T81" s="12">
        <f t="shared" si="10"/>
        <v>46788.461538461539</v>
      </c>
      <c r="U81" s="17">
        <f t="shared" si="11"/>
        <v>1.0741152786607333</v>
      </c>
      <c r="V81" s="16">
        <v>60</v>
      </c>
      <c r="W81" s="16">
        <f t="shared" si="12"/>
        <v>31800</v>
      </c>
      <c r="X81" s="16">
        <f t="shared" si="13"/>
        <v>530</v>
      </c>
      <c r="Y81" s="18" t="s">
        <v>1915</v>
      </c>
      <c r="Z81" s="10" t="s">
        <v>35</v>
      </c>
      <c r="AA81" s="10" t="s">
        <v>35</v>
      </c>
      <c r="AB81" s="10" t="s">
        <v>1921</v>
      </c>
      <c r="AC81" s="10">
        <v>0</v>
      </c>
      <c r="AD81" s="10">
        <v>1</v>
      </c>
      <c r="AE81" s="10" t="s">
        <v>42</v>
      </c>
      <c r="AF81" s="10" t="s">
        <v>43</v>
      </c>
      <c r="AG81" s="10" t="s">
        <v>38</v>
      </c>
      <c r="AH81" s="10" t="s">
        <v>92</v>
      </c>
    </row>
    <row r="82" spans="1:34" x14ac:dyDescent="0.3">
      <c r="A82" s="75" t="s">
        <v>1194</v>
      </c>
      <c r="B82" s="19" t="s">
        <v>1519</v>
      </c>
      <c r="C82" s="19" t="s">
        <v>1520</v>
      </c>
      <c r="D82" s="20">
        <v>45351</v>
      </c>
      <c r="E82" s="21">
        <v>340000</v>
      </c>
      <c r="F82" s="19" t="s">
        <v>32</v>
      </c>
      <c r="G82" s="19" t="s">
        <v>33</v>
      </c>
      <c r="H82" s="21">
        <v>340000</v>
      </c>
      <c r="I82" s="21">
        <v>141900</v>
      </c>
      <c r="J82" s="22">
        <f t="shared" si="7"/>
        <v>41.735294117647058</v>
      </c>
      <c r="K82" s="21">
        <v>332811</v>
      </c>
      <c r="L82" s="21">
        <f>H82-306046</f>
        <v>33954</v>
      </c>
      <c r="M82" s="21">
        <v>26765</v>
      </c>
      <c r="N82" s="67">
        <f t="shared" si="8"/>
        <v>7.8720588235294112E-2</v>
      </c>
      <c r="O82" s="23">
        <v>148.69</v>
      </c>
      <c r="P82" s="24">
        <v>655.94</v>
      </c>
      <c r="Q82" s="25">
        <v>1.228</v>
      </c>
      <c r="R82" s="25">
        <v>1.228</v>
      </c>
      <c r="S82" s="21">
        <f t="shared" si="9"/>
        <v>228.35429416907661</v>
      </c>
      <c r="T82" s="21">
        <f t="shared" si="10"/>
        <v>27649.837133550489</v>
      </c>
      <c r="U82" s="26">
        <f t="shared" si="11"/>
        <v>0.63475291858472194</v>
      </c>
      <c r="V82" s="25">
        <v>83.16</v>
      </c>
      <c r="W82" s="25">
        <f t="shared" si="12"/>
        <v>68000</v>
      </c>
      <c r="X82" s="25">
        <f t="shared" si="13"/>
        <v>817.70081770081777</v>
      </c>
      <c r="Y82" s="27" t="s">
        <v>1193</v>
      </c>
      <c r="Z82" s="19" t="s">
        <v>35</v>
      </c>
      <c r="AA82" s="19" t="s">
        <v>35</v>
      </c>
      <c r="AB82" s="19" t="s">
        <v>1194</v>
      </c>
      <c r="AC82" s="19">
        <v>0</v>
      </c>
      <c r="AD82" s="19">
        <v>1</v>
      </c>
      <c r="AE82" s="19" t="s">
        <v>42</v>
      </c>
      <c r="AF82" s="19" t="s">
        <v>43</v>
      </c>
      <c r="AG82" s="19" t="s">
        <v>38</v>
      </c>
      <c r="AH82" s="19" t="s">
        <v>92</v>
      </c>
    </row>
    <row r="83" spans="1:34" x14ac:dyDescent="0.3">
      <c r="A83" s="74" t="s">
        <v>1916</v>
      </c>
      <c r="B83" s="10" t="s">
        <v>1913</v>
      </c>
      <c r="C83" s="10" t="s">
        <v>1914</v>
      </c>
      <c r="D83" s="11">
        <v>45204</v>
      </c>
      <c r="E83" s="12">
        <v>190000</v>
      </c>
      <c r="F83" s="10" t="s">
        <v>32</v>
      </c>
      <c r="G83" s="10" t="s">
        <v>33</v>
      </c>
      <c r="H83" s="12">
        <v>190000</v>
      </c>
      <c r="I83" s="12">
        <v>72700</v>
      </c>
      <c r="J83" s="13">
        <f t="shared" si="7"/>
        <v>38.263157894736842</v>
      </c>
      <c r="K83" s="12">
        <v>187088</v>
      </c>
      <c r="L83" s="12">
        <f>H83-172070</f>
        <v>17930</v>
      </c>
      <c r="M83" s="12">
        <v>15018</v>
      </c>
      <c r="N83" s="66">
        <f t="shared" si="8"/>
        <v>7.90421052631579E-2</v>
      </c>
      <c r="O83" s="14">
        <v>78.22</v>
      </c>
      <c r="P83" s="15">
        <v>300.25</v>
      </c>
      <c r="Q83" s="16">
        <v>0.51500000000000001</v>
      </c>
      <c r="R83" s="16">
        <v>0.51500000000000001</v>
      </c>
      <c r="S83" s="12">
        <f t="shared" si="9"/>
        <v>229.22526208130913</v>
      </c>
      <c r="T83" s="12">
        <f t="shared" si="10"/>
        <v>34815.533980582521</v>
      </c>
      <c r="U83" s="17">
        <f t="shared" si="11"/>
        <v>0.79925468274982825</v>
      </c>
      <c r="V83" s="16">
        <v>83.3</v>
      </c>
      <c r="W83" s="16">
        <f t="shared" si="12"/>
        <v>38000</v>
      </c>
      <c r="X83" s="16">
        <f t="shared" si="13"/>
        <v>456.18247298919567</v>
      </c>
      <c r="Y83" s="18" t="s">
        <v>1915</v>
      </c>
      <c r="Z83" s="10" t="s">
        <v>35</v>
      </c>
      <c r="AA83" s="10" t="s">
        <v>35</v>
      </c>
      <c r="AB83" s="10" t="s">
        <v>1916</v>
      </c>
      <c r="AC83" s="10">
        <v>0</v>
      </c>
      <c r="AD83" s="10">
        <v>1</v>
      </c>
      <c r="AE83" s="10" t="s">
        <v>42</v>
      </c>
      <c r="AF83" s="10" t="s">
        <v>43</v>
      </c>
      <c r="AG83" s="10" t="s">
        <v>38</v>
      </c>
      <c r="AH83" s="10" t="s">
        <v>92</v>
      </c>
    </row>
    <row r="84" spans="1:34" x14ac:dyDescent="0.3">
      <c r="A84" s="74" t="s">
        <v>2435</v>
      </c>
      <c r="B84" s="10" t="s">
        <v>2436</v>
      </c>
      <c r="C84" s="10" t="s">
        <v>2437</v>
      </c>
      <c r="D84" s="11">
        <v>45190</v>
      </c>
      <c r="E84" s="12">
        <v>130000</v>
      </c>
      <c r="F84" s="10" t="s">
        <v>32</v>
      </c>
      <c r="G84" s="10" t="s">
        <v>33</v>
      </c>
      <c r="H84" s="12">
        <v>130000</v>
      </c>
      <c r="I84" s="12">
        <v>49800</v>
      </c>
      <c r="J84" s="13">
        <f t="shared" si="7"/>
        <v>38.307692307692307</v>
      </c>
      <c r="K84" s="12">
        <v>127725</v>
      </c>
      <c r="L84" s="12">
        <f>H84-118946</f>
        <v>11054</v>
      </c>
      <c r="M84" s="12">
        <v>8779</v>
      </c>
      <c r="N84" s="66">
        <f t="shared" si="8"/>
        <v>6.7530769230769228E-2</v>
      </c>
      <c r="O84" s="14">
        <v>47.45</v>
      </c>
      <c r="P84" s="15">
        <v>182.97</v>
      </c>
      <c r="Q84" s="16">
        <v>0.16800000000000001</v>
      </c>
      <c r="R84" s="16">
        <v>0.16800000000000001</v>
      </c>
      <c r="S84" s="12">
        <f t="shared" si="9"/>
        <v>232.96101159114858</v>
      </c>
      <c r="T84" s="12">
        <f t="shared" si="10"/>
        <v>65797.619047619039</v>
      </c>
      <c r="U84" s="17">
        <f t="shared" si="11"/>
        <v>1.5105054877782149</v>
      </c>
      <c r="V84" s="16">
        <v>40</v>
      </c>
      <c r="W84" s="16">
        <f t="shared" si="12"/>
        <v>26000</v>
      </c>
      <c r="X84" s="16">
        <f t="shared" si="13"/>
        <v>650</v>
      </c>
      <c r="Y84" s="18" t="s">
        <v>2434</v>
      </c>
      <c r="Z84" s="10" t="s">
        <v>35</v>
      </c>
      <c r="AA84" s="10" t="s">
        <v>35</v>
      </c>
      <c r="AB84" s="10" t="s">
        <v>2435</v>
      </c>
      <c r="AC84" s="10">
        <v>0</v>
      </c>
      <c r="AD84" s="10">
        <v>1</v>
      </c>
      <c r="AE84" s="10" t="s">
        <v>37</v>
      </c>
      <c r="AF84" s="10" t="s">
        <v>43</v>
      </c>
      <c r="AG84" s="10" t="s">
        <v>38</v>
      </c>
      <c r="AH84" s="10" t="s">
        <v>92</v>
      </c>
    </row>
    <row r="85" spans="1:34" x14ac:dyDescent="0.3">
      <c r="A85" s="74" t="s">
        <v>611</v>
      </c>
      <c r="B85" s="10" t="s">
        <v>704</v>
      </c>
      <c r="C85" s="10" t="s">
        <v>705</v>
      </c>
      <c r="D85" s="11">
        <v>45065</v>
      </c>
      <c r="E85" s="12">
        <v>174250</v>
      </c>
      <c r="F85" s="10" t="s">
        <v>32</v>
      </c>
      <c r="G85" s="10" t="s">
        <v>33</v>
      </c>
      <c r="H85" s="12">
        <v>174250</v>
      </c>
      <c r="I85" s="12">
        <v>68100</v>
      </c>
      <c r="J85" s="13">
        <f t="shared" si="7"/>
        <v>39.081779053084645</v>
      </c>
      <c r="K85" s="12">
        <v>172562</v>
      </c>
      <c r="L85" s="12">
        <f>H85-160399</f>
        <v>13851</v>
      </c>
      <c r="M85" s="12">
        <v>12163</v>
      </c>
      <c r="N85" s="66">
        <f t="shared" si="8"/>
        <v>6.9802008608321378E-2</v>
      </c>
      <c r="O85" s="14">
        <v>57.1</v>
      </c>
      <c r="P85" s="15">
        <v>150</v>
      </c>
      <c r="Q85" s="16">
        <v>0.17199999999999999</v>
      </c>
      <c r="R85" s="16">
        <v>0.17199999999999999</v>
      </c>
      <c r="S85" s="12">
        <f t="shared" si="9"/>
        <v>242.57443082311732</v>
      </c>
      <c r="T85" s="12">
        <f t="shared" si="10"/>
        <v>80529.069767441862</v>
      </c>
      <c r="U85" s="17">
        <f t="shared" si="11"/>
        <v>1.848693061695176</v>
      </c>
      <c r="V85" s="16">
        <v>50</v>
      </c>
      <c r="W85" s="16">
        <f t="shared" si="12"/>
        <v>34850</v>
      </c>
      <c r="X85" s="16">
        <f t="shared" si="13"/>
        <v>697</v>
      </c>
      <c r="Y85" s="18" t="s">
        <v>610</v>
      </c>
      <c r="Z85" s="10" t="s">
        <v>35</v>
      </c>
      <c r="AA85" s="10" t="s">
        <v>35</v>
      </c>
      <c r="AB85" s="10" t="s">
        <v>611</v>
      </c>
      <c r="AC85" s="10">
        <v>0</v>
      </c>
      <c r="AD85" s="10">
        <v>1</v>
      </c>
      <c r="AE85" s="10" t="s">
        <v>37</v>
      </c>
      <c r="AF85" s="10" t="s">
        <v>43</v>
      </c>
      <c r="AG85" s="10" t="s">
        <v>38</v>
      </c>
      <c r="AH85" s="10" t="s">
        <v>92</v>
      </c>
    </row>
    <row r="86" spans="1:34" x14ac:dyDescent="0.3">
      <c r="A86" s="75" t="s">
        <v>1639</v>
      </c>
      <c r="B86" s="19" t="s">
        <v>1676</v>
      </c>
      <c r="C86" s="19" t="s">
        <v>1677</v>
      </c>
      <c r="D86" s="20">
        <v>45541</v>
      </c>
      <c r="E86" s="21">
        <v>172000</v>
      </c>
      <c r="F86" s="19" t="s">
        <v>32</v>
      </c>
      <c r="G86" s="19" t="s">
        <v>66</v>
      </c>
      <c r="H86" s="21">
        <v>172000</v>
      </c>
      <c r="I86" s="21">
        <v>71100</v>
      </c>
      <c r="J86" s="22">
        <f t="shared" si="7"/>
        <v>41.337209302325583</v>
      </c>
      <c r="K86" s="21">
        <v>157392</v>
      </c>
      <c r="L86" s="21">
        <f>H86-128438</f>
        <v>43562</v>
      </c>
      <c r="M86" s="21">
        <v>28954</v>
      </c>
      <c r="N86" s="67">
        <f t="shared" si="8"/>
        <v>0.16833720930232557</v>
      </c>
      <c r="O86" s="23">
        <v>176.54</v>
      </c>
      <c r="P86" s="24">
        <v>699.69</v>
      </c>
      <c r="Q86" s="25">
        <v>1.1240000000000001</v>
      </c>
      <c r="R86" s="25">
        <v>0.56200000000000006</v>
      </c>
      <c r="S86" s="21">
        <f t="shared" si="9"/>
        <v>246.75427665118389</v>
      </c>
      <c r="T86" s="21">
        <f t="shared" si="10"/>
        <v>38756.227758007117</v>
      </c>
      <c r="U86" s="26">
        <f t="shared" si="11"/>
        <v>0.88972056377426811</v>
      </c>
      <c r="V86" s="25">
        <v>140</v>
      </c>
      <c r="W86" s="25">
        <f t="shared" si="12"/>
        <v>34400</v>
      </c>
      <c r="X86" s="25">
        <f t="shared" si="13"/>
        <v>245.71428571428572</v>
      </c>
      <c r="Y86" s="27" t="s">
        <v>1638</v>
      </c>
      <c r="Z86" s="19" t="s">
        <v>35</v>
      </c>
      <c r="AA86" s="19" t="s">
        <v>1678</v>
      </c>
      <c r="AB86" s="19" t="s">
        <v>1639</v>
      </c>
      <c r="AC86" s="19">
        <v>0</v>
      </c>
      <c r="AD86" s="19">
        <v>1</v>
      </c>
      <c r="AE86" s="19" t="s">
        <v>42</v>
      </c>
      <c r="AF86" s="19" t="s">
        <v>43</v>
      </c>
      <c r="AG86" s="19" t="s">
        <v>38</v>
      </c>
      <c r="AH86" s="19" t="s">
        <v>92</v>
      </c>
    </row>
    <row r="87" spans="1:34" x14ac:dyDescent="0.3">
      <c r="A87" s="74" t="s">
        <v>693</v>
      </c>
      <c r="B87" s="10" t="s">
        <v>748</v>
      </c>
      <c r="C87" s="10" t="s">
        <v>749</v>
      </c>
      <c r="D87" s="11">
        <v>45597</v>
      </c>
      <c r="E87" s="12">
        <v>122000</v>
      </c>
      <c r="F87" s="10" t="s">
        <v>81</v>
      </c>
      <c r="G87" s="10" t="s">
        <v>33</v>
      </c>
      <c r="H87" s="12">
        <v>122000</v>
      </c>
      <c r="I87" s="12">
        <v>56000</v>
      </c>
      <c r="J87" s="13">
        <f t="shared" si="7"/>
        <v>45.901639344262293</v>
      </c>
      <c r="K87" s="12">
        <v>116283</v>
      </c>
      <c r="L87" s="12">
        <f>H87-103149</f>
        <v>18851</v>
      </c>
      <c r="M87" s="12">
        <v>13134</v>
      </c>
      <c r="N87" s="66">
        <f t="shared" si="8"/>
        <v>0.10765573770491803</v>
      </c>
      <c r="O87" s="14">
        <v>75.05</v>
      </c>
      <c r="P87" s="15">
        <v>285</v>
      </c>
      <c r="Q87" s="16">
        <v>0.504</v>
      </c>
      <c r="R87" s="16">
        <v>0.504</v>
      </c>
      <c r="S87" s="12">
        <f t="shared" si="9"/>
        <v>251.17921385742838</v>
      </c>
      <c r="T87" s="12">
        <f t="shared" si="10"/>
        <v>37402.777777777781</v>
      </c>
      <c r="U87" s="17">
        <f t="shared" si="11"/>
        <v>0.85864962758902164</v>
      </c>
      <c r="V87" s="16">
        <v>77</v>
      </c>
      <c r="W87" s="16">
        <f t="shared" si="12"/>
        <v>24400</v>
      </c>
      <c r="X87" s="16">
        <f t="shared" si="13"/>
        <v>316.88311688311688</v>
      </c>
      <c r="Y87" s="18" t="s">
        <v>692</v>
      </c>
      <c r="Z87" s="10" t="s">
        <v>35</v>
      </c>
      <c r="AA87" s="10" t="s">
        <v>35</v>
      </c>
      <c r="AB87" s="10" t="s">
        <v>693</v>
      </c>
      <c r="AC87" s="10">
        <v>0</v>
      </c>
      <c r="AD87" s="10">
        <v>1</v>
      </c>
      <c r="AE87" s="10" t="s">
        <v>42</v>
      </c>
      <c r="AF87" s="10" t="s">
        <v>35</v>
      </c>
      <c r="AG87" s="10" t="s">
        <v>38</v>
      </c>
      <c r="AH87" s="10" t="s">
        <v>92</v>
      </c>
    </row>
    <row r="88" spans="1:34" x14ac:dyDescent="0.3">
      <c r="A88" s="74" t="s">
        <v>1921</v>
      </c>
      <c r="B88" s="10" t="s">
        <v>1926</v>
      </c>
      <c r="C88" s="10" t="s">
        <v>1927</v>
      </c>
      <c r="D88" s="11">
        <v>45387</v>
      </c>
      <c r="E88" s="12">
        <v>245000</v>
      </c>
      <c r="F88" s="10" t="s">
        <v>32</v>
      </c>
      <c r="G88" s="10" t="s">
        <v>33</v>
      </c>
      <c r="H88" s="12">
        <v>245000</v>
      </c>
      <c r="I88" s="12">
        <v>103600</v>
      </c>
      <c r="J88" s="13">
        <f t="shared" si="7"/>
        <v>42.285714285714285</v>
      </c>
      <c r="K88" s="12">
        <v>240627</v>
      </c>
      <c r="L88" s="12">
        <f>H88-227503</f>
        <v>17497</v>
      </c>
      <c r="M88" s="12">
        <v>13124</v>
      </c>
      <c r="N88" s="66">
        <f t="shared" si="8"/>
        <v>5.3567346938775511E-2</v>
      </c>
      <c r="O88" s="14">
        <v>68.349999999999994</v>
      </c>
      <c r="P88" s="15">
        <v>234.17</v>
      </c>
      <c r="Q88" s="16">
        <v>0.36</v>
      </c>
      <c r="R88" s="16">
        <v>0.36</v>
      </c>
      <c r="S88" s="12">
        <f t="shared" si="9"/>
        <v>255.99122165325534</v>
      </c>
      <c r="T88" s="12">
        <f t="shared" si="10"/>
        <v>48602.777777777781</v>
      </c>
      <c r="U88" s="17">
        <f t="shared" si="11"/>
        <v>1.1157662483420059</v>
      </c>
      <c r="V88" s="16">
        <v>67</v>
      </c>
      <c r="W88" s="16">
        <f t="shared" si="12"/>
        <v>49000</v>
      </c>
      <c r="X88" s="16">
        <f t="shared" si="13"/>
        <v>731.3432835820895</v>
      </c>
      <c r="Y88" s="18" t="s">
        <v>1915</v>
      </c>
      <c r="Z88" s="10" t="s">
        <v>35</v>
      </c>
      <c r="AA88" s="10" t="s">
        <v>35</v>
      </c>
      <c r="AB88" s="10" t="s">
        <v>1921</v>
      </c>
      <c r="AC88" s="10">
        <v>0</v>
      </c>
      <c r="AD88" s="10">
        <v>1</v>
      </c>
      <c r="AE88" s="10" t="s">
        <v>1928</v>
      </c>
      <c r="AF88" s="10" t="s">
        <v>43</v>
      </c>
      <c r="AG88" s="10" t="s">
        <v>38</v>
      </c>
      <c r="AH88" s="10" t="s">
        <v>92</v>
      </c>
    </row>
    <row r="89" spans="1:34" x14ac:dyDescent="0.3">
      <c r="A89" s="75" t="s">
        <v>2397</v>
      </c>
      <c r="B89" s="19" t="s">
        <v>2394</v>
      </c>
      <c r="C89" s="19" t="s">
        <v>2395</v>
      </c>
      <c r="D89" s="20">
        <v>45401</v>
      </c>
      <c r="E89" s="21">
        <v>156000</v>
      </c>
      <c r="F89" s="19" t="s">
        <v>32</v>
      </c>
      <c r="G89" s="19" t="s">
        <v>33</v>
      </c>
      <c r="H89" s="21">
        <v>156000</v>
      </c>
      <c r="I89" s="21">
        <v>60500</v>
      </c>
      <c r="J89" s="22">
        <f t="shared" si="7"/>
        <v>38.782051282051285</v>
      </c>
      <c r="K89" s="21">
        <v>145601</v>
      </c>
      <c r="L89" s="21">
        <f>H89-132159</f>
        <v>23841</v>
      </c>
      <c r="M89" s="21">
        <v>13442</v>
      </c>
      <c r="N89" s="67">
        <f t="shared" si="8"/>
        <v>8.6166666666666669E-2</v>
      </c>
      <c r="O89" s="23">
        <v>90.82</v>
      </c>
      <c r="P89" s="24">
        <v>299.7</v>
      </c>
      <c r="Q89" s="25">
        <v>0.74399999999999999</v>
      </c>
      <c r="R89" s="25">
        <v>0.374</v>
      </c>
      <c r="S89" s="21">
        <f t="shared" si="9"/>
        <v>262.5082580929311</v>
      </c>
      <c r="T89" s="21">
        <f t="shared" si="10"/>
        <v>32044.354838709678</v>
      </c>
      <c r="U89" s="26">
        <f t="shared" si="11"/>
        <v>0.73563716342308716</v>
      </c>
      <c r="V89" s="25">
        <v>80.760000000000005</v>
      </c>
      <c r="W89" s="25">
        <f t="shared" si="12"/>
        <v>31200</v>
      </c>
      <c r="X89" s="25">
        <f t="shared" si="13"/>
        <v>386.3298662704309</v>
      </c>
      <c r="Y89" s="27" t="s">
        <v>2396</v>
      </c>
      <c r="Z89" s="19" t="s">
        <v>35</v>
      </c>
      <c r="AA89" s="19" t="s">
        <v>35</v>
      </c>
      <c r="AB89" s="19" t="s">
        <v>2397</v>
      </c>
      <c r="AC89" s="19">
        <v>0</v>
      </c>
      <c r="AD89" s="19">
        <v>1</v>
      </c>
      <c r="AE89" s="19" t="s">
        <v>42</v>
      </c>
      <c r="AF89" s="19" t="s">
        <v>43</v>
      </c>
      <c r="AG89" s="19" t="s">
        <v>38</v>
      </c>
      <c r="AH89" s="19" t="s">
        <v>92</v>
      </c>
    </row>
    <row r="90" spans="1:34" x14ac:dyDescent="0.3">
      <c r="A90" s="75" t="s">
        <v>215</v>
      </c>
      <c r="B90" s="19" t="s">
        <v>257</v>
      </c>
      <c r="C90" s="19" t="s">
        <v>258</v>
      </c>
      <c r="D90" s="20">
        <v>45301</v>
      </c>
      <c r="E90" s="21">
        <v>153000</v>
      </c>
      <c r="F90" s="19" t="s">
        <v>32</v>
      </c>
      <c r="G90" s="19" t="s">
        <v>33</v>
      </c>
      <c r="H90" s="21">
        <v>153000</v>
      </c>
      <c r="I90" s="21">
        <v>59400</v>
      </c>
      <c r="J90" s="22">
        <f t="shared" si="7"/>
        <v>38.82352941176471</v>
      </c>
      <c r="K90" s="21">
        <v>149339</v>
      </c>
      <c r="L90" s="21">
        <f>H90-133748</f>
        <v>19252</v>
      </c>
      <c r="M90" s="21">
        <v>15591</v>
      </c>
      <c r="N90" s="67">
        <f t="shared" si="8"/>
        <v>0.10190196078431372</v>
      </c>
      <c r="O90" s="23">
        <v>72.510000000000005</v>
      </c>
      <c r="P90" s="24">
        <v>169.59</v>
      </c>
      <c r="Q90" s="25">
        <v>0.23699999999999999</v>
      </c>
      <c r="R90" s="25">
        <v>0.23699999999999999</v>
      </c>
      <c r="S90" s="21">
        <f t="shared" si="9"/>
        <v>265.50820576472211</v>
      </c>
      <c r="T90" s="21">
        <f t="shared" si="10"/>
        <v>81232.067510548528</v>
      </c>
      <c r="U90" s="26">
        <f t="shared" si="11"/>
        <v>1.8648316692045117</v>
      </c>
      <c r="V90" s="25">
        <v>61</v>
      </c>
      <c r="W90" s="25">
        <f t="shared" si="12"/>
        <v>30600</v>
      </c>
      <c r="X90" s="25">
        <f t="shared" si="13"/>
        <v>501.63934426229508</v>
      </c>
      <c r="Y90" s="27" t="s">
        <v>191</v>
      </c>
      <c r="Z90" s="19" t="s">
        <v>35</v>
      </c>
      <c r="AA90" s="19" t="s">
        <v>35</v>
      </c>
      <c r="AB90" s="19" t="s">
        <v>215</v>
      </c>
      <c r="AC90" s="19">
        <v>0</v>
      </c>
      <c r="AD90" s="19">
        <v>1</v>
      </c>
      <c r="AE90" s="19" t="s">
        <v>37</v>
      </c>
      <c r="AF90" s="19" t="s">
        <v>43</v>
      </c>
      <c r="AG90" s="19" t="s">
        <v>38</v>
      </c>
      <c r="AH90" s="19" t="s">
        <v>217</v>
      </c>
    </row>
    <row r="91" spans="1:34" x14ac:dyDescent="0.3">
      <c r="A91" s="74" t="s">
        <v>978</v>
      </c>
      <c r="B91" s="10" t="s">
        <v>1001</v>
      </c>
      <c r="C91" s="10" t="s">
        <v>1002</v>
      </c>
      <c r="D91" s="11">
        <v>45145</v>
      </c>
      <c r="E91" s="12">
        <v>185000</v>
      </c>
      <c r="F91" s="10" t="s">
        <v>32</v>
      </c>
      <c r="G91" s="10" t="s">
        <v>33</v>
      </c>
      <c r="H91" s="12">
        <v>185000</v>
      </c>
      <c r="I91" s="12">
        <v>71100</v>
      </c>
      <c r="J91" s="13">
        <f t="shared" si="7"/>
        <v>38.432432432432435</v>
      </c>
      <c r="K91" s="12">
        <v>179460</v>
      </c>
      <c r="L91" s="12">
        <f>H91-167542</f>
        <v>17458</v>
      </c>
      <c r="M91" s="12">
        <v>11918</v>
      </c>
      <c r="N91" s="66">
        <f t="shared" si="8"/>
        <v>6.4421621621621628E-2</v>
      </c>
      <c r="O91" s="14">
        <v>65.48</v>
      </c>
      <c r="P91" s="15">
        <v>160.37</v>
      </c>
      <c r="Q91" s="16">
        <v>0.16800000000000001</v>
      </c>
      <c r="R91" s="16">
        <v>0.16800000000000001</v>
      </c>
      <c r="S91" s="12">
        <f t="shared" si="9"/>
        <v>266.61576053756869</v>
      </c>
      <c r="T91" s="12">
        <f t="shared" si="10"/>
        <v>103916.66666666666</v>
      </c>
      <c r="U91" s="17">
        <f t="shared" si="11"/>
        <v>2.3855984083256807</v>
      </c>
      <c r="V91" s="16">
        <v>71.569999999999993</v>
      </c>
      <c r="W91" s="16">
        <f t="shared" si="12"/>
        <v>37000</v>
      </c>
      <c r="X91" s="16">
        <f t="shared" si="13"/>
        <v>516.97638675422672</v>
      </c>
      <c r="Y91" s="18" t="s">
        <v>977</v>
      </c>
      <c r="Z91" s="10" t="s">
        <v>35</v>
      </c>
      <c r="AA91" s="10" t="s">
        <v>35</v>
      </c>
      <c r="AB91" s="10" t="s">
        <v>978</v>
      </c>
      <c r="AC91" s="10">
        <v>0</v>
      </c>
      <c r="AD91" s="10">
        <v>1</v>
      </c>
      <c r="AE91" s="10" t="s">
        <v>37</v>
      </c>
      <c r="AF91" s="10" t="s">
        <v>43</v>
      </c>
      <c r="AG91" s="10" t="s">
        <v>38</v>
      </c>
      <c r="AH91" s="10" t="s">
        <v>92</v>
      </c>
    </row>
    <row r="92" spans="1:34" x14ac:dyDescent="0.3">
      <c r="A92" s="75" t="s">
        <v>611</v>
      </c>
      <c r="B92" s="19" t="s">
        <v>700</v>
      </c>
      <c r="C92" s="19" t="s">
        <v>701</v>
      </c>
      <c r="D92" s="20">
        <v>45589</v>
      </c>
      <c r="E92" s="21">
        <v>193500</v>
      </c>
      <c r="F92" s="19" t="s">
        <v>32</v>
      </c>
      <c r="G92" s="19" t="s">
        <v>33</v>
      </c>
      <c r="H92" s="21">
        <v>193500</v>
      </c>
      <c r="I92" s="21">
        <v>87200</v>
      </c>
      <c r="J92" s="22">
        <f t="shared" si="7"/>
        <v>45.064599483204134</v>
      </c>
      <c r="K92" s="21">
        <v>189417</v>
      </c>
      <c r="L92" s="21">
        <f>H92-173480</f>
        <v>20020</v>
      </c>
      <c r="M92" s="21">
        <v>15937</v>
      </c>
      <c r="N92" s="67">
        <f t="shared" si="8"/>
        <v>8.2361757105943151E-2</v>
      </c>
      <c r="O92" s="23">
        <v>74.819999999999993</v>
      </c>
      <c r="P92" s="24">
        <v>150.01</v>
      </c>
      <c r="Q92" s="25">
        <v>0.22700000000000001</v>
      </c>
      <c r="R92" s="25">
        <v>0.22700000000000001</v>
      </c>
      <c r="S92" s="21">
        <f t="shared" si="9"/>
        <v>267.57551456829725</v>
      </c>
      <c r="T92" s="21">
        <f t="shared" si="10"/>
        <v>88193.832599118934</v>
      </c>
      <c r="U92" s="26">
        <f t="shared" si="11"/>
        <v>2.0246518043874868</v>
      </c>
      <c r="V92" s="25">
        <v>64.5</v>
      </c>
      <c r="W92" s="25">
        <f t="shared" si="12"/>
        <v>38700</v>
      </c>
      <c r="X92" s="25">
        <f t="shared" si="13"/>
        <v>600</v>
      </c>
      <c r="Y92" s="27" t="s">
        <v>610</v>
      </c>
      <c r="Z92" s="19" t="s">
        <v>35</v>
      </c>
      <c r="AA92" s="19" t="s">
        <v>35</v>
      </c>
      <c r="AB92" s="19" t="s">
        <v>611</v>
      </c>
      <c r="AC92" s="19">
        <v>0</v>
      </c>
      <c r="AD92" s="19">
        <v>1</v>
      </c>
      <c r="AE92" s="19" t="s">
        <v>42</v>
      </c>
      <c r="AF92" s="19" t="s">
        <v>35</v>
      </c>
      <c r="AG92" s="19" t="s">
        <v>38</v>
      </c>
      <c r="AH92" s="19" t="s">
        <v>92</v>
      </c>
    </row>
    <row r="93" spans="1:34" x14ac:dyDescent="0.3">
      <c r="A93" s="75" t="s">
        <v>1834</v>
      </c>
      <c r="B93" s="19" t="s">
        <v>1831</v>
      </c>
      <c r="C93" s="19" t="s">
        <v>1832</v>
      </c>
      <c r="D93" s="20">
        <v>45686</v>
      </c>
      <c r="E93" s="21">
        <v>295000</v>
      </c>
      <c r="F93" s="19" t="s">
        <v>32</v>
      </c>
      <c r="G93" s="19" t="s">
        <v>33</v>
      </c>
      <c r="H93" s="21">
        <v>295000</v>
      </c>
      <c r="I93" s="21">
        <v>120900</v>
      </c>
      <c r="J93" s="22">
        <f t="shared" si="7"/>
        <v>40.983050847457626</v>
      </c>
      <c r="K93" s="21">
        <v>286258</v>
      </c>
      <c r="L93" s="21">
        <f>H93-273645</f>
        <v>21355</v>
      </c>
      <c r="M93" s="21">
        <v>12613</v>
      </c>
      <c r="N93" s="67">
        <f t="shared" si="8"/>
        <v>4.2755932203389829E-2</v>
      </c>
      <c r="O93" s="23">
        <v>78.819999999999993</v>
      </c>
      <c r="P93" s="24">
        <v>155.38999999999999</v>
      </c>
      <c r="Q93" s="25">
        <v>0.21</v>
      </c>
      <c r="R93" s="25">
        <v>0.21</v>
      </c>
      <c r="S93" s="21">
        <f t="shared" si="9"/>
        <v>270.93377315402182</v>
      </c>
      <c r="T93" s="21">
        <f t="shared" si="10"/>
        <v>101690.4761904762</v>
      </c>
      <c r="U93" s="26">
        <f t="shared" si="11"/>
        <v>2.3344921072193801</v>
      </c>
      <c r="V93" s="25">
        <v>90.22</v>
      </c>
      <c r="W93" s="25">
        <f t="shared" si="12"/>
        <v>59000</v>
      </c>
      <c r="X93" s="25">
        <f t="shared" si="13"/>
        <v>653.95699401463094</v>
      </c>
      <c r="Y93" s="27" t="s">
        <v>1833</v>
      </c>
      <c r="Z93" s="19" t="s">
        <v>35</v>
      </c>
      <c r="AA93" s="19" t="s">
        <v>35</v>
      </c>
      <c r="AB93" s="19" t="s">
        <v>1834</v>
      </c>
      <c r="AC93" s="19">
        <v>0</v>
      </c>
      <c r="AD93" s="19">
        <v>1</v>
      </c>
      <c r="AE93" s="19" t="s">
        <v>37</v>
      </c>
      <c r="AF93" s="19" t="s">
        <v>35</v>
      </c>
      <c r="AG93" s="19" t="s">
        <v>38</v>
      </c>
      <c r="AH93" s="19" t="s">
        <v>92</v>
      </c>
    </row>
    <row r="94" spans="1:34" x14ac:dyDescent="0.3">
      <c r="A94" s="75" t="s">
        <v>2397</v>
      </c>
      <c r="B94" s="19" t="s">
        <v>2398</v>
      </c>
      <c r="C94" s="19" t="s">
        <v>2399</v>
      </c>
      <c r="D94" s="20">
        <v>45056</v>
      </c>
      <c r="E94" s="21">
        <v>221000</v>
      </c>
      <c r="F94" s="19" t="s">
        <v>32</v>
      </c>
      <c r="G94" s="19" t="s">
        <v>66</v>
      </c>
      <c r="H94" s="21">
        <v>221000</v>
      </c>
      <c r="I94" s="21">
        <v>77300</v>
      </c>
      <c r="J94" s="22">
        <f t="shared" si="7"/>
        <v>34.977375565610856</v>
      </c>
      <c r="K94" s="21">
        <v>200656</v>
      </c>
      <c r="L94" s="21">
        <f>H94-176264</f>
        <v>44736</v>
      </c>
      <c r="M94" s="21">
        <v>24392</v>
      </c>
      <c r="N94" s="67">
        <f t="shared" si="8"/>
        <v>0.11037104072398191</v>
      </c>
      <c r="O94" s="23">
        <v>164.81</v>
      </c>
      <c r="P94" s="24">
        <v>547.02</v>
      </c>
      <c r="Q94" s="25">
        <v>0.754</v>
      </c>
      <c r="R94" s="25">
        <v>0.377</v>
      </c>
      <c r="S94" s="21">
        <f t="shared" si="9"/>
        <v>271.43983981554516</v>
      </c>
      <c r="T94" s="21">
        <f t="shared" si="10"/>
        <v>59331.564986737401</v>
      </c>
      <c r="U94" s="26">
        <f t="shared" si="11"/>
        <v>1.3620653119085722</v>
      </c>
      <c r="V94" s="25">
        <v>120</v>
      </c>
      <c r="W94" s="25">
        <f t="shared" si="12"/>
        <v>44200</v>
      </c>
      <c r="X94" s="25">
        <f t="shared" si="13"/>
        <v>368.33333333333331</v>
      </c>
      <c r="Y94" s="27" t="s">
        <v>2396</v>
      </c>
      <c r="Z94" s="19" t="s">
        <v>35</v>
      </c>
      <c r="AA94" s="19" t="s">
        <v>2400</v>
      </c>
      <c r="AB94" s="19" t="s">
        <v>2397</v>
      </c>
      <c r="AC94" s="19">
        <v>0</v>
      </c>
      <c r="AD94" s="19">
        <v>1</v>
      </c>
      <c r="AE94" s="19" t="s">
        <v>2401</v>
      </c>
      <c r="AF94" s="19" t="s">
        <v>43</v>
      </c>
      <c r="AG94" s="19" t="s">
        <v>38</v>
      </c>
      <c r="AH94" s="19" t="s">
        <v>92</v>
      </c>
    </row>
    <row r="95" spans="1:34" x14ac:dyDescent="0.3">
      <c r="A95" s="75" t="s">
        <v>2840</v>
      </c>
      <c r="B95" s="19" t="s">
        <v>2841</v>
      </c>
      <c r="C95" s="19" t="s">
        <v>2842</v>
      </c>
      <c r="D95" s="20">
        <v>45369</v>
      </c>
      <c r="E95" s="21">
        <v>175000</v>
      </c>
      <c r="F95" s="19" t="s">
        <v>32</v>
      </c>
      <c r="G95" s="19" t="s">
        <v>33</v>
      </c>
      <c r="H95" s="21">
        <v>175000</v>
      </c>
      <c r="I95" s="21">
        <v>64500</v>
      </c>
      <c r="J95" s="22">
        <f t="shared" si="7"/>
        <v>36.857142857142854</v>
      </c>
      <c r="K95" s="21">
        <v>168627</v>
      </c>
      <c r="L95" s="21">
        <f>H95-153258</f>
        <v>21742</v>
      </c>
      <c r="M95" s="21">
        <v>15369</v>
      </c>
      <c r="N95" s="67">
        <f t="shared" si="8"/>
        <v>8.7822857142857147E-2</v>
      </c>
      <c r="O95" s="23">
        <v>78.41</v>
      </c>
      <c r="P95" s="24">
        <v>300</v>
      </c>
      <c r="Q95" s="25">
        <v>0.52600000000000002</v>
      </c>
      <c r="R95" s="25">
        <v>0.52600000000000002</v>
      </c>
      <c r="S95" s="21">
        <f t="shared" si="9"/>
        <v>277.28606045147302</v>
      </c>
      <c r="T95" s="21">
        <f t="shared" si="10"/>
        <v>41334.600760456269</v>
      </c>
      <c r="U95" s="26">
        <f t="shared" si="11"/>
        <v>0.94891186318770127</v>
      </c>
      <c r="V95" s="25">
        <v>76.430000000000007</v>
      </c>
      <c r="W95" s="25">
        <f t="shared" si="12"/>
        <v>35000</v>
      </c>
      <c r="X95" s="25">
        <f t="shared" si="13"/>
        <v>457.93536569409912</v>
      </c>
      <c r="Y95" s="27" t="s">
        <v>2839</v>
      </c>
      <c r="Z95" s="19" t="s">
        <v>35</v>
      </c>
      <c r="AA95" s="19" t="s">
        <v>35</v>
      </c>
      <c r="AB95" s="19" t="s">
        <v>2840</v>
      </c>
      <c r="AC95" s="19">
        <v>0</v>
      </c>
      <c r="AD95" s="19">
        <v>1</v>
      </c>
      <c r="AE95" s="19" t="s">
        <v>42</v>
      </c>
      <c r="AF95" s="19" t="s">
        <v>43</v>
      </c>
      <c r="AG95" s="19" t="s">
        <v>38</v>
      </c>
      <c r="AH95" s="19" t="s">
        <v>92</v>
      </c>
    </row>
    <row r="96" spans="1:34" x14ac:dyDescent="0.3">
      <c r="A96" s="75" t="s">
        <v>1776</v>
      </c>
      <c r="B96" s="19" t="s">
        <v>1803</v>
      </c>
      <c r="C96" s="19" t="s">
        <v>1804</v>
      </c>
      <c r="D96" s="20">
        <v>45148</v>
      </c>
      <c r="E96" s="21">
        <v>242000</v>
      </c>
      <c r="F96" s="19" t="s">
        <v>32</v>
      </c>
      <c r="G96" s="19" t="s">
        <v>33</v>
      </c>
      <c r="H96" s="21">
        <v>242000</v>
      </c>
      <c r="I96" s="21">
        <v>97800</v>
      </c>
      <c r="J96" s="22">
        <f t="shared" si="7"/>
        <v>40.413223140495866</v>
      </c>
      <c r="K96" s="21">
        <v>234268</v>
      </c>
      <c r="L96" s="21">
        <f>H96-222311</f>
        <v>19689</v>
      </c>
      <c r="M96" s="21">
        <v>11957</v>
      </c>
      <c r="N96" s="67">
        <f t="shared" si="8"/>
        <v>4.9409090909090909E-2</v>
      </c>
      <c r="O96" s="23">
        <v>70.33</v>
      </c>
      <c r="P96" s="24">
        <v>152.4</v>
      </c>
      <c r="Q96" s="25">
        <v>0.23</v>
      </c>
      <c r="R96" s="25">
        <v>0.23</v>
      </c>
      <c r="S96" s="21">
        <f t="shared" si="9"/>
        <v>279.95165647661025</v>
      </c>
      <c r="T96" s="21">
        <f t="shared" si="10"/>
        <v>85604.34782608696</v>
      </c>
      <c r="U96" s="26">
        <f t="shared" si="11"/>
        <v>1.9652054138220147</v>
      </c>
      <c r="V96" s="25">
        <v>55.67</v>
      </c>
      <c r="W96" s="25">
        <f t="shared" si="12"/>
        <v>48400</v>
      </c>
      <c r="X96" s="25">
        <f t="shared" si="13"/>
        <v>869.40901742410631</v>
      </c>
      <c r="Y96" s="27" t="s">
        <v>1767</v>
      </c>
      <c r="Z96" s="19" t="s">
        <v>35</v>
      </c>
      <c r="AA96" s="19" t="s">
        <v>35</v>
      </c>
      <c r="AB96" s="19" t="s">
        <v>1776</v>
      </c>
      <c r="AC96" s="19">
        <v>0</v>
      </c>
      <c r="AD96" s="19">
        <v>1</v>
      </c>
      <c r="AE96" s="19" t="s">
        <v>42</v>
      </c>
      <c r="AF96" s="19" t="s">
        <v>43</v>
      </c>
      <c r="AG96" s="19" t="s">
        <v>38</v>
      </c>
      <c r="AH96" s="19" t="s">
        <v>92</v>
      </c>
    </row>
    <row r="97" spans="1:34" x14ac:dyDescent="0.3">
      <c r="A97" s="75" t="s">
        <v>2435</v>
      </c>
      <c r="B97" s="19" t="s">
        <v>2585</v>
      </c>
      <c r="C97" s="19" t="s">
        <v>2586</v>
      </c>
      <c r="D97" s="20">
        <v>45383</v>
      </c>
      <c r="E97" s="21">
        <v>151000</v>
      </c>
      <c r="F97" s="19" t="s">
        <v>32</v>
      </c>
      <c r="G97" s="19" t="s">
        <v>33</v>
      </c>
      <c r="H97" s="21">
        <v>151000</v>
      </c>
      <c r="I97" s="21">
        <v>62400</v>
      </c>
      <c r="J97" s="22">
        <f t="shared" si="7"/>
        <v>41.324503311258276</v>
      </c>
      <c r="K97" s="21">
        <v>141819</v>
      </c>
      <c r="L97" s="21">
        <f>H97-124518</f>
        <v>26482</v>
      </c>
      <c r="M97" s="21">
        <v>17301</v>
      </c>
      <c r="N97" s="67">
        <f t="shared" si="8"/>
        <v>0.11457615894039735</v>
      </c>
      <c r="O97" s="23">
        <v>93.51</v>
      </c>
      <c r="P97" s="24">
        <v>177.64</v>
      </c>
      <c r="Q97" s="25">
        <v>0.32600000000000001</v>
      </c>
      <c r="R97" s="25">
        <v>0.32600000000000001</v>
      </c>
      <c r="S97" s="21">
        <f t="shared" si="9"/>
        <v>283.19965779061062</v>
      </c>
      <c r="T97" s="21">
        <f t="shared" si="10"/>
        <v>81233.128834355826</v>
      </c>
      <c r="U97" s="26">
        <f t="shared" si="11"/>
        <v>1.8648560338465525</v>
      </c>
      <c r="V97" s="25">
        <v>80</v>
      </c>
      <c r="W97" s="25">
        <f t="shared" si="12"/>
        <v>30200</v>
      </c>
      <c r="X97" s="25">
        <f t="shared" si="13"/>
        <v>377.5</v>
      </c>
      <c r="Y97" s="27" t="s">
        <v>2434</v>
      </c>
      <c r="Z97" s="19" t="s">
        <v>35</v>
      </c>
      <c r="AA97" s="19" t="s">
        <v>35</v>
      </c>
      <c r="AB97" s="19" t="s">
        <v>2435</v>
      </c>
      <c r="AC97" s="19">
        <v>0</v>
      </c>
      <c r="AD97" s="19">
        <v>1</v>
      </c>
      <c r="AE97" s="19" t="s">
        <v>42</v>
      </c>
      <c r="AF97" s="19" t="s">
        <v>43</v>
      </c>
      <c r="AG97" s="19" t="s">
        <v>38</v>
      </c>
      <c r="AH97" s="19" t="s">
        <v>92</v>
      </c>
    </row>
    <row r="98" spans="1:34" x14ac:dyDescent="0.3">
      <c r="A98" s="75" t="s">
        <v>2435</v>
      </c>
      <c r="B98" s="19" t="s">
        <v>2571</v>
      </c>
      <c r="C98" s="19" t="s">
        <v>2572</v>
      </c>
      <c r="D98" s="20">
        <v>45422</v>
      </c>
      <c r="E98" s="21">
        <v>187500</v>
      </c>
      <c r="F98" s="19" t="s">
        <v>32</v>
      </c>
      <c r="G98" s="19" t="s">
        <v>33</v>
      </c>
      <c r="H98" s="21">
        <v>187500</v>
      </c>
      <c r="I98" s="21">
        <v>79100</v>
      </c>
      <c r="J98" s="22">
        <f t="shared" si="7"/>
        <v>42.186666666666667</v>
      </c>
      <c r="K98" s="21">
        <v>174836</v>
      </c>
      <c r="L98" s="21">
        <f>H98-152129</f>
        <v>35371</v>
      </c>
      <c r="M98" s="21">
        <v>22707</v>
      </c>
      <c r="N98" s="67">
        <f t="shared" si="8"/>
        <v>0.121104</v>
      </c>
      <c r="O98" s="23">
        <v>122.74</v>
      </c>
      <c r="P98" s="24">
        <v>177.64</v>
      </c>
      <c r="Q98" s="25">
        <v>0.42799999999999999</v>
      </c>
      <c r="R98" s="25">
        <v>0.42799999999999999</v>
      </c>
      <c r="S98" s="21">
        <f t="shared" si="9"/>
        <v>288.17826299494868</v>
      </c>
      <c r="T98" s="21">
        <f t="shared" si="10"/>
        <v>82642.523364485984</v>
      </c>
      <c r="U98" s="26">
        <f t="shared" si="11"/>
        <v>1.8972112801764458</v>
      </c>
      <c r="V98" s="25">
        <v>105</v>
      </c>
      <c r="W98" s="25">
        <f t="shared" si="12"/>
        <v>37500</v>
      </c>
      <c r="X98" s="25">
        <f t="shared" si="13"/>
        <v>357.14285714285717</v>
      </c>
      <c r="Y98" s="27" t="s">
        <v>2434</v>
      </c>
      <c r="Z98" s="19" t="s">
        <v>35</v>
      </c>
      <c r="AA98" s="19" t="s">
        <v>35</v>
      </c>
      <c r="AB98" s="19" t="s">
        <v>2435</v>
      </c>
      <c r="AC98" s="19">
        <v>0</v>
      </c>
      <c r="AD98" s="19">
        <v>1</v>
      </c>
      <c r="AE98" s="19" t="s">
        <v>42</v>
      </c>
      <c r="AF98" s="19" t="s">
        <v>43</v>
      </c>
      <c r="AG98" s="19" t="s">
        <v>38</v>
      </c>
      <c r="AH98" s="19" t="s">
        <v>92</v>
      </c>
    </row>
    <row r="99" spans="1:34" x14ac:dyDescent="0.3">
      <c r="A99" s="74" t="s">
        <v>2435</v>
      </c>
      <c r="B99" s="10" t="s">
        <v>2432</v>
      </c>
      <c r="C99" s="10" t="s">
        <v>2433</v>
      </c>
      <c r="D99" s="11">
        <v>45215</v>
      </c>
      <c r="E99" s="12">
        <v>113000</v>
      </c>
      <c r="F99" s="10" t="s">
        <v>32</v>
      </c>
      <c r="G99" s="10" t="s">
        <v>33</v>
      </c>
      <c r="H99" s="12">
        <v>113000</v>
      </c>
      <c r="I99" s="12">
        <v>37400</v>
      </c>
      <c r="J99" s="13">
        <f t="shared" si="7"/>
        <v>33.097345132743364</v>
      </c>
      <c r="K99" s="12">
        <v>93482</v>
      </c>
      <c r="L99" s="12">
        <f>H99-59742</f>
        <v>53258</v>
      </c>
      <c r="M99" s="12">
        <v>33740</v>
      </c>
      <c r="N99" s="66">
        <f t="shared" si="8"/>
        <v>0.29858407079646015</v>
      </c>
      <c r="O99" s="14">
        <v>182.37</v>
      </c>
      <c r="P99" s="15">
        <v>192.18</v>
      </c>
      <c r="Q99" s="16">
        <v>0.66200000000000003</v>
      </c>
      <c r="R99" s="16">
        <v>0.66200000000000003</v>
      </c>
      <c r="S99" s="12">
        <f t="shared" si="9"/>
        <v>292.03268081373034</v>
      </c>
      <c r="T99" s="12">
        <f t="shared" si="10"/>
        <v>80450.151057401803</v>
      </c>
      <c r="U99" s="17">
        <f t="shared" si="11"/>
        <v>1.8468813374059183</v>
      </c>
      <c r="V99" s="16">
        <v>150</v>
      </c>
      <c r="W99" s="16">
        <f t="shared" si="12"/>
        <v>22600</v>
      </c>
      <c r="X99" s="16">
        <f t="shared" si="13"/>
        <v>150.66666666666666</v>
      </c>
      <c r="Y99" s="18" t="s">
        <v>2434</v>
      </c>
      <c r="Z99" s="10" t="s">
        <v>35</v>
      </c>
      <c r="AA99" s="10" t="s">
        <v>35</v>
      </c>
      <c r="AB99" s="10" t="s">
        <v>2435</v>
      </c>
      <c r="AC99" s="10">
        <v>0</v>
      </c>
      <c r="AD99" s="10">
        <v>1</v>
      </c>
      <c r="AE99" s="10" t="s">
        <v>42</v>
      </c>
      <c r="AF99" s="10" t="s">
        <v>43</v>
      </c>
      <c r="AG99" s="10" t="s">
        <v>38</v>
      </c>
      <c r="AH99" s="10" t="s">
        <v>92</v>
      </c>
    </row>
    <row r="100" spans="1:34" x14ac:dyDescent="0.3">
      <c r="A100" s="74" t="s">
        <v>267</v>
      </c>
      <c r="B100" s="10" t="s">
        <v>280</v>
      </c>
      <c r="C100" s="10" t="s">
        <v>281</v>
      </c>
      <c r="D100" s="11">
        <v>45503</v>
      </c>
      <c r="E100" s="12">
        <v>240001</v>
      </c>
      <c r="F100" s="10" t="s">
        <v>32</v>
      </c>
      <c r="G100" s="10" t="s">
        <v>66</v>
      </c>
      <c r="H100" s="12">
        <v>240001</v>
      </c>
      <c r="I100" s="12">
        <v>107900</v>
      </c>
      <c r="J100" s="13">
        <f t="shared" si="7"/>
        <v>44.95814600772497</v>
      </c>
      <c r="K100" s="12">
        <v>227774</v>
      </c>
      <c r="L100" s="12">
        <f>H100-202836</f>
        <v>37165</v>
      </c>
      <c r="M100" s="12">
        <v>24938</v>
      </c>
      <c r="N100" s="66">
        <f t="shared" si="8"/>
        <v>0.10390790038374841</v>
      </c>
      <c r="O100" s="14">
        <v>122.84</v>
      </c>
      <c r="P100" s="15">
        <v>262</v>
      </c>
      <c r="Q100" s="16">
        <v>0.36099999999999999</v>
      </c>
      <c r="R100" s="16">
        <v>0.24099999999999999</v>
      </c>
      <c r="S100" s="12">
        <f t="shared" si="9"/>
        <v>302.54802995766852</v>
      </c>
      <c r="T100" s="12">
        <f t="shared" si="10"/>
        <v>102950.13850415513</v>
      </c>
      <c r="U100" s="17">
        <f t="shared" si="11"/>
        <v>2.3634099748428632</v>
      </c>
      <c r="V100" s="16">
        <v>120</v>
      </c>
      <c r="W100" s="16">
        <f t="shared" si="12"/>
        <v>48000.200000000004</v>
      </c>
      <c r="X100" s="16">
        <f t="shared" si="13"/>
        <v>400.00166666666672</v>
      </c>
      <c r="Y100" s="18" t="s">
        <v>266</v>
      </c>
      <c r="Z100" s="10" t="s">
        <v>35</v>
      </c>
      <c r="AA100" s="10" t="s">
        <v>282</v>
      </c>
      <c r="AB100" s="10" t="s">
        <v>267</v>
      </c>
      <c r="AC100" s="10">
        <v>0</v>
      </c>
      <c r="AD100" s="10">
        <v>1</v>
      </c>
      <c r="AE100" s="10" t="s">
        <v>37</v>
      </c>
      <c r="AF100" s="10" t="s">
        <v>43</v>
      </c>
      <c r="AG100" s="10" t="s">
        <v>38</v>
      </c>
      <c r="AH100" s="10" t="s">
        <v>92</v>
      </c>
    </row>
    <row r="101" spans="1:34" x14ac:dyDescent="0.3">
      <c r="A101" s="75" t="s">
        <v>2241</v>
      </c>
      <c r="B101" s="19" t="s">
        <v>2244</v>
      </c>
      <c r="C101" s="19" t="s">
        <v>2245</v>
      </c>
      <c r="D101" s="20">
        <v>45212</v>
      </c>
      <c r="E101" s="21">
        <v>200000</v>
      </c>
      <c r="F101" s="19" t="s">
        <v>32</v>
      </c>
      <c r="G101" s="19" t="s">
        <v>33</v>
      </c>
      <c r="H101" s="21">
        <v>200000</v>
      </c>
      <c r="I101" s="21">
        <v>38000</v>
      </c>
      <c r="J101" s="22">
        <f t="shared" si="7"/>
        <v>19</v>
      </c>
      <c r="K101" s="21">
        <v>187739</v>
      </c>
      <c r="L101" s="21">
        <f>H101-164258</f>
        <v>35742</v>
      </c>
      <c r="M101" s="21">
        <v>23481</v>
      </c>
      <c r="N101" s="67">
        <f t="shared" si="8"/>
        <v>0.117405</v>
      </c>
      <c r="O101" s="23">
        <v>117.4</v>
      </c>
      <c r="P101" s="24">
        <v>163.83000000000001</v>
      </c>
      <c r="Q101" s="25">
        <v>0.29499999999999998</v>
      </c>
      <c r="R101" s="25">
        <v>0.29499999999999998</v>
      </c>
      <c r="S101" s="21">
        <f t="shared" si="9"/>
        <v>304.44633730834749</v>
      </c>
      <c r="T101" s="21">
        <f t="shared" si="10"/>
        <v>121159.32203389831</v>
      </c>
      <c r="U101" s="26">
        <f t="shared" si="11"/>
        <v>2.7814353083998693</v>
      </c>
      <c r="V101" s="25">
        <v>150.69999999999999</v>
      </c>
      <c r="W101" s="25">
        <f t="shared" si="12"/>
        <v>40000</v>
      </c>
      <c r="X101" s="25">
        <f t="shared" si="13"/>
        <v>265.42800265428002</v>
      </c>
      <c r="Y101" s="27" t="s">
        <v>2240</v>
      </c>
      <c r="Z101" s="19" t="s">
        <v>35</v>
      </c>
      <c r="AA101" s="19" t="s">
        <v>35</v>
      </c>
      <c r="AB101" s="19" t="s">
        <v>2241</v>
      </c>
      <c r="AC101" s="19">
        <v>0</v>
      </c>
      <c r="AD101" s="19">
        <v>1</v>
      </c>
      <c r="AE101" s="19" t="s">
        <v>1099</v>
      </c>
      <c r="AF101" s="19" t="s">
        <v>43</v>
      </c>
      <c r="AG101" s="19" t="s">
        <v>38</v>
      </c>
      <c r="AH101" s="19" t="s">
        <v>92</v>
      </c>
    </row>
    <row r="102" spans="1:34" x14ac:dyDescent="0.3">
      <c r="A102" s="74" t="s">
        <v>2435</v>
      </c>
      <c r="B102" s="10" t="s">
        <v>2581</v>
      </c>
      <c r="C102" s="10" t="s">
        <v>2582</v>
      </c>
      <c r="D102" s="11">
        <v>45744</v>
      </c>
      <c r="E102" s="12">
        <v>186000</v>
      </c>
      <c r="F102" s="10" t="s">
        <v>32</v>
      </c>
      <c r="G102" s="10" t="s">
        <v>33</v>
      </c>
      <c r="H102" s="12">
        <v>186000</v>
      </c>
      <c r="I102" s="12">
        <v>73200</v>
      </c>
      <c r="J102" s="13">
        <f t="shared" si="7"/>
        <v>39.354838709677423</v>
      </c>
      <c r="K102" s="12">
        <v>161110</v>
      </c>
      <c r="L102" s="12">
        <f>H102-128172</f>
        <v>57828</v>
      </c>
      <c r="M102" s="12">
        <v>32938</v>
      </c>
      <c r="N102" s="66">
        <f t="shared" si="8"/>
        <v>0.17708602150537633</v>
      </c>
      <c r="O102" s="14">
        <v>178.04</v>
      </c>
      <c r="P102" s="15">
        <v>196</v>
      </c>
      <c r="Q102" s="16">
        <v>0.65200000000000002</v>
      </c>
      <c r="R102" s="16">
        <v>0.65200000000000002</v>
      </c>
      <c r="S102" s="12">
        <f t="shared" si="9"/>
        <v>324.80341496292971</v>
      </c>
      <c r="T102" s="12">
        <f t="shared" si="10"/>
        <v>88693.251533742325</v>
      </c>
      <c r="U102" s="17">
        <f t="shared" si="11"/>
        <v>2.0361168855312748</v>
      </c>
      <c r="V102" s="16">
        <v>145</v>
      </c>
      <c r="W102" s="16">
        <f t="shared" si="12"/>
        <v>37200</v>
      </c>
      <c r="X102" s="16">
        <f t="shared" si="13"/>
        <v>256.55172413793105</v>
      </c>
      <c r="Y102" s="18" t="s">
        <v>2434</v>
      </c>
      <c r="Z102" s="10" t="s">
        <v>35</v>
      </c>
      <c r="AA102" s="10" t="s">
        <v>35</v>
      </c>
      <c r="AB102" s="10" t="s">
        <v>2435</v>
      </c>
      <c r="AC102" s="10">
        <v>0</v>
      </c>
      <c r="AD102" s="10">
        <v>1</v>
      </c>
      <c r="AE102" s="10" t="s">
        <v>37</v>
      </c>
      <c r="AF102" s="10" t="s">
        <v>35</v>
      </c>
      <c r="AG102" s="10" t="s">
        <v>38</v>
      </c>
      <c r="AH102" s="10" t="s">
        <v>92</v>
      </c>
    </row>
    <row r="103" spans="1:34" x14ac:dyDescent="0.3">
      <c r="A103" s="75" t="s">
        <v>652</v>
      </c>
      <c r="B103" s="19" t="s">
        <v>657</v>
      </c>
      <c r="C103" s="19" t="s">
        <v>658</v>
      </c>
      <c r="D103" s="20">
        <v>45666</v>
      </c>
      <c r="E103" s="21">
        <v>140000</v>
      </c>
      <c r="F103" s="19" t="s">
        <v>32</v>
      </c>
      <c r="G103" s="19" t="s">
        <v>33</v>
      </c>
      <c r="H103" s="21">
        <v>140000</v>
      </c>
      <c r="I103" s="21">
        <v>56000</v>
      </c>
      <c r="J103" s="22">
        <f t="shared" si="7"/>
        <v>40</v>
      </c>
      <c r="K103" s="21">
        <v>125013</v>
      </c>
      <c r="L103" s="21">
        <f>H103-109011</f>
        <v>30989</v>
      </c>
      <c r="M103" s="21">
        <v>16002</v>
      </c>
      <c r="N103" s="67">
        <f t="shared" si="8"/>
        <v>0.1143</v>
      </c>
      <c r="O103" s="23">
        <v>91.96</v>
      </c>
      <c r="P103" s="24">
        <v>318.94</v>
      </c>
      <c r="Q103" s="25">
        <v>0.45</v>
      </c>
      <c r="R103" s="25">
        <v>0.45</v>
      </c>
      <c r="S103" s="21">
        <f t="shared" si="9"/>
        <v>336.98347107438019</v>
      </c>
      <c r="T103" s="21">
        <f t="shared" si="10"/>
        <v>68864.444444444438</v>
      </c>
      <c r="U103" s="26">
        <f t="shared" si="11"/>
        <v>1.5809101112131414</v>
      </c>
      <c r="V103" s="25">
        <v>60</v>
      </c>
      <c r="W103" s="25">
        <f t="shared" si="12"/>
        <v>28000</v>
      </c>
      <c r="X103" s="25">
        <f t="shared" si="13"/>
        <v>466.66666666666669</v>
      </c>
      <c r="Y103" s="27" t="s">
        <v>651</v>
      </c>
      <c r="Z103" s="19" t="s">
        <v>35</v>
      </c>
      <c r="AA103" s="19" t="s">
        <v>35</v>
      </c>
      <c r="AB103" s="19" t="s">
        <v>652</v>
      </c>
      <c r="AC103" s="19">
        <v>0</v>
      </c>
      <c r="AD103" s="19">
        <v>1</v>
      </c>
      <c r="AE103" s="19" t="s">
        <v>42</v>
      </c>
      <c r="AF103" s="19" t="s">
        <v>35</v>
      </c>
      <c r="AG103" s="19" t="s">
        <v>38</v>
      </c>
      <c r="AH103" s="19" t="s">
        <v>92</v>
      </c>
    </row>
    <row r="104" spans="1:34" x14ac:dyDescent="0.3">
      <c r="A104" s="75" t="s">
        <v>267</v>
      </c>
      <c r="B104" s="19" t="s">
        <v>429</v>
      </c>
      <c r="C104" s="19" t="s">
        <v>430</v>
      </c>
      <c r="D104" s="20">
        <v>45191</v>
      </c>
      <c r="E104" s="21">
        <v>117000</v>
      </c>
      <c r="F104" s="19" t="s">
        <v>32</v>
      </c>
      <c r="G104" s="19" t="s">
        <v>66</v>
      </c>
      <c r="H104" s="21">
        <v>117000</v>
      </c>
      <c r="I104" s="21">
        <v>41200</v>
      </c>
      <c r="J104" s="22">
        <f t="shared" si="7"/>
        <v>35.213675213675216</v>
      </c>
      <c r="K104" s="21">
        <v>107977</v>
      </c>
      <c r="L104" s="21">
        <f>H104-94858</f>
        <v>22142</v>
      </c>
      <c r="M104" s="21">
        <v>13119</v>
      </c>
      <c r="N104" s="67">
        <f t="shared" si="8"/>
        <v>0.11212820512820512</v>
      </c>
      <c r="O104" s="23">
        <v>64.62</v>
      </c>
      <c r="P104" s="24">
        <v>290</v>
      </c>
      <c r="Q104" s="25">
        <v>0.2</v>
      </c>
      <c r="R104" s="25">
        <v>0.13300000000000001</v>
      </c>
      <c r="S104" s="21">
        <f t="shared" si="9"/>
        <v>342.64933457134009</v>
      </c>
      <c r="T104" s="21">
        <f t="shared" si="10"/>
        <v>110710</v>
      </c>
      <c r="U104" s="26">
        <f t="shared" si="11"/>
        <v>2.5415518824609733</v>
      </c>
      <c r="V104" s="25">
        <v>60</v>
      </c>
      <c r="W104" s="25">
        <f t="shared" si="12"/>
        <v>23400</v>
      </c>
      <c r="X104" s="25">
        <f t="shared" si="13"/>
        <v>390</v>
      </c>
      <c r="Y104" s="27" t="s">
        <v>266</v>
      </c>
      <c r="Z104" s="19" t="s">
        <v>35</v>
      </c>
      <c r="AA104" s="19" t="s">
        <v>431</v>
      </c>
      <c r="AB104" s="19" t="s">
        <v>267</v>
      </c>
      <c r="AC104" s="19">
        <v>0</v>
      </c>
      <c r="AD104" s="19">
        <v>1</v>
      </c>
      <c r="AE104" s="19" t="s">
        <v>42</v>
      </c>
      <c r="AF104" s="19" t="s">
        <v>43</v>
      </c>
      <c r="AG104" s="19" t="s">
        <v>38</v>
      </c>
      <c r="AH104" s="19" t="s">
        <v>92</v>
      </c>
    </row>
    <row r="105" spans="1:34" x14ac:dyDescent="0.3">
      <c r="A105" s="75" t="s">
        <v>2200</v>
      </c>
      <c r="B105" s="19" t="s">
        <v>2205</v>
      </c>
      <c r="C105" s="19" t="s">
        <v>2206</v>
      </c>
      <c r="D105" s="20">
        <v>45072</v>
      </c>
      <c r="E105" s="21">
        <v>170000</v>
      </c>
      <c r="F105" s="19" t="s">
        <v>32</v>
      </c>
      <c r="G105" s="19" t="s">
        <v>33</v>
      </c>
      <c r="H105" s="21">
        <v>170000</v>
      </c>
      <c r="I105" s="21">
        <v>58600</v>
      </c>
      <c r="J105" s="22">
        <f t="shared" si="7"/>
        <v>34.470588235294116</v>
      </c>
      <c r="K105" s="21">
        <v>146224</v>
      </c>
      <c r="L105" s="21">
        <f>H105-123465</f>
        <v>46535</v>
      </c>
      <c r="M105" s="21">
        <v>22759</v>
      </c>
      <c r="N105" s="67">
        <f t="shared" si="8"/>
        <v>0.13387647058823529</v>
      </c>
      <c r="O105" s="23">
        <v>133.09</v>
      </c>
      <c r="P105" s="24">
        <v>305</v>
      </c>
      <c r="Q105" s="25">
        <v>0.92400000000000004</v>
      </c>
      <c r="R105" s="25">
        <v>0.92400000000000004</v>
      </c>
      <c r="S105" s="21">
        <f t="shared" si="9"/>
        <v>349.65061236757083</v>
      </c>
      <c r="T105" s="21">
        <f t="shared" si="10"/>
        <v>50362.554112554113</v>
      </c>
      <c r="U105" s="26">
        <f t="shared" si="11"/>
        <v>1.1561651540990383</v>
      </c>
      <c r="V105" s="25">
        <v>132</v>
      </c>
      <c r="W105" s="25">
        <f t="shared" si="12"/>
        <v>34000</v>
      </c>
      <c r="X105" s="25">
        <f t="shared" si="13"/>
        <v>257.57575757575756</v>
      </c>
      <c r="Y105" s="27" t="s">
        <v>2199</v>
      </c>
      <c r="Z105" s="19" t="s">
        <v>35</v>
      </c>
      <c r="AA105" s="19" t="s">
        <v>35</v>
      </c>
      <c r="AB105" s="19" t="s">
        <v>2200</v>
      </c>
      <c r="AC105" s="19">
        <v>0</v>
      </c>
      <c r="AD105" s="19">
        <v>1</v>
      </c>
      <c r="AE105" s="19" t="s">
        <v>42</v>
      </c>
      <c r="AF105" s="19" t="s">
        <v>43</v>
      </c>
      <c r="AG105" s="19" t="s">
        <v>38</v>
      </c>
      <c r="AH105" s="19" t="s">
        <v>92</v>
      </c>
    </row>
    <row r="106" spans="1:34" x14ac:dyDescent="0.3">
      <c r="A106" s="74" t="s">
        <v>267</v>
      </c>
      <c r="B106" s="10" t="s">
        <v>542</v>
      </c>
      <c r="C106" s="10" t="s">
        <v>543</v>
      </c>
      <c r="D106" s="11">
        <v>45631</v>
      </c>
      <c r="E106" s="12">
        <v>150000</v>
      </c>
      <c r="F106" s="10" t="s">
        <v>32</v>
      </c>
      <c r="G106" s="10" t="s">
        <v>33</v>
      </c>
      <c r="H106" s="12">
        <v>150000</v>
      </c>
      <c r="I106" s="12">
        <v>59900</v>
      </c>
      <c r="J106" s="13">
        <f t="shared" si="7"/>
        <v>39.93333333333333</v>
      </c>
      <c r="K106" s="12">
        <v>134349</v>
      </c>
      <c r="L106" s="12">
        <f>H106-112878</f>
        <v>37122</v>
      </c>
      <c r="M106" s="12">
        <v>21471</v>
      </c>
      <c r="N106" s="66">
        <f t="shared" si="8"/>
        <v>0.14313999999999999</v>
      </c>
      <c r="O106" s="14">
        <v>105.76</v>
      </c>
      <c r="P106" s="15">
        <v>293.02999999999997</v>
      </c>
      <c r="Q106" s="16">
        <v>0.46500000000000002</v>
      </c>
      <c r="R106" s="16">
        <v>0.46500000000000002</v>
      </c>
      <c r="S106" s="12">
        <f t="shared" si="9"/>
        <v>351.00226928895609</v>
      </c>
      <c r="T106" s="12">
        <f t="shared" si="10"/>
        <v>79832.258064516122</v>
      </c>
      <c r="U106" s="17">
        <f t="shared" si="11"/>
        <v>1.8326964661275511</v>
      </c>
      <c r="V106" s="16">
        <v>69.12</v>
      </c>
      <c r="W106" s="16">
        <f t="shared" si="12"/>
        <v>30000</v>
      </c>
      <c r="X106" s="16">
        <f t="shared" si="13"/>
        <v>434.02777777777777</v>
      </c>
      <c r="Y106" s="18" t="s">
        <v>266</v>
      </c>
      <c r="Z106" s="10" t="s">
        <v>35</v>
      </c>
      <c r="AA106" s="10" t="s">
        <v>35</v>
      </c>
      <c r="AB106" s="10" t="s">
        <v>267</v>
      </c>
      <c r="AC106" s="10">
        <v>0</v>
      </c>
      <c r="AD106" s="10">
        <v>1</v>
      </c>
      <c r="AE106" s="10" t="s">
        <v>42</v>
      </c>
      <c r="AF106" s="10" t="s">
        <v>35</v>
      </c>
      <c r="AG106" s="10" t="s">
        <v>38</v>
      </c>
      <c r="AH106" s="10" t="s">
        <v>92</v>
      </c>
    </row>
    <row r="107" spans="1:34" x14ac:dyDescent="0.3">
      <c r="A107" s="75" t="s">
        <v>2249</v>
      </c>
      <c r="B107" s="19" t="s">
        <v>2258</v>
      </c>
      <c r="C107" s="19" t="s">
        <v>2259</v>
      </c>
      <c r="D107" s="20">
        <v>45170</v>
      </c>
      <c r="E107" s="21">
        <v>280000</v>
      </c>
      <c r="F107" s="19" t="s">
        <v>32</v>
      </c>
      <c r="G107" s="19" t="s">
        <v>33</v>
      </c>
      <c r="H107" s="21">
        <v>280000</v>
      </c>
      <c r="I107" s="21">
        <v>112300</v>
      </c>
      <c r="J107" s="22">
        <f t="shared" si="7"/>
        <v>40.107142857142861</v>
      </c>
      <c r="K107" s="21">
        <v>258538</v>
      </c>
      <c r="L107" s="21">
        <f>H107-227084</f>
        <v>52916</v>
      </c>
      <c r="M107" s="21">
        <v>31454</v>
      </c>
      <c r="N107" s="67">
        <f t="shared" si="8"/>
        <v>0.11233571428571429</v>
      </c>
      <c r="O107" s="23">
        <v>144.28</v>
      </c>
      <c r="P107" s="24">
        <v>722.27</v>
      </c>
      <c r="Q107" s="25">
        <v>1.665</v>
      </c>
      <c r="R107" s="25">
        <v>1.665</v>
      </c>
      <c r="S107" s="21">
        <f t="shared" si="9"/>
        <v>366.75907956750763</v>
      </c>
      <c r="T107" s="21">
        <f t="shared" si="10"/>
        <v>31781.381381381379</v>
      </c>
      <c r="U107" s="26">
        <f t="shared" si="11"/>
        <v>0.72960012353951742</v>
      </c>
      <c r="V107" s="25">
        <v>100.44</v>
      </c>
      <c r="W107" s="25">
        <f t="shared" si="12"/>
        <v>56000</v>
      </c>
      <c r="X107" s="25">
        <f t="shared" si="13"/>
        <v>557.54679410593394</v>
      </c>
      <c r="Y107" s="27" t="s">
        <v>2248</v>
      </c>
      <c r="Z107" s="19" t="s">
        <v>35</v>
      </c>
      <c r="AA107" s="19" t="s">
        <v>35</v>
      </c>
      <c r="AB107" s="19" t="s">
        <v>2249</v>
      </c>
      <c r="AC107" s="19">
        <v>0</v>
      </c>
      <c r="AD107" s="19">
        <v>1</v>
      </c>
      <c r="AE107" s="19" t="s">
        <v>37</v>
      </c>
      <c r="AF107" s="19" t="s">
        <v>43</v>
      </c>
      <c r="AG107" s="19" t="s">
        <v>38</v>
      </c>
      <c r="AH107" s="19" t="s">
        <v>92</v>
      </c>
    </row>
    <row r="108" spans="1:34" x14ac:dyDescent="0.3">
      <c r="A108" s="74" t="s">
        <v>1639</v>
      </c>
      <c r="B108" s="10" t="s">
        <v>1674</v>
      </c>
      <c r="C108" s="10" t="s">
        <v>1675</v>
      </c>
      <c r="D108" s="11">
        <v>45548</v>
      </c>
      <c r="E108" s="12">
        <v>330000</v>
      </c>
      <c r="F108" s="10" t="s">
        <v>32</v>
      </c>
      <c r="G108" s="10" t="s">
        <v>33</v>
      </c>
      <c r="H108" s="12">
        <v>330000</v>
      </c>
      <c r="I108" s="12">
        <v>150100</v>
      </c>
      <c r="J108" s="13">
        <f t="shared" si="7"/>
        <v>45.484848484848484</v>
      </c>
      <c r="K108" s="12">
        <v>313887</v>
      </c>
      <c r="L108" s="12">
        <f>H108-301165</f>
        <v>28835</v>
      </c>
      <c r="M108" s="12">
        <v>12722</v>
      </c>
      <c r="N108" s="66">
        <f t="shared" si="8"/>
        <v>3.8551515151515149E-2</v>
      </c>
      <c r="O108" s="14">
        <v>77.569999999999993</v>
      </c>
      <c r="P108" s="15">
        <v>303.93</v>
      </c>
      <c r="Q108" s="16">
        <v>0.46</v>
      </c>
      <c r="R108" s="16">
        <v>0.46100000000000002</v>
      </c>
      <c r="S108" s="12">
        <f t="shared" si="9"/>
        <v>371.72876111898933</v>
      </c>
      <c r="T108" s="12">
        <f t="shared" si="10"/>
        <v>62684.782608695648</v>
      </c>
      <c r="U108" s="17">
        <f t="shared" si="11"/>
        <v>1.4390445961592206</v>
      </c>
      <c r="V108" s="16">
        <v>66</v>
      </c>
      <c r="W108" s="16">
        <f t="shared" si="12"/>
        <v>66000</v>
      </c>
      <c r="X108" s="16">
        <f t="shared" si="13"/>
        <v>1000</v>
      </c>
      <c r="Y108" s="18" t="s">
        <v>1638</v>
      </c>
      <c r="Z108" s="10" t="s">
        <v>35</v>
      </c>
      <c r="AA108" s="10" t="s">
        <v>35</v>
      </c>
      <c r="AB108" s="10" t="s">
        <v>1639</v>
      </c>
      <c r="AC108" s="10">
        <v>0</v>
      </c>
      <c r="AD108" s="10">
        <v>1</v>
      </c>
      <c r="AE108" s="10" t="s">
        <v>37</v>
      </c>
      <c r="AF108" s="10" t="s">
        <v>43</v>
      </c>
      <c r="AG108" s="10" t="s">
        <v>38</v>
      </c>
      <c r="AH108" s="10" t="s">
        <v>92</v>
      </c>
    </row>
    <row r="109" spans="1:34" x14ac:dyDescent="0.3">
      <c r="A109" s="75" t="s">
        <v>1563</v>
      </c>
      <c r="B109" s="19" t="s">
        <v>1572</v>
      </c>
      <c r="C109" s="19" t="s">
        <v>1573</v>
      </c>
      <c r="D109" s="20">
        <v>45296</v>
      </c>
      <c r="E109" s="21">
        <v>180000</v>
      </c>
      <c r="F109" s="19" t="s">
        <v>32</v>
      </c>
      <c r="G109" s="19" t="s">
        <v>33</v>
      </c>
      <c r="H109" s="21">
        <v>180000</v>
      </c>
      <c r="I109" s="21">
        <v>62900</v>
      </c>
      <c r="J109" s="22">
        <f t="shared" si="7"/>
        <v>34.944444444444443</v>
      </c>
      <c r="K109" s="21">
        <v>169113</v>
      </c>
      <c r="L109" s="21">
        <f>H109-161413</f>
        <v>18587</v>
      </c>
      <c r="M109" s="21">
        <v>7700</v>
      </c>
      <c r="N109" s="67">
        <f t="shared" si="8"/>
        <v>4.2777777777777776E-2</v>
      </c>
      <c r="O109" s="23">
        <v>50</v>
      </c>
      <c r="P109" s="24">
        <v>200</v>
      </c>
      <c r="Q109" s="25">
        <v>0.23</v>
      </c>
      <c r="R109" s="25">
        <v>0.23</v>
      </c>
      <c r="S109" s="21">
        <f t="shared" si="9"/>
        <v>371.74</v>
      </c>
      <c r="T109" s="21">
        <f t="shared" si="10"/>
        <v>80813.043478260865</v>
      </c>
      <c r="U109" s="26">
        <f t="shared" si="11"/>
        <v>1.8552122010620034</v>
      </c>
      <c r="V109" s="25">
        <v>50</v>
      </c>
      <c r="W109" s="25">
        <f t="shared" si="12"/>
        <v>36000</v>
      </c>
      <c r="X109" s="25">
        <f t="shared" si="13"/>
        <v>720</v>
      </c>
      <c r="Y109" s="27" t="s">
        <v>1562</v>
      </c>
      <c r="Z109" s="19" t="s">
        <v>35</v>
      </c>
      <c r="AA109" s="19" t="s">
        <v>35</v>
      </c>
      <c r="AB109" s="19" t="s">
        <v>1563</v>
      </c>
      <c r="AC109" s="19">
        <v>0</v>
      </c>
      <c r="AD109" s="19">
        <v>0</v>
      </c>
      <c r="AE109" s="19" t="s">
        <v>42</v>
      </c>
      <c r="AF109" s="19" t="s">
        <v>43</v>
      </c>
      <c r="AG109" s="19" t="s">
        <v>38</v>
      </c>
      <c r="AH109" s="19" t="s">
        <v>92</v>
      </c>
    </row>
    <row r="110" spans="1:34" x14ac:dyDescent="0.3">
      <c r="A110" s="74" t="s">
        <v>611</v>
      </c>
      <c r="B110" s="10" t="s">
        <v>702</v>
      </c>
      <c r="C110" s="10" t="s">
        <v>703</v>
      </c>
      <c r="D110" s="11">
        <v>45023</v>
      </c>
      <c r="E110" s="12">
        <v>185000</v>
      </c>
      <c r="F110" s="10" t="s">
        <v>32</v>
      </c>
      <c r="G110" s="10" t="s">
        <v>33</v>
      </c>
      <c r="H110" s="12">
        <v>185000</v>
      </c>
      <c r="I110" s="12">
        <v>68000</v>
      </c>
      <c r="J110" s="13">
        <f t="shared" si="7"/>
        <v>36.756756756756758</v>
      </c>
      <c r="K110" s="12">
        <v>175601</v>
      </c>
      <c r="L110" s="12">
        <f>H110-163438</f>
        <v>21562</v>
      </c>
      <c r="M110" s="12">
        <v>12163</v>
      </c>
      <c r="N110" s="66">
        <f t="shared" si="8"/>
        <v>6.5745945945945947E-2</v>
      </c>
      <c r="O110" s="14">
        <v>57.1</v>
      </c>
      <c r="P110" s="15">
        <v>150</v>
      </c>
      <c r="Q110" s="16">
        <v>0.17199999999999999</v>
      </c>
      <c r="R110" s="16">
        <v>0.17199999999999999</v>
      </c>
      <c r="S110" s="12">
        <f t="shared" si="9"/>
        <v>377.61821366024515</v>
      </c>
      <c r="T110" s="12">
        <f t="shared" si="10"/>
        <v>125360.46511627908</v>
      </c>
      <c r="U110" s="17">
        <f t="shared" si="11"/>
        <v>2.8778802827428622</v>
      </c>
      <c r="V110" s="16">
        <v>50</v>
      </c>
      <c r="W110" s="16">
        <f t="shared" si="12"/>
        <v>37000</v>
      </c>
      <c r="X110" s="16">
        <f t="shared" si="13"/>
        <v>740</v>
      </c>
      <c r="Y110" s="18" t="s">
        <v>610</v>
      </c>
      <c r="Z110" s="10" t="s">
        <v>35</v>
      </c>
      <c r="AA110" s="10" t="s">
        <v>35</v>
      </c>
      <c r="AB110" s="10" t="s">
        <v>611</v>
      </c>
      <c r="AC110" s="10">
        <v>0</v>
      </c>
      <c r="AD110" s="10">
        <v>1</v>
      </c>
      <c r="AE110" s="10" t="s">
        <v>42</v>
      </c>
      <c r="AF110" s="10" t="s">
        <v>43</v>
      </c>
      <c r="AG110" s="10" t="s">
        <v>38</v>
      </c>
      <c r="AH110" s="10" t="s">
        <v>92</v>
      </c>
    </row>
    <row r="111" spans="1:34" x14ac:dyDescent="0.3">
      <c r="A111" s="75" t="s">
        <v>2249</v>
      </c>
      <c r="B111" s="19" t="s">
        <v>2256</v>
      </c>
      <c r="C111" s="19" t="s">
        <v>2257</v>
      </c>
      <c r="D111" s="20">
        <v>45567</v>
      </c>
      <c r="E111" s="21">
        <v>310000</v>
      </c>
      <c r="F111" s="19" t="s">
        <v>32</v>
      </c>
      <c r="G111" s="19" t="s">
        <v>33</v>
      </c>
      <c r="H111" s="21">
        <v>310000</v>
      </c>
      <c r="I111" s="21">
        <v>144700</v>
      </c>
      <c r="J111" s="22">
        <f t="shared" si="7"/>
        <v>46.677419354838712</v>
      </c>
      <c r="K111" s="21">
        <v>295212</v>
      </c>
      <c r="L111" s="21">
        <f>H111-275368</f>
        <v>34632</v>
      </c>
      <c r="M111" s="21">
        <v>19844</v>
      </c>
      <c r="N111" s="67">
        <f t="shared" si="8"/>
        <v>6.4012903225806453E-2</v>
      </c>
      <c r="O111" s="23">
        <v>91.02</v>
      </c>
      <c r="P111" s="24">
        <v>290</v>
      </c>
      <c r="Q111" s="25">
        <v>0.66600000000000004</v>
      </c>
      <c r="R111" s="25">
        <v>0.66600000000000004</v>
      </c>
      <c r="S111" s="21">
        <f t="shared" si="9"/>
        <v>380.48780487804879</v>
      </c>
      <c r="T111" s="21">
        <f t="shared" si="10"/>
        <v>52000</v>
      </c>
      <c r="U111" s="26">
        <f t="shared" si="11"/>
        <v>1.1937557392102847</v>
      </c>
      <c r="V111" s="25">
        <v>100</v>
      </c>
      <c r="W111" s="25">
        <f t="shared" si="12"/>
        <v>62000</v>
      </c>
      <c r="X111" s="25">
        <f t="shared" si="13"/>
        <v>620</v>
      </c>
      <c r="Y111" s="27" t="s">
        <v>2248</v>
      </c>
      <c r="Z111" s="19" t="s">
        <v>35</v>
      </c>
      <c r="AA111" s="19" t="s">
        <v>35</v>
      </c>
      <c r="AB111" s="19" t="s">
        <v>2249</v>
      </c>
      <c r="AC111" s="19">
        <v>0</v>
      </c>
      <c r="AD111" s="19">
        <v>1</v>
      </c>
      <c r="AE111" s="19" t="s">
        <v>37</v>
      </c>
      <c r="AF111" s="19" t="s">
        <v>43</v>
      </c>
      <c r="AG111" s="19" t="s">
        <v>38</v>
      </c>
      <c r="AH111" s="19" t="s">
        <v>92</v>
      </c>
    </row>
    <row r="112" spans="1:34" x14ac:dyDescent="0.3">
      <c r="A112" s="75" t="s">
        <v>1632</v>
      </c>
      <c r="B112" s="19" t="s">
        <v>1629</v>
      </c>
      <c r="C112" s="19" t="s">
        <v>1630</v>
      </c>
      <c r="D112" s="20">
        <v>45730</v>
      </c>
      <c r="E112" s="21">
        <v>355000</v>
      </c>
      <c r="F112" s="19" t="s">
        <v>32</v>
      </c>
      <c r="G112" s="19" t="s">
        <v>33</v>
      </c>
      <c r="H112" s="21">
        <v>355000</v>
      </c>
      <c r="I112" s="21">
        <v>171100</v>
      </c>
      <c r="J112" s="22">
        <f t="shared" si="7"/>
        <v>48.197183098591552</v>
      </c>
      <c r="K112" s="21">
        <v>348774</v>
      </c>
      <c r="L112" s="21">
        <f>H112-321203</f>
        <v>33797</v>
      </c>
      <c r="M112" s="21">
        <v>27571</v>
      </c>
      <c r="N112" s="67">
        <f t="shared" si="8"/>
        <v>7.7664788732394366E-2</v>
      </c>
      <c r="O112" s="23">
        <v>86.15</v>
      </c>
      <c r="P112" s="24">
        <v>180.35</v>
      </c>
      <c r="Q112" s="25">
        <v>0.35199999999999998</v>
      </c>
      <c r="R112" s="25">
        <v>0.35199999999999998</v>
      </c>
      <c r="S112" s="21">
        <f t="shared" si="9"/>
        <v>392.30412071967498</v>
      </c>
      <c r="T112" s="21">
        <f t="shared" si="10"/>
        <v>96014.204545454544</v>
      </c>
      <c r="U112" s="26">
        <f t="shared" si="11"/>
        <v>2.2041828408047417</v>
      </c>
      <c r="V112" s="25">
        <v>49.2</v>
      </c>
      <c r="W112" s="25">
        <f t="shared" si="12"/>
        <v>71000</v>
      </c>
      <c r="X112" s="25">
        <f t="shared" si="13"/>
        <v>1443.0894308943089</v>
      </c>
      <c r="Y112" s="27" t="s">
        <v>1631</v>
      </c>
      <c r="Z112" s="19" t="s">
        <v>35</v>
      </c>
      <c r="AA112" s="19" t="s">
        <v>35</v>
      </c>
      <c r="AB112" s="19" t="s">
        <v>1632</v>
      </c>
      <c r="AC112" s="19">
        <v>0</v>
      </c>
      <c r="AD112" s="19">
        <v>1</v>
      </c>
      <c r="AE112" s="19" t="s">
        <v>42</v>
      </c>
      <c r="AF112" s="19" t="s">
        <v>35</v>
      </c>
      <c r="AG112" s="19" t="s">
        <v>38</v>
      </c>
      <c r="AH112" s="19" t="s">
        <v>92</v>
      </c>
    </row>
    <row r="113" spans="1:34" x14ac:dyDescent="0.3">
      <c r="A113" s="74" t="s">
        <v>2594</v>
      </c>
      <c r="B113" s="10" t="s">
        <v>2632</v>
      </c>
      <c r="C113" s="10" t="s">
        <v>2633</v>
      </c>
      <c r="D113" s="11">
        <v>45667</v>
      </c>
      <c r="E113" s="12">
        <v>170500</v>
      </c>
      <c r="F113" s="10" t="s">
        <v>32</v>
      </c>
      <c r="G113" s="10" t="s">
        <v>33</v>
      </c>
      <c r="H113" s="12">
        <v>170500</v>
      </c>
      <c r="I113" s="12">
        <v>69700</v>
      </c>
      <c r="J113" s="13">
        <f t="shared" si="7"/>
        <v>40.879765395894431</v>
      </c>
      <c r="K113" s="12">
        <v>157773</v>
      </c>
      <c r="L113" s="12">
        <f>H113-140891</f>
        <v>29609</v>
      </c>
      <c r="M113" s="12">
        <v>16882</v>
      </c>
      <c r="N113" s="66">
        <f t="shared" si="8"/>
        <v>9.9014662756598246E-2</v>
      </c>
      <c r="O113" s="14">
        <v>74.69</v>
      </c>
      <c r="P113" s="15">
        <v>186</v>
      </c>
      <c r="Q113" s="16">
        <v>0.25600000000000001</v>
      </c>
      <c r="R113" s="16">
        <v>0.25600000000000001</v>
      </c>
      <c r="S113" s="12">
        <f t="shared" si="9"/>
        <v>396.4252242602758</v>
      </c>
      <c r="T113" s="12">
        <f t="shared" si="10"/>
        <v>115660.15625</v>
      </c>
      <c r="U113" s="17">
        <f t="shared" si="11"/>
        <v>2.6551918331037649</v>
      </c>
      <c r="V113" s="16">
        <v>60</v>
      </c>
      <c r="W113" s="16">
        <f t="shared" si="12"/>
        <v>34100</v>
      </c>
      <c r="X113" s="16">
        <f t="shared" si="13"/>
        <v>568.33333333333337</v>
      </c>
      <c r="Y113" s="18" t="s">
        <v>2593</v>
      </c>
      <c r="Z113" s="10" t="s">
        <v>35</v>
      </c>
      <c r="AA113" s="10" t="s">
        <v>35</v>
      </c>
      <c r="AB113" s="10" t="s">
        <v>2594</v>
      </c>
      <c r="AC113" s="10">
        <v>0</v>
      </c>
      <c r="AD113" s="10">
        <v>1</v>
      </c>
      <c r="AE113" s="10" t="s">
        <v>42</v>
      </c>
      <c r="AF113" s="10" t="s">
        <v>35</v>
      </c>
      <c r="AG113" s="10" t="s">
        <v>38</v>
      </c>
      <c r="AH113" s="10" t="s">
        <v>92</v>
      </c>
    </row>
    <row r="114" spans="1:34" x14ac:dyDescent="0.3">
      <c r="A114" s="74" t="s">
        <v>2466</v>
      </c>
      <c r="B114" s="10" t="s">
        <v>2469</v>
      </c>
      <c r="C114" s="10" t="s">
        <v>2470</v>
      </c>
      <c r="D114" s="11">
        <v>45433</v>
      </c>
      <c r="E114" s="12">
        <v>216000</v>
      </c>
      <c r="F114" s="10" t="s">
        <v>32</v>
      </c>
      <c r="G114" s="10" t="s">
        <v>33</v>
      </c>
      <c r="H114" s="12">
        <v>216000</v>
      </c>
      <c r="I114" s="12">
        <v>102700</v>
      </c>
      <c r="J114" s="13">
        <f t="shared" si="7"/>
        <v>47.546296296296298</v>
      </c>
      <c r="K114" s="12">
        <v>208330</v>
      </c>
      <c r="L114" s="12">
        <f>H114-186986</f>
        <v>29014</v>
      </c>
      <c r="M114" s="12">
        <v>21344</v>
      </c>
      <c r="N114" s="66">
        <f t="shared" si="8"/>
        <v>9.8814814814814814E-2</v>
      </c>
      <c r="O114" s="14">
        <v>71.14</v>
      </c>
      <c r="P114" s="15">
        <v>168.06</v>
      </c>
      <c r="Q114" s="16">
        <v>0.23200000000000001</v>
      </c>
      <c r="R114" s="16">
        <v>0.23200000000000001</v>
      </c>
      <c r="S114" s="12">
        <f t="shared" si="9"/>
        <v>407.84368850154624</v>
      </c>
      <c r="T114" s="12">
        <f t="shared" si="10"/>
        <v>125060.3448275862</v>
      </c>
      <c r="U114" s="17">
        <f t="shared" si="11"/>
        <v>2.8709904689528511</v>
      </c>
      <c r="V114" s="16">
        <v>60.18</v>
      </c>
      <c r="W114" s="16">
        <f t="shared" si="12"/>
        <v>43200</v>
      </c>
      <c r="X114" s="16">
        <f t="shared" si="13"/>
        <v>717.84646061814556</v>
      </c>
      <c r="Y114" s="18" t="s">
        <v>2465</v>
      </c>
      <c r="Z114" s="10" t="s">
        <v>35</v>
      </c>
      <c r="AA114" s="10" t="s">
        <v>35</v>
      </c>
      <c r="AB114" s="10" t="s">
        <v>2466</v>
      </c>
      <c r="AC114" s="10">
        <v>0</v>
      </c>
      <c r="AD114" s="10">
        <v>1</v>
      </c>
      <c r="AE114" s="10" t="s">
        <v>37</v>
      </c>
      <c r="AF114" s="10" t="s">
        <v>43</v>
      </c>
      <c r="AG114" s="10" t="s">
        <v>38</v>
      </c>
      <c r="AH114" s="10" t="s">
        <v>92</v>
      </c>
    </row>
    <row r="115" spans="1:34" x14ac:dyDescent="0.3">
      <c r="A115" s="75" t="s">
        <v>1984</v>
      </c>
      <c r="B115" s="19" t="s">
        <v>1992</v>
      </c>
      <c r="C115" s="19" t="s">
        <v>1993</v>
      </c>
      <c r="D115" s="20">
        <v>45387</v>
      </c>
      <c r="E115" s="21">
        <v>360000</v>
      </c>
      <c r="F115" s="19" t="s">
        <v>32</v>
      </c>
      <c r="G115" s="19" t="s">
        <v>33</v>
      </c>
      <c r="H115" s="21">
        <v>360000</v>
      </c>
      <c r="I115" s="21">
        <v>179600</v>
      </c>
      <c r="J115" s="22">
        <f t="shared" si="7"/>
        <v>49.888888888888886</v>
      </c>
      <c r="K115" s="21">
        <v>361086</v>
      </c>
      <c r="L115" s="21">
        <f>H115-327166</f>
        <v>32834</v>
      </c>
      <c r="M115" s="21">
        <v>33920</v>
      </c>
      <c r="N115" s="67">
        <f t="shared" si="8"/>
        <v>9.4222222222222221E-2</v>
      </c>
      <c r="O115" s="23">
        <v>80</v>
      </c>
      <c r="P115" s="24">
        <v>150</v>
      </c>
      <c r="Q115" s="25">
        <v>0.27500000000000002</v>
      </c>
      <c r="R115" s="25">
        <v>0.27500000000000002</v>
      </c>
      <c r="S115" s="21">
        <f t="shared" si="9"/>
        <v>410.42500000000001</v>
      </c>
      <c r="T115" s="21">
        <f t="shared" si="10"/>
        <v>119396.36363636363</v>
      </c>
      <c r="U115" s="26">
        <f t="shared" si="11"/>
        <v>2.7409633525336004</v>
      </c>
      <c r="V115" s="25">
        <v>80</v>
      </c>
      <c r="W115" s="25">
        <f t="shared" si="12"/>
        <v>72000</v>
      </c>
      <c r="X115" s="25">
        <f t="shared" si="13"/>
        <v>900</v>
      </c>
      <c r="Y115" s="27" t="s">
        <v>1983</v>
      </c>
      <c r="Z115" s="19" t="s">
        <v>35</v>
      </c>
      <c r="AA115" s="19" t="s">
        <v>35</v>
      </c>
      <c r="AB115" s="19" t="s">
        <v>1984</v>
      </c>
      <c r="AC115" s="19">
        <v>0</v>
      </c>
      <c r="AD115" s="19">
        <v>1</v>
      </c>
      <c r="AE115" s="19" t="s">
        <v>37</v>
      </c>
      <c r="AF115" s="19" t="s">
        <v>43</v>
      </c>
      <c r="AG115" s="19" t="s">
        <v>38</v>
      </c>
      <c r="AH115" s="19" t="s">
        <v>92</v>
      </c>
    </row>
    <row r="116" spans="1:34" x14ac:dyDescent="0.3">
      <c r="A116" s="75" t="s">
        <v>358</v>
      </c>
      <c r="B116" s="19" t="s">
        <v>365</v>
      </c>
      <c r="C116" s="19" t="s">
        <v>366</v>
      </c>
      <c r="D116" s="20">
        <v>45434</v>
      </c>
      <c r="E116" s="21">
        <v>275000</v>
      </c>
      <c r="F116" s="19" t="s">
        <v>32</v>
      </c>
      <c r="G116" s="19" t="s">
        <v>33</v>
      </c>
      <c r="H116" s="21">
        <v>275000</v>
      </c>
      <c r="I116" s="21">
        <v>95500</v>
      </c>
      <c r="J116" s="22">
        <f t="shared" si="7"/>
        <v>34.727272727272727</v>
      </c>
      <c r="K116" s="21">
        <v>243220</v>
      </c>
      <c r="L116" s="21">
        <f>H116-223548</f>
        <v>51452</v>
      </c>
      <c r="M116" s="21">
        <v>19672</v>
      </c>
      <c r="N116" s="67">
        <f t="shared" si="8"/>
        <v>7.1534545454545448E-2</v>
      </c>
      <c r="O116" s="23">
        <v>115.71</v>
      </c>
      <c r="P116" s="24">
        <v>219.05</v>
      </c>
      <c r="Q116" s="25">
        <v>0.437</v>
      </c>
      <c r="R116" s="25">
        <v>0.437</v>
      </c>
      <c r="S116" s="21">
        <f t="shared" si="9"/>
        <v>444.6633825944171</v>
      </c>
      <c r="T116" s="21">
        <f t="shared" si="10"/>
        <v>117739.13043478261</v>
      </c>
      <c r="U116" s="26">
        <f t="shared" si="11"/>
        <v>2.7029185131951929</v>
      </c>
      <c r="V116" s="25">
        <v>88.35</v>
      </c>
      <c r="W116" s="25">
        <f t="shared" si="12"/>
        <v>55000</v>
      </c>
      <c r="X116" s="25">
        <f t="shared" si="13"/>
        <v>622.52405206564799</v>
      </c>
      <c r="Y116" s="27" t="s">
        <v>367</v>
      </c>
      <c r="Z116" s="19" t="s">
        <v>35</v>
      </c>
      <c r="AA116" s="19" t="s">
        <v>35</v>
      </c>
      <c r="AB116" s="19" t="s">
        <v>358</v>
      </c>
      <c r="AC116" s="19">
        <v>0</v>
      </c>
      <c r="AD116" s="19">
        <v>1</v>
      </c>
      <c r="AE116" s="19" t="s">
        <v>42</v>
      </c>
      <c r="AF116" s="19" t="s">
        <v>43</v>
      </c>
      <c r="AG116" s="19" t="s">
        <v>38</v>
      </c>
      <c r="AH116" s="19" t="s">
        <v>92</v>
      </c>
    </row>
    <row r="117" spans="1:34" x14ac:dyDescent="0.3">
      <c r="A117" s="75" t="s">
        <v>2435</v>
      </c>
      <c r="B117" s="19" t="s">
        <v>2583</v>
      </c>
      <c r="C117" s="19" t="s">
        <v>2584</v>
      </c>
      <c r="D117" s="20">
        <v>45187</v>
      </c>
      <c r="E117" s="21">
        <v>150000</v>
      </c>
      <c r="F117" s="19" t="s">
        <v>32</v>
      </c>
      <c r="G117" s="19" t="s">
        <v>33</v>
      </c>
      <c r="H117" s="21">
        <v>150000</v>
      </c>
      <c r="I117" s="21">
        <v>50100</v>
      </c>
      <c r="J117" s="22">
        <f t="shared" si="7"/>
        <v>33.4</v>
      </c>
      <c r="K117" s="21">
        <v>133974</v>
      </c>
      <c r="L117" s="21">
        <f>H117-122616</f>
        <v>27384</v>
      </c>
      <c r="M117" s="21">
        <v>11358</v>
      </c>
      <c r="N117" s="67">
        <f t="shared" si="8"/>
        <v>7.5719999999999996E-2</v>
      </c>
      <c r="O117" s="23">
        <v>61.39</v>
      </c>
      <c r="P117" s="24">
        <v>196</v>
      </c>
      <c r="Q117" s="25">
        <v>0.22500000000000001</v>
      </c>
      <c r="R117" s="25">
        <v>0.22500000000000001</v>
      </c>
      <c r="S117" s="21">
        <f t="shared" si="9"/>
        <v>446.06613454960092</v>
      </c>
      <c r="T117" s="21">
        <f t="shared" si="10"/>
        <v>121706.66666666666</v>
      </c>
      <c r="U117" s="26">
        <f t="shared" si="11"/>
        <v>2.7940006121824301</v>
      </c>
      <c r="V117" s="25">
        <v>50</v>
      </c>
      <c r="W117" s="25">
        <f t="shared" si="12"/>
        <v>30000</v>
      </c>
      <c r="X117" s="25">
        <f t="shared" si="13"/>
        <v>600</v>
      </c>
      <c r="Y117" s="27" t="s">
        <v>2434</v>
      </c>
      <c r="Z117" s="19" t="s">
        <v>35</v>
      </c>
      <c r="AA117" s="19" t="s">
        <v>35</v>
      </c>
      <c r="AB117" s="19" t="s">
        <v>2435</v>
      </c>
      <c r="AC117" s="19">
        <v>0</v>
      </c>
      <c r="AD117" s="19">
        <v>1</v>
      </c>
      <c r="AE117" s="19" t="s">
        <v>42</v>
      </c>
      <c r="AF117" s="19" t="s">
        <v>43</v>
      </c>
      <c r="AG117" s="19" t="s">
        <v>38</v>
      </c>
      <c r="AH117" s="19" t="s">
        <v>92</v>
      </c>
    </row>
    <row r="118" spans="1:34" x14ac:dyDescent="0.3">
      <c r="A118" s="75" t="s">
        <v>2125</v>
      </c>
      <c r="B118" s="19" t="s">
        <v>2126</v>
      </c>
      <c r="C118" s="19" t="s">
        <v>2127</v>
      </c>
      <c r="D118" s="20">
        <v>45684</v>
      </c>
      <c r="E118" s="21">
        <v>215000</v>
      </c>
      <c r="F118" s="19" t="s">
        <v>32</v>
      </c>
      <c r="G118" s="19" t="s">
        <v>33</v>
      </c>
      <c r="H118" s="21">
        <v>215000</v>
      </c>
      <c r="I118" s="21">
        <v>80200</v>
      </c>
      <c r="J118" s="22">
        <f t="shared" si="7"/>
        <v>37.302325581395351</v>
      </c>
      <c r="K118" s="21">
        <v>180677</v>
      </c>
      <c r="L118" s="21">
        <f>H118-141124</f>
        <v>73876</v>
      </c>
      <c r="M118" s="21">
        <v>39553</v>
      </c>
      <c r="N118" s="67">
        <f t="shared" si="8"/>
        <v>0.18396744186046513</v>
      </c>
      <c r="O118" s="23">
        <v>158.21</v>
      </c>
      <c r="P118" s="24">
        <v>264</v>
      </c>
      <c r="Q118" s="25">
        <v>0.97</v>
      </c>
      <c r="R118" s="25">
        <v>0.97</v>
      </c>
      <c r="S118" s="21">
        <f t="shared" si="9"/>
        <v>466.94899184628025</v>
      </c>
      <c r="T118" s="21">
        <f t="shared" si="10"/>
        <v>76160.824742268043</v>
      </c>
      <c r="U118" s="26">
        <f t="shared" si="11"/>
        <v>1.7484119545975216</v>
      </c>
      <c r="V118" s="25">
        <v>160</v>
      </c>
      <c r="W118" s="25">
        <f t="shared" si="12"/>
        <v>43000</v>
      </c>
      <c r="X118" s="25">
        <f t="shared" si="13"/>
        <v>268.75</v>
      </c>
      <c r="Y118" s="27" t="s">
        <v>2124</v>
      </c>
      <c r="Z118" s="19" t="s">
        <v>35</v>
      </c>
      <c r="AA118" s="19" t="s">
        <v>35</v>
      </c>
      <c r="AB118" s="19" t="s">
        <v>2125</v>
      </c>
      <c r="AC118" s="19">
        <v>0</v>
      </c>
      <c r="AD118" s="19">
        <v>1</v>
      </c>
      <c r="AE118" s="19" t="s">
        <v>42</v>
      </c>
      <c r="AF118" s="19" t="s">
        <v>35</v>
      </c>
      <c r="AG118" s="19" t="s">
        <v>38</v>
      </c>
      <c r="AH118" s="19" t="s">
        <v>92</v>
      </c>
    </row>
    <row r="119" spans="1:34" x14ac:dyDescent="0.3">
      <c r="A119" s="75" t="s">
        <v>1984</v>
      </c>
      <c r="B119" s="19" t="s">
        <v>1981</v>
      </c>
      <c r="C119" s="19" t="s">
        <v>1982</v>
      </c>
      <c r="D119" s="20">
        <v>45197</v>
      </c>
      <c r="E119" s="21">
        <v>305000</v>
      </c>
      <c r="F119" s="19" t="s">
        <v>32</v>
      </c>
      <c r="G119" s="19" t="s">
        <v>33</v>
      </c>
      <c r="H119" s="21">
        <v>305000</v>
      </c>
      <c r="I119" s="21">
        <v>141500</v>
      </c>
      <c r="J119" s="22">
        <f t="shared" si="7"/>
        <v>46.393442622950822</v>
      </c>
      <c r="K119" s="21">
        <v>301023</v>
      </c>
      <c r="L119" s="21">
        <f>H119-267103</f>
        <v>37897</v>
      </c>
      <c r="M119" s="21">
        <v>33920</v>
      </c>
      <c r="N119" s="67">
        <f t="shared" si="8"/>
        <v>0.11121311475409836</v>
      </c>
      <c r="O119" s="23">
        <v>80</v>
      </c>
      <c r="P119" s="24">
        <v>150</v>
      </c>
      <c r="Q119" s="25">
        <v>0.27500000000000002</v>
      </c>
      <c r="R119" s="25">
        <v>0.27500000000000002</v>
      </c>
      <c r="S119" s="21">
        <f t="shared" si="9"/>
        <v>473.71249999999998</v>
      </c>
      <c r="T119" s="21">
        <f t="shared" si="10"/>
        <v>137807.27272727271</v>
      </c>
      <c r="U119" s="26">
        <f t="shared" si="11"/>
        <v>3.1636196677518988</v>
      </c>
      <c r="V119" s="25">
        <v>80</v>
      </c>
      <c r="W119" s="25">
        <f t="shared" si="12"/>
        <v>61000</v>
      </c>
      <c r="X119" s="25">
        <f t="shared" si="13"/>
        <v>762.5</v>
      </c>
      <c r="Y119" s="27" t="s">
        <v>1983</v>
      </c>
      <c r="Z119" s="19" t="s">
        <v>35</v>
      </c>
      <c r="AA119" s="19" t="s">
        <v>35</v>
      </c>
      <c r="AB119" s="19" t="s">
        <v>1984</v>
      </c>
      <c r="AC119" s="19">
        <v>0</v>
      </c>
      <c r="AD119" s="19">
        <v>1</v>
      </c>
      <c r="AE119" s="19" t="s">
        <v>37</v>
      </c>
      <c r="AF119" s="19" t="s">
        <v>43</v>
      </c>
      <c r="AG119" s="19" t="s">
        <v>38</v>
      </c>
      <c r="AH119" s="19" t="s">
        <v>92</v>
      </c>
    </row>
    <row r="120" spans="1:34" x14ac:dyDescent="0.3">
      <c r="A120" s="75" t="s">
        <v>117</v>
      </c>
      <c r="B120" s="19" t="s">
        <v>122</v>
      </c>
      <c r="C120" s="19" t="s">
        <v>123</v>
      </c>
      <c r="D120" s="20">
        <v>45302</v>
      </c>
      <c r="E120" s="21">
        <v>153500</v>
      </c>
      <c r="F120" s="19" t="s">
        <v>32</v>
      </c>
      <c r="G120" s="19" t="s">
        <v>66</v>
      </c>
      <c r="H120" s="21">
        <v>153500</v>
      </c>
      <c r="I120" s="21">
        <v>53300</v>
      </c>
      <c r="J120" s="22">
        <f t="shared" si="7"/>
        <v>34.723127035830622</v>
      </c>
      <c r="K120" s="21">
        <v>129283</v>
      </c>
      <c r="L120" s="21">
        <f>H120-113575</f>
        <v>39925</v>
      </c>
      <c r="M120" s="21">
        <v>15708</v>
      </c>
      <c r="N120" s="67">
        <f t="shared" si="8"/>
        <v>0.10233224755700326</v>
      </c>
      <c r="O120" s="23">
        <v>83.1</v>
      </c>
      <c r="P120" s="24">
        <v>259</v>
      </c>
      <c r="Q120" s="25">
        <v>0.23799999999999999</v>
      </c>
      <c r="R120" s="25">
        <v>0.11899999999999999</v>
      </c>
      <c r="S120" s="21">
        <f t="shared" si="9"/>
        <v>480.44524669073411</v>
      </c>
      <c r="T120" s="21">
        <f t="shared" si="10"/>
        <v>167752.10084033615</v>
      </c>
      <c r="U120" s="26">
        <f t="shared" si="11"/>
        <v>3.8510583296679557</v>
      </c>
      <c r="V120" s="25">
        <v>80</v>
      </c>
      <c r="W120" s="25">
        <f t="shared" si="12"/>
        <v>30700</v>
      </c>
      <c r="X120" s="25">
        <f t="shared" si="13"/>
        <v>383.75</v>
      </c>
      <c r="Y120" s="27" t="s">
        <v>116</v>
      </c>
      <c r="Z120" s="19" t="s">
        <v>35</v>
      </c>
      <c r="AA120" s="19" t="s">
        <v>124</v>
      </c>
      <c r="AB120" s="19" t="s">
        <v>117</v>
      </c>
      <c r="AC120" s="19">
        <v>0</v>
      </c>
      <c r="AD120" s="19">
        <v>1</v>
      </c>
      <c r="AE120" s="19" t="s">
        <v>37</v>
      </c>
      <c r="AF120" s="19" t="s">
        <v>43</v>
      </c>
      <c r="AG120" s="19" t="s">
        <v>38</v>
      </c>
      <c r="AH120" s="19" t="s">
        <v>92</v>
      </c>
    </row>
    <row r="121" spans="1:34" x14ac:dyDescent="0.3">
      <c r="A121" s="75" t="s">
        <v>1921</v>
      </c>
      <c r="B121" s="19" t="s">
        <v>1929</v>
      </c>
      <c r="C121" s="19" t="s">
        <v>1930</v>
      </c>
      <c r="D121" s="20">
        <v>45722</v>
      </c>
      <c r="E121" s="21">
        <v>260000</v>
      </c>
      <c r="F121" s="19" t="s">
        <v>32</v>
      </c>
      <c r="G121" s="19" t="s">
        <v>33</v>
      </c>
      <c r="H121" s="21">
        <v>260000</v>
      </c>
      <c r="I121" s="21">
        <v>106600</v>
      </c>
      <c r="J121" s="22">
        <f t="shared" si="7"/>
        <v>41</v>
      </c>
      <c r="K121" s="21">
        <v>240284</v>
      </c>
      <c r="L121" s="21">
        <f>H121-227163</f>
        <v>32837</v>
      </c>
      <c r="M121" s="21">
        <v>13121</v>
      </c>
      <c r="N121" s="67">
        <f t="shared" si="8"/>
        <v>5.0465384615384613E-2</v>
      </c>
      <c r="O121" s="23">
        <v>68.34</v>
      </c>
      <c r="P121" s="24">
        <v>234.09</v>
      </c>
      <c r="Q121" s="25">
        <v>0.36</v>
      </c>
      <c r="R121" s="25">
        <v>0.36</v>
      </c>
      <c r="S121" s="21">
        <f t="shared" si="9"/>
        <v>480.49458589405907</v>
      </c>
      <c r="T121" s="21">
        <f t="shared" si="10"/>
        <v>91213.888888888891</v>
      </c>
      <c r="U121" s="26">
        <f t="shared" si="11"/>
        <v>2.0939827568615446</v>
      </c>
      <c r="V121" s="25">
        <v>67</v>
      </c>
      <c r="W121" s="25">
        <f t="shared" si="12"/>
        <v>52000</v>
      </c>
      <c r="X121" s="25">
        <f t="shared" si="13"/>
        <v>776.11940298507466</v>
      </c>
      <c r="Y121" s="27" t="s">
        <v>1915</v>
      </c>
      <c r="Z121" s="19" t="s">
        <v>35</v>
      </c>
      <c r="AA121" s="19" t="s">
        <v>35</v>
      </c>
      <c r="AB121" s="19" t="s">
        <v>1921</v>
      </c>
      <c r="AC121" s="19">
        <v>0</v>
      </c>
      <c r="AD121" s="19">
        <v>1</v>
      </c>
      <c r="AE121" s="19" t="s">
        <v>42</v>
      </c>
      <c r="AF121" s="19" t="s">
        <v>35</v>
      </c>
      <c r="AG121" s="19" t="s">
        <v>38</v>
      </c>
      <c r="AH121" s="19" t="s">
        <v>92</v>
      </c>
    </row>
    <row r="122" spans="1:34" x14ac:dyDescent="0.3">
      <c r="A122" s="74" t="s">
        <v>2594</v>
      </c>
      <c r="B122" s="10" t="s">
        <v>2657</v>
      </c>
      <c r="C122" s="10" t="s">
        <v>2658</v>
      </c>
      <c r="D122" s="11">
        <v>45635</v>
      </c>
      <c r="E122" s="12">
        <v>159000</v>
      </c>
      <c r="F122" s="10" t="s">
        <v>32</v>
      </c>
      <c r="G122" s="10" t="s">
        <v>33</v>
      </c>
      <c r="H122" s="12">
        <v>159000</v>
      </c>
      <c r="I122" s="12">
        <v>61900</v>
      </c>
      <c r="J122" s="13">
        <f t="shared" si="7"/>
        <v>38.930817610062896</v>
      </c>
      <c r="K122" s="12">
        <v>140980</v>
      </c>
      <c r="L122" s="12">
        <f>H122-125261</f>
        <v>33739</v>
      </c>
      <c r="M122" s="12">
        <v>15719</v>
      </c>
      <c r="N122" s="66">
        <f t="shared" si="8"/>
        <v>9.8861635220125782E-2</v>
      </c>
      <c r="O122" s="14">
        <v>69.55</v>
      </c>
      <c r="P122" s="15">
        <v>161.25</v>
      </c>
      <c r="Q122" s="16">
        <v>0.222</v>
      </c>
      <c r="R122" s="16">
        <v>0.222</v>
      </c>
      <c r="S122" s="12">
        <f t="shared" si="9"/>
        <v>485.10424155283971</v>
      </c>
      <c r="T122" s="12">
        <f t="shared" si="10"/>
        <v>151977.47747747749</v>
      </c>
      <c r="U122" s="17">
        <f t="shared" si="11"/>
        <v>3.4889228071046254</v>
      </c>
      <c r="V122" s="16">
        <v>60</v>
      </c>
      <c r="W122" s="16">
        <f t="shared" si="12"/>
        <v>31800</v>
      </c>
      <c r="X122" s="16">
        <f t="shared" si="13"/>
        <v>530</v>
      </c>
      <c r="Y122" s="18" t="s">
        <v>2593</v>
      </c>
      <c r="Z122" s="10" t="s">
        <v>35</v>
      </c>
      <c r="AA122" s="10" t="s">
        <v>35</v>
      </c>
      <c r="AB122" s="10" t="s">
        <v>2594</v>
      </c>
      <c r="AC122" s="10">
        <v>0</v>
      </c>
      <c r="AD122" s="10">
        <v>1</v>
      </c>
      <c r="AE122" s="10" t="s">
        <v>42</v>
      </c>
      <c r="AF122" s="10" t="s">
        <v>35</v>
      </c>
      <c r="AG122" s="10" t="s">
        <v>38</v>
      </c>
      <c r="AH122" s="10" t="s">
        <v>92</v>
      </c>
    </row>
    <row r="123" spans="1:34" x14ac:dyDescent="0.3">
      <c r="A123" s="74" t="s">
        <v>1639</v>
      </c>
      <c r="B123" s="10" t="s">
        <v>1672</v>
      </c>
      <c r="C123" s="10" t="s">
        <v>1673</v>
      </c>
      <c r="D123" s="11">
        <v>45622</v>
      </c>
      <c r="E123" s="12">
        <v>250000</v>
      </c>
      <c r="F123" s="10" t="s">
        <v>32</v>
      </c>
      <c r="G123" s="10" t="s">
        <v>33</v>
      </c>
      <c r="H123" s="12">
        <v>250000</v>
      </c>
      <c r="I123" s="12">
        <v>97300</v>
      </c>
      <c r="J123" s="13">
        <f t="shared" si="7"/>
        <v>38.92</v>
      </c>
      <c r="K123" s="12">
        <v>210657</v>
      </c>
      <c r="L123" s="12">
        <f>H123-190967</f>
        <v>59033</v>
      </c>
      <c r="M123" s="12">
        <v>19690</v>
      </c>
      <c r="N123" s="66">
        <f t="shared" si="8"/>
        <v>7.8759999999999997E-2</v>
      </c>
      <c r="O123" s="14">
        <v>120.05</v>
      </c>
      <c r="P123" s="15">
        <v>182</v>
      </c>
      <c r="Q123" s="16">
        <v>0.55200000000000005</v>
      </c>
      <c r="R123" s="16">
        <v>0.55200000000000005</v>
      </c>
      <c r="S123" s="12">
        <f t="shared" si="9"/>
        <v>491.73677634319034</v>
      </c>
      <c r="T123" s="12">
        <f t="shared" si="10"/>
        <v>106943.84057971013</v>
      </c>
      <c r="U123" s="17">
        <f t="shared" si="11"/>
        <v>2.4550927589465137</v>
      </c>
      <c r="V123" s="16">
        <v>132</v>
      </c>
      <c r="W123" s="16">
        <f t="shared" si="12"/>
        <v>50000</v>
      </c>
      <c r="X123" s="16">
        <f t="shared" si="13"/>
        <v>378.78787878787881</v>
      </c>
      <c r="Y123" s="18" t="s">
        <v>1638</v>
      </c>
      <c r="Z123" s="10" t="s">
        <v>35</v>
      </c>
      <c r="AA123" s="10" t="s">
        <v>35</v>
      </c>
      <c r="AB123" s="10" t="s">
        <v>1639</v>
      </c>
      <c r="AC123" s="10">
        <v>0</v>
      </c>
      <c r="AD123" s="10">
        <v>1</v>
      </c>
      <c r="AE123" s="10" t="s">
        <v>42</v>
      </c>
      <c r="AF123" s="10" t="s">
        <v>35</v>
      </c>
      <c r="AG123" s="10" t="s">
        <v>38</v>
      </c>
      <c r="AH123" s="10" t="s">
        <v>92</v>
      </c>
    </row>
    <row r="124" spans="1:34" x14ac:dyDescent="0.3">
      <c r="A124" s="74" t="s">
        <v>2462</v>
      </c>
      <c r="B124" s="10" t="s">
        <v>2460</v>
      </c>
      <c r="C124" s="10" t="s">
        <v>2461</v>
      </c>
      <c r="D124" s="11">
        <v>45230</v>
      </c>
      <c r="E124" s="12">
        <v>140000</v>
      </c>
      <c r="F124" s="10" t="s">
        <v>32</v>
      </c>
      <c r="G124" s="10" t="s">
        <v>33</v>
      </c>
      <c r="H124" s="12">
        <v>140000</v>
      </c>
      <c r="I124" s="12">
        <v>46200</v>
      </c>
      <c r="J124" s="13">
        <f t="shared" si="7"/>
        <v>33</v>
      </c>
      <c r="K124" s="12">
        <v>118727</v>
      </c>
      <c r="L124" s="12">
        <f>H124-105407</f>
        <v>34593</v>
      </c>
      <c r="M124" s="12">
        <v>13320</v>
      </c>
      <c r="N124" s="66">
        <f t="shared" si="8"/>
        <v>9.514285714285714E-2</v>
      </c>
      <c r="O124" s="14">
        <v>69.010000000000005</v>
      </c>
      <c r="P124" s="15">
        <v>270</v>
      </c>
      <c r="Q124" s="16">
        <v>0.39</v>
      </c>
      <c r="R124" s="16">
        <v>0.39</v>
      </c>
      <c r="S124" s="12">
        <f t="shared" si="9"/>
        <v>501.27517751050567</v>
      </c>
      <c r="T124" s="12">
        <f t="shared" si="10"/>
        <v>88700</v>
      </c>
      <c r="U124" s="17">
        <f t="shared" si="11"/>
        <v>2.0362718089990817</v>
      </c>
      <c r="V124" s="16">
        <v>63</v>
      </c>
      <c r="W124" s="16">
        <f t="shared" si="12"/>
        <v>28000</v>
      </c>
      <c r="X124" s="16">
        <f t="shared" si="13"/>
        <v>444.44444444444446</v>
      </c>
      <c r="Y124" s="18" t="s">
        <v>2434</v>
      </c>
      <c r="Z124" s="10" t="s">
        <v>35</v>
      </c>
      <c r="AA124" s="10" t="s">
        <v>35</v>
      </c>
      <c r="AB124" s="10" t="s">
        <v>2462</v>
      </c>
      <c r="AC124" s="10">
        <v>0</v>
      </c>
      <c r="AD124" s="10">
        <v>1</v>
      </c>
      <c r="AE124" s="10" t="s">
        <v>37</v>
      </c>
      <c r="AF124" s="10" t="s">
        <v>43</v>
      </c>
      <c r="AG124" s="10" t="s">
        <v>38</v>
      </c>
      <c r="AH124" s="10" t="s">
        <v>92</v>
      </c>
    </row>
    <row r="125" spans="1:34" x14ac:dyDescent="0.3">
      <c r="A125" s="75" t="s">
        <v>1563</v>
      </c>
      <c r="B125" s="19" t="s">
        <v>1560</v>
      </c>
      <c r="C125" s="19" t="s">
        <v>1561</v>
      </c>
      <c r="D125" s="20">
        <v>45483</v>
      </c>
      <c r="E125" s="21">
        <v>165000</v>
      </c>
      <c r="F125" s="19" t="s">
        <v>32</v>
      </c>
      <c r="G125" s="19" t="s">
        <v>33</v>
      </c>
      <c r="H125" s="21">
        <v>165000</v>
      </c>
      <c r="I125" s="21">
        <v>70100</v>
      </c>
      <c r="J125" s="22">
        <f t="shared" si="7"/>
        <v>42.484848484848484</v>
      </c>
      <c r="K125" s="21">
        <v>149948</v>
      </c>
      <c r="L125" s="21">
        <f>H125-143280</f>
        <v>21720</v>
      </c>
      <c r="M125" s="21">
        <v>6668</v>
      </c>
      <c r="N125" s="67">
        <f t="shared" si="8"/>
        <v>4.0412121212121212E-2</v>
      </c>
      <c r="O125" s="23">
        <v>43.3</v>
      </c>
      <c r="P125" s="24">
        <v>150</v>
      </c>
      <c r="Q125" s="25">
        <v>0.17199999999999999</v>
      </c>
      <c r="R125" s="25">
        <v>0.17199999999999999</v>
      </c>
      <c r="S125" s="21">
        <f t="shared" si="9"/>
        <v>501.61662817551968</v>
      </c>
      <c r="T125" s="21">
        <f t="shared" si="10"/>
        <v>126279.06976744188</v>
      </c>
      <c r="U125" s="26">
        <f t="shared" si="11"/>
        <v>2.8989685437888402</v>
      </c>
      <c r="V125" s="25">
        <v>50</v>
      </c>
      <c r="W125" s="25">
        <f t="shared" si="12"/>
        <v>33000</v>
      </c>
      <c r="X125" s="25">
        <f t="shared" si="13"/>
        <v>660</v>
      </c>
      <c r="Y125" s="27" t="s">
        <v>1562</v>
      </c>
      <c r="Z125" s="19" t="s">
        <v>35</v>
      </c>
      <c r="AA125" s="19" t="s">
        <v>35</v>
      </c>
      <c r="AB125" s="19" t="s">
        <v>1563</v>
      </c>
      <c r="AC125" s="19">
        <v>0</v>
      </c>
      <c r="AD125" s="19">
        <v>0</v>
      </c>
      <c r="AE125" s="19" t="s">
        <v>37</v>
      </c>
      <c r="AF125" s="19" t="s">
        <v>43</v>
      </c>
      <c r="AG125" s="19" t="s">
        <v>38</v>
      </c>
      <c r="AH125" s="19" t="s">
        <v>92</v>
      </c>
    </row>
    <row r="126" spans="1:34" x14ac:dyDescent="0.3">
      <c r="A126" s="75" t="s">
        <v>1639</v>
      </c>
      <c r="B126" s="19" t="s">
        <v>1688</v>
      </c>
      <c r="C126" s="19" t="s">
        <v>1689</v>
      </c>
      <c r="D126" s="20">
        <v>45420</v>
      </c>
      <c r="E126" s="21">
        <v>319500</v>
      </c>
      <c r="F126" s="19" t="s">
        <v>32</v>
      </c>
      <c r="G126" s="19" t="s">
        <v>66</v>
      </c>
      <c r="H126" s="21">
        <v>319500</v>
      </c>
      <c r="I126" s="21">
        <v>110200</v>
      </c>
      <c r="J126" s="22">
        <f t="shared" si="7"/>
        <v>34.491392801251955</v>
      </c>
      <c r="K126" s="21">
        <v>237524</v>
      </c>
      <c r="L126" s="21">
        <f>H126-197708</f>
        <v>121792</v>
      </c>
      <c r="M126" s="21">
        <v>39816</v>
      </c>
      <c r="N126" s="67">
        <f t="shared" si="8"/>
        <v>0.12461971830985916</v>
      </c>
      <c r="O126" s="23">
        <v>242.78</v>
      </c>
      <c r="P126" s="24">
        <v>621.78</v>
      </c>
      <c r="Q126" s="25">
        <v>1.3919999999999999</v>
      </c>
      <c r="R126" s="25">
        <v>0.73399999999999999</v>
      </c>
      <c r="S126" s="21">
        <f t="shared" si="9"/>
        <v>501.65582008402669</v>
      </c>
      <c r="T126" s="21">
        <f t="shared" si="10"/>
        <v>87494.252873563222</v>
      </c>
      <c r="U126" s="26">
        <f t="shared" si="11"/>
        <v>2.0085916637640775</v>
      </c>
      <c r="V126" s="25">
        <v>222.5</v>
      </c>
      <c r="W126" s="25">
        <f t="shared" si="12"/>
        <v>63900</v>
      </c>
      <c r="X126" s="25">
        <f t="shared" si="13"/>
        <v>287.19101123595505</v>
      </c>
      <c r="Y126" s="27" t="s">
        <v>1638</v>
      </c>
      <c r="Z126" s="19" t="s">
        <v>35</v>
      </c>
      <c r="AA126" s="19" t="s">
        <v>1690</v>
      </c>
      <c r="AB126" s="19" t="s">
        <v>1639</v>
      </c>
      <c r="AC126" s="19">
        <v>0</v>
      </c>
      <c r="AD126" s="19">
        <v>1</v>
      </c>
      <c r="AE126" s="19" t="s">
        <v>42</v>
      </c>
      <c r="AF126" s="19" t="s">
        <v>43</v>
      </c>
      <c r="AG126" s="19" t="s">
        <v>38</v>
      </c>
      <c r="AH126" s="19" t="s">
        <v>92</v>
      </c>
    </row>
    <row r="127" spans="1:34" x14ac:dyDescent="0.3">
      <c r="A127" s="74" t="s">
        <v>693</v>
      </c>
      <c r="B127" s="10" t="s">
        <v>746</v>
      </c>
      <c r="C127" s="10" t="s">
        <v>747</v>
      </c>
      <c r="D127" s="11">
        <v>45730</v>
      </c>
      <c r="E127" s="12">
        <v>285000</v>
      </c>
      <c r="F127" s="10" t="s">
        <v>32</v>
      </c>
      <c r="G127" s="10" t="s">
        <v>33</v>
      </c>
      <c r="H127" s="12">
        <v>285000</v>
      </c>
      <c r="I127" s="12">
        <v>102900</v>
      </c>
      <c r="J127" s="13">
        <f t="shared" si="7"/>
        <v>36.105263157894733</v>
      </c>
      <c r="K127" s="12">
        <v>208138</v>
      </c>
      <c r="L127" s="12">
        <f>H127-168737</f>
        <v>116263</v>
      </c>
      <c r="M127" s="12">
        <v>39401</v>
      </c>
      <c r="N127" s="66">
        <f t="shared" si="8"/>
        <v>0.13824912280701754</v>
      </c>
      <c r="O127" s="14">
        <v>225.15</v>
      </c>
      <c r="P127" s="15">
        <v>285</v>
      </c>
      <c r="Q127" s="16">
        <v>1.5109999999999999</v>
      </c>
      <c r="R127" s="16">
        <v>1.5109999999999999</v>
      </c>
      <c r="S127" s="12">
        <f t="shared" si="9"/>
        <v>516.38019098378857</v>
      </c>
      <c r="T127" s="12">
        <f t="shared" si="10"/>
        <v>76944.40767703508</v>
      </c>
      <c r="U127" s="17">
        <f t="shared" si="11"/>
        <v>1.766400543549933</v>
      </c>
      <c r="V127" s="16">
        <v>231</v>
      </c>
      <c r="W127" s="16">
        <f t="shared" si="12"/>
        <v>57000</v>
      </c>
      <c r="X127" s="16">
        <f t="shared" si="13"/>
        <v>246.75324675324674</v>
      </c>
      <c r="Y127" s="18" t="s">
        <v>692</v>
      </c>
      <c r="Z127" s="10" t="s">
        <v>35</v>
      </c>
      <c r="AA127" s="10" t="s">
        <v>35</v>
      </c>
      <c r="AB127" s="10" t="s">
        <v>693</v>
      </c>
      <c r="AC127" s="10">
        <v>0</v>
      </c>
      <c r="AD127" s="10">
        <v>0</v>
      </c>
      <c r="AE127" s="10" t="s">
        <v>37</v>
      </c>
      <c r="AF127" s="10" t="s">
        <v>35</v>
      </c>
      <c r="AG127" s="10" t="s">
        <v>38</v>
      </c>
      <c r="AH127" s="10" t="s">
        <v>92</v>
      </c>
    </row>
    <row r="128" spans="1:34" x14ac:dyDescent="0.3">
      <c r="A128" s="74" t="s">
        <v>2594</v>
      </c>
      <c r="B128" s="10" t="s">
        <v>2638</v>
      </c>
      <c r="C128" s="10" t="s">
        <v>2639</v>
      </c>
      <c r="D128" s="11">
        <v>45688</v>
      </c>
      <c r="E128" s="12">
        <v>205000</v>
      </c>
      <c r="F128" s="10" t="s">
        <v>32</v>
      </c>
      <c r="G128" s="10" t="s">
        <v>33</v>
      </c>
      <c r="H128" s="12">
        <v>205000</v>
      </c>
      <c r="I128" s="12">
        <v>81400</v>
      </c>
      <c r="J128" s="13">
        <f t="shared" si="7"/>
        <v>39.707317073170735</v>
      </c>
      <c r="K128" s="12">
        <v>180853</v>
      </c>
      <c r="L128" s="12">
        <f>H128-164603</f>
        <v>40397</v>
      </c>
      <c r="M128" s="12">
        <v>16250</v>
      </c>
      <c r="N128" s="66">
        <f t="shared" si="8"/>
        <v>7.926829268292683E-2</v>
      </c>
      <c r="O128" s="14">
        <v>71.900000000000006</v>
      </c>
      <c r="P128" s="15">
        <v>167.76</v>
      </c>
      <c r="Q128" s="16">
        <v>0.23599999999999999</v>
      </c>
      <c r="R128" s="16">
        <v>0.23599999999999999</v>
      </c>
      <c r="S128" s="12">
        <f t="shared" si="9"/>
        <v>561.84979137691232</v>
      </c>
      <c r="T128" s="12">
        <f t="shared" si="10"/>
        <v>171173.72881355934</v>
      </c>
      <c r="U128" s="17">
        <f t="shared" si="11"/>
        <v>3.9296080994848333</v>
      </c>
      <c r="V128" s="16">
        <v>60</v>
      </c>
      <c r="W128" s="16">
        <f t="shared" si="12"/>
        <v>41000</v>
      </c>
      <c r="X128" s="16">
        <f t="shared" si="13"/>
        <v>683.33333333333337</v>
      </c>
      <c r="Y128" s="18" t="s">
        <v>2593</v>
      </c>
      <c r="Z128" s="10" t="s">
        <v>35</v>
      </c>
      <c r="AA128" s="10" t="s">
        <v>35</v>
      </c>
      <c r="AB128" s="10" t="s">
        <v>2594</v>
      </c>
      <c r="AC128" s="10">
        <v>0</v>
      </c>
      <c r="AD128" s="10">
        <v>1</v>
      </c>
      <c r="AE128" s="10" t="s">
        <v>412</v>
      </c>
      <c r="AF128" s="10" t="s">
        <v>35</v>
      </c>
      <c r="AG128" s="10" t="s">
        <v>38</v>
      </c>
      <c r="AH128" s="10" t="s">
        <v>92</v>
      </c>
    </row>
    <row r="129" spans="1:34" x14ac:dyDescent="0.3">
      <c r="A129" s="74" t="s">
        <v>1194</v>
      </c>
      <c r="B129" s="10" t="s">
        <v>1517</v>
      </c>
      <c r="C129" s="10" t="s">
        <v>1518</v>
      </c>
      <c r="D129" s="11">
        <v>45355</v>
      </c>
      <c r="E129" s="12">
        <v>338000</v>
      </c>
      <c r="F129" s="10" t="s">
        <v>32</v>
      </c>
      <c r="G129" s="10" t="s">
        <v>33</v>
      </c>
      <c r="H129" s="12">
        <v>338000</v>
      </c>
      <c r="I129" s="12">
        <v>122900</v>
      </c>
      <c r="J129" s="13">
        <f t="shared" si="7"/>
        <v>36.360946745562131</v>
      </c>
      <c r="K129" s="12">
        <v>284313</v>
      </c>
      <c r="L129" s="12">
        <f>H129-259721</f>
        <v>78279</v>
      </c>
      <c r="M129" s="12">
        <v>24592</v>
      </c>
      <c r="N129" s="66">
        <f t="shared" si="8"/>
        <v>7.2757396449704137E-2</v>
      </c>
      <c r="O129" s="14">
        <v>136.62</v>
      </c>
      <c r="P129" s="15">
        <v>582.54</v>
      </c>
      <c r="Q129" s="16">
        <v>1.0640000000000001</v>
      </c>
      <c r="R129" s="16">
        <v>1.0640000000000001</v>
      </c>
      <c r="S129" s="12">
        <f t="shared" si="9"/>
        <v>572.96881862099247</v>
      </c>
      <c r="T129" s="12">
        <f t="shared" si="10"/>
        <v>73570.488721804504</v>
      </c>
      <c r="U129" s="17">
        <f t="shared" si="11"/>
        <v>1.6889460220799932</v>
      </c>
      <c r="V129" s="16">
        <v>81.08</v>
      </c>
      <c r="W129" s="16">
        <f t="shared" si="12"/>
        <v>67600</v>
      </c>
      <c r="X129" s="16">
        <f t="shared" si="13"/>
        <v>833.74444992599899</v>
      </c>
      <c r="Y129" s="18" t="s">
        <v>1193</v>
      </c>
      <c r="Z129" s="10" t="s">
        <v>35</v>
      </c>
      <c r="AA129" s="10" t="s">
        <v>35</v>
      </c>
      <c r="AB129" s="10" t="s">
        <v>1194</v>
      </c>
      <c r="AC129" s="10">
        <v>0</v>
      </c>
      <c r="AD129" s="10">
        <v>1</v>
      </c>
      <c r="AE129" s="10" t="s">
        <v>42</v>
      </c>
      <c r="AF129" s="10" t="s">
        <v>43</v>
      </c>
      <c r="AG129" s="10" t="s">
        <v>38</v>
      </c>
      <c r="AH129" s="10" t="s">
        <v>92</v>
      </c>
    </row>
    <row r="130" spans="1:34" x14ac:dyDescent="0.3">
      <c r="A130" s="75" t="s">
        <v>91</v>
      </c>
      <c r="B130" s="19" t="s">
        <v>95</v>
      </c>
      <c r="C130" s="19" t="s">
        <v>96</v>
      </c>
      <c r="D130" s="20">
        <v>45071</v>
      </c>
      <c r="E130" s="21">
        <v>100000</v>
      </c>
      <c r="F130" s="19" t="s">
        <v>32</v>
      </c>
      <c r="G130" s="19" t="s">
        <v>33</v>
      </c>
      <c r="H130" s="21">
        <v>100000</v>
      </c>
      <c r="I130" s="21">
        <v>30100</v>
      </c>
      <c r="J130" s="22">
        <f t="shared" si="7"/>
        <v>30.099999999999998</v>
      </c>
      <c r="K130" s="21">
        <v>82872</v>
      </c>
      <c r="L130" s="21">
        <f>H130-73856</f>
        <v>26144</v>
      </c>
      <c r="M130" s="21">
        <v>9016</v>
      </c>
      <c r="N130" s="67">
        <f t="shared" si="8"/>
        <v>9.0160000000000004E-2</v>
      </c>
      <c r="O130" s="23">
        <v>45.53</v>
      </c>
      <c r="P130" s="24">
        <v>162</v>
      </c>
      <c r="Q130" s="25">
        <v>0.14899999999999999</v>
      </c>
      <c r="R130" s="25">
        <v>0.14899999999999999</v>
      </c>
      <c r="S130" s="21">
        <f t="shared" si="9"/>
        <v>574.2148034263123</v>
      </c>
      <c r="T130" s="21">
        <f t="shared" si="10"/>
        <v>175463.08724832215</v>
      </c>
      <c r="U130" s="26">
        <f t="shared" si="11"/>
        <v>4.0280782196584513</v>
      </c>
      <c r="V130" s="25">
        <v>40</v>
      </c>
      <c r="W130" s="25">
        <f t="shared" si="12"/>
        <v>20000</v>
      </c>
      <c r="X130" s="25">
        <f t="shared" si="13"/>
        <v>500</v>
      </c>
      <c r="Y130" s="27" t="s">
        <v>90</v>
      </c>
      <c r="Z130" s="19" t="s">
        <v>35</v>
      </c>
      <c r="AA130" s="19" t="s">
        <v>35</v>
      </c>
      <c r="AB130" s="19" t="s">
        <v>91</v>
      </c>
      <c r="AC130" s="19">
        <v>0</v>
      </c>
      <c r="AD130" s="19">
        <v>1</v>
      </c>
      <c r="AE130" s="19" t="s">
        <v>42</v>
      </c>
      <c r="AF130" s="19" t="s">
        <v>43</v>
      </c>
      <c r="AG130" s="19" t="s">
        <v>38</v>
      </c>
      <c r="AH130" s="19" t="s">
        <v>92</v>
      </c>
    </row>
    <row r="131" spans="1:34" x14ac:dyDescent="0.3">
      <c r="A131" s="74" t="s">
        <v>1160</v>
      </c>
      <c r="B131" s="10" t="s">
        <v>1169</v>
      </c>
      <c r="C131" s="10" t="s">
        <v>1170</v>
      </c>
      <c r="D131" s="11">
        <v>45250</v>
      </c>
      <c r="E131" s="12">
        <v>220000</v>
      </c>
      <c r="F131" s="10" t="s">
        <v>32</v>
      </c>
      <c r="G131" s="10" t="s">
        <v>33</v>
      </c>
      <c r="H131" s="12">
        <v>220000</v>
      </c>
      <c r="I131" s="12">
        <v>78400</v>
      </c>
      <c r="J131" s="13">
        <f t="shared" ref="J131:J178" si="14">I131/H131*100</f>
        <v>35.63636363636364</v>
      </c>
      <c r="K131" s="12">
        <v>190881</v>
      </c>
      <c r="L131" s="12">
        <f>H131-173281</f>
        <v>46719</v>
      </c>
      <c r="M131" s="12">
        <v>17600</v>
      </c>
      <c r="N131" s="66">
        <f t="shared" ref="N131:N178" si="15">M131/E131</f>
        <v>0.08</v>
      </c>
      <c r="O131" s="14">
        <v>81.099999999999994</v>
      </c>
      <c r="P131" s="15">
        <v>176.04</v>
      </c>
      <c r="Q131" s="16">
        <v>0.33300000000000002</v>
      </c>
      <c r="R131" s="16">
        <v>0.33300000000000002</v>
      </c>
      <c r="S131" s="12">
        <f t="shared" ref="S131:S178" si="16">L131/O131</f>
        <v>576.06658446362519</v>
      </c>
      <c r="T131" s="12">
        <f t="shared" ref="T131:T178" si="17">L131/Q131</f>
        <v>140297.29729729728</v>
      </c>
      <c r="U131" s="17">
        <f t="shared" ref="U131:U178" si="18">L131/Q131/43560</f>
        <v>3.2207827662373112</v>
      </c>
      <c r="V131" s="16">
        <v>42</v>
      </c>
      <c r="W131" s="16">
        <f t="shared" ref="W131:W178" si="19">0.2*E131</f>
        <v>44000</v>
      </c>
      <c r="X131" s="16">
        <f t="shared" ref="X131:X178" si="20">W131/V131</f>
        <v>1047.6190476190477</v>
      </c>
      <c r="Y131" s="18" t="s">
        <v>1159</v>
      </c>
      <c r="Z131" s="10" t="s">
        <v>35</v>
      </c>
      <c r="AA131" s="10" t="s">
        <v>35</v>
      </c>
      <c r="AB131" s="10" t="s">
        <v>1160</v>
      </c>
      <c r="AC131" s="10">
        <v>0</v>
      </c>
      <c r="AD131" s="10">
        <v>1</v>
      </c>
      <c r="AE131" s="10" t="s">
        <v>42</v>
      </c>
      <c r="AF131" s="10" t="s">
        <v>43</v>
      </c>
      <c r="AG131" s="10" t="s">
        <v>38</v>
      </c>
      <c r="AH131" s="10" t="s">
        <v>92</v>
      </c>
    </row>
    <row r="132" spans="1:34" x14ac:dyDescent="0.3">
      <c r="A132" s="74" t="s">
        <v>2435</v>
      </c>
      <c r="B132" s="10" t="s">
        <v>2458</v>
      </c>
      <c r="C132" s="10" t="s">
        <v>2459</v>
      </c>
      <c r="D132" s="11">
        <v>45597</v>
      </c>
      <c r="E132" s="12">
        <v>160000</v>
      </c>
      <c r="F132" s="10" t="s">
        <v>32</v>
      </c>
      <c r="G132" s="10" t="s">
        <v>33</v>
      </c>
      <c r="H132" s="12">
        <v>160000</v>
      </c>
      <c r="I132" s="12">
        <v>62400</v>
      </c>
      <c r="J132" s="13">
        <f t="shared" si="14"/>
        <v>39</v>
      </c>
      <c r="K132" s="12">
        <v>140396</v>
      </c>
      <c r="L132" s="12">
        <f>H132-131195</f>
        <v>28805</v>
      </c>
      <c r="M132" s="12">
        <v>9201</v>
      </c>
      <c r="N132" s="66">
        <f t="shared" si="15"/>
        <v>5.7506250000000002E-2</v>
      </c>
      <c r="O132" s="14">
        <v>49.73</v>
      </c>
      <c r="P132" s="15">
        <v>201</v>
      </c>
      <c r="Q132" s="16">
        <v>0.185</v>
      </c>
      <c r="R132" s="16">
        <v>0.185</v>
      </c>
      <c r="S132" s="12">
        <f t="shared" si="16"/>
        <v>579.22783028353115</v>
      </c>
      <c r="T132" s="12">
        <f t="shared" si="17"/>
        <v>155702.70270270269</v>
      </c>
      <c r="U132" s="17">
        <f t="shared" si="18"/>
        <v>3.5744422108058469</v>
      </c>
      <c r="V132" s="16">
        <v>40</v>
      </c>
      <c r="W132" s="16">
        <f t="shared" si="19"/>
        <v>32000</v>
      </c>
      <c r="X132" s="16">
        <f t="shared" si="20"/>
        <v>800</v>
      </c>
      <c r="Y132" s="18" t="s">
        <v>2434</v>
      </c>
      <c r="Z132" s="10" t="s">
        <v>35</v>
      </c>
      <c r="AA132" s="10" t="s">
        <v>35</v>
      </c>
      <c r="AB132" s="10" t="s">
        <v>2435</v>
      </c>
      <c r="AC132" s="10">
        <v>0</v>
      </c>
      <c r="AD132" s="10">
        <v>1</v>
      </c>
      <c r="AE132" s="10" t="s">
        <v>37</v>
      </c>
      <c r="AF132" s="10" t="s">
        <v>35</v>
      </c>
      <c r="AG132" s="10" t="s">
        <v>38</v>
      </c>
      <c r="AH132" s="10" t="s">
        <v>92</v>
      </c>
    </row>
    <row r="133" spans="1:34" x14ac:dyDescent="0.3">
      <c r="A133" s="75" t="s">
        <v>693</v>
      </c>
      <c r="B133" s="19" t="s">
        <v>750</v>
      </c>
      <c r="C133" s="19" t="s">
        <v>751</v>
      </c>
      <c r="D133" s="20">
        <v>45699</v>
      </c>
      <c r="E133" s="21">
        <v>215000</v>
      </c>
      <c r="F133" s="19" t="s">
        <v>32</v>
      </c>
      <c r="G133" s="19" t="s">
        <v>33</v>
      </c>
      <c r="H133" s="21">
        <v>215000</v>
      </c>
      <c r="I133" s="21">
        <v>91000</v>
      </c>
      <c r="J133" s="22">
        <f t="shared" si="14"/>
        <v>42.325581395348841</v>
      </c>
      <c r="K133" s="21">
        <v>182751</v>
      </c>
      <c r="L133" s="21">
        <f>H133-168992</f>
        <v>46008</v>
      </c>
      <c r="M133" s="21">
        <v>13759</v>
      </c>
      <c r="N133" s="67">
        <f t="shared" si="15"/>
        <v>6.3995348837209295E-2</v>
      </c>
      <c r="O133" s="23">
        <v>78.62</v>
      </c>
      <c r="P133" s="24">
        <v>289.75</v>
      </c>
      <c r="Q133" s="25">
        <v>0.53200000000000003</v>
      </c>
      <c r="R133" s="25">
        <v>0.53200000000000003</v>
      </c>
      <c r="S133" s="21">
        <f t="shared" si="16"/>
        <v>585.19460697023658</v>
      </c>
      <c r="T133" s="21">
        <f t="shared" si="17"/>
        <v>86481.203007518794</v>
      </c>
      <c r="U133" s="26">
        <f t="shared" si="18"/>
        <v>1.9853352389237555</v>
      </c>
      <c r="V133" s="25">
        <v>80</v>
      </c>
      <c r="W133" s="25">
        <f t="shared" si="19"/>
        <v>43000</v>
      </c>
      <c r="X133" s="25">
        <f t="shared" si="20"/>
        <v>537.5</v>
      </c>
      <c r="Y133" s="27" t="s">
        <v>692</v>
      </c>
      <c r="Z133" s="19" t="s">
        <v>35</v>
      </c>
      <c r="AA133" s="19" t="s">
        <v>35</v>
      </c>
      <c r="AB133" s="19" t="s">
        <v>693</v>
      </c>
      <c r="AC133" s="19">
        <v>0</v>
      </c>
      <c r="AD133" s="19">
        <v>1</v>
      </c>
      <c r="AE133" s="19" t="s">
        <v>412</v>
      </c>
      <c r="AF133" s="19" t="s">
        <v>35</v>
      </c>
      <c r="AG133" s="19" t="s">
        <v>38</v>
      </c>
      <c r="AH133" s="19" t="s">
        <v>92</v>
      </c>
    </row>
    <row r="134" spans="1:34" x14ac:dyDescent="0.3">
      <c r="A134" s="74" t="s">
        <v>966</v>
      </c>
      <c r="B134" s="10" t="s">
        <v>969</v>
      </c>
      <c r="C134" s="10" t="s">
        <v>970</v>
      </c>
      <c r="D134" s="11">
        <v>45719</v>
      </c>
      <c r="E134" s="12">
        <v>285000</v>
      </c>
      <c r="F134" s="10" t="s">
        <v>32</v>
      </c>
      <c r="G134" s="10" t="s">
        <v>33</v>
      </c>
      <c r="H134" s="12">
        <v>285000</v>
      </c>
      <c r="I134" s="12">
        <v>104500</v>
      </c>
      <c r="J134" s="13">
        <f t="shared" si="14"/>
        <v>36.666666666666664</v>
      </c>
      <c r="K134" s="12">
        <v>238335</v>
      </c>
      <c r="L134" s="12">
        <f>H134-205769</f>
        <v>79231</v>
      </c>
      <c r="M134" s="12">
        <v>32566</v>
      </c>
      <c r="N134" s="66">
        <f t="shared" si="15"/>
        <v>0.11426666666666667</v>
      </c>
      <c r="O134" s="14">
        <v>134.56</v>
      </c>
      <c r="P134" s="15">
        <v>304</v>
      </c>
      <c r="Q134" s="16">
        <v>0.94599999999999995</v>
      </c>
      <c r="R134" s="16">
        <v>0.94599999999999995</v>
      </c>
      <c r="S134" s="12">
        <f t="shared" si="16"/>
        <v>588.81539833531508</v>
      </c>
      <c r="T134" s="12">
        <f t="shared" si="17"/>
        <v>83753.699788583515</v>
      </c>
      <c r="U134" s="17">
        <f t="shared" si="18"/>
        <v>1.9227203808214766</v>
      </c>
      <c r="V134" s="16">
        <v>129.81</v>
      </c>
      <c r="W134" s="16">
        <f t="shared" si="19"/>
        <v>57000</v>
      </c>
      <c r="X134" s="16">
        <f t="shared" si="20"/>
        <v>439.10330483013632</v>
      </c>
      <c r="Y134" s="18" t="s">
        <v>965</v>
      </c>
      <c r="Z134" s="10" t="s">
        <v>35</v>
      </c>
      <c r="AA134" s="10" t="s">
        <v>35</v>
      </c>
      <c r="AB134" s="10" t="s">
        <v>966</v>
      </c>
      <c r="AC134" s="10">
        <v>0</v>
      </c>
      <c r="AD134" s="10">
        <v>1</v>
      </c>
      <c r="AE134" s="10" t="s">
        <v>42</v>
      </c>
      <c r="AF134" s="10" t="s">
        <v>35</v>
      </c>
      <c r="AG134" s="10" t="s">
        <v>38</v>
      </c>
      <c r="AH134" s="10" t="s">
        <v>92</v>
      </c>
    </row>
    <row r="135" spans="1:34" x14ac:dyDescent="0.3">
      <c r="A135" s="75" t="s">
        <v>2435</v>
      </c>
      <c r="B135" s="19" t="s">
        <v>2454</v>
      </c>
      <c r="C135" s="19" t="s">
        <v>2455</v>
      </c>
      <c r="D135" s="20">
        <v>45397</v>
      </c>
      <c r="E135" s="21">
        <v>145000</v>
      </c>
      <c r="F135" s="19" t="s">
        <v>32</v>
      </c>
      <c r="G135" s="19" t="s">
        <v>33</v>
      </c>
      <c r="H135" s="21">
        <v>145000</v>
      </c>
      <c r="I135" s="21">
        <v>56400</v>
      </c>
      <c r="J135" s="22">
        <f t="shared" si="14"/>
        <v>38.896551724137929</v>
      </c>
      <c r="K135" s="21">
        <v>125452</v>
      </c>
      <c r="L135" s="21">
        <f>H135-116529</f>
        <v>28471</v>
      </c>
      <c r="M135" s="21">
        <v>8923</v>
      </c>
      <c r="N135" s="67">
        <f t="shared" si="15"/>
        <v>6.1537931034482761E-2</v>
      </c>
      <c r="O135" s="23">
        <v>48.23</v>
      </c>
      <c r="P135" s="24">
        <v>189</v>
      </c>
      <c r="Q135" s="25">
        <v>0.17399999999999999</v>
      </c>
      <c r="R135" s="25">
        <v>0.17399999999999999</v>
      </c>
      <c r="S135" s="21">
        <f t="shared" si="16"/>
        <v>590.31722993987148</v>
      </c>
      <c r="T135" s="21">
        <f t="shared" si="17"/>
        <v>163626.4367816092</v>
      </c>
      <c r="U135" s="26">
        <f t="shared" si="18"/>
        <v>3.7563461152802846</v>
      </c>
      <c r="V135" s="25">
        <v>40</v>
      </c>
      <c r="W135" s="25">
        <f t="shared" si="19"/>
        <v>29000</v>
      </c>
      <c r="X135" s="25">
        <f t="shared" si="20"/>
        <v>725</v>
      </c>
      <c r="Y135" s="27" t="s">
        <v>2434</v>
      </c>
      <c r="Z135" s="19" t="s">
        <v>35</v>
      </c>
      <c r="AA135" s="19" t="s">
        <v>35</v>
      </c>
      <c r="AB135" s="19" t="s">
        <v>2435</v>
      </c>
      <c r="AC135" s="19">
        <v>0</v>
      </c>
      <c r="AD135" s="19">
        <v>1</v>
      </c>
      <c r="AE135" s="19" t="s">
        <v>37</v>
      </c>
      <c r="AF135" s="19" t="s">
        <v>43</v>
      </c>
      <c r="AG135" s="19" t="s">
        <v>38</v>
      </c>
      <c r="AH135" s="19" t="s">
        <v>92</v>
      </c>
    </row>
    <row r="136" spans="1:34" x14ac:dyDescent="0.3">
      <c r="A136" s="74" t="s">
        <v>693</v>
      </c>
      <c r="B136" s="10" t="s">
        <v>696</v>
      </c>
      <c r="C136" s="10" t="s">
        <v>697</v>
      </c>
      <c r="D136" s="11">
        <v>45482</v>
      </c>
      <c r="E136" s="12">
        <v>140000</v>
      </c>
      <c r="F136" s="10" t="s">
        <v>32</v>
      </c>
      <c r="G136" s="10" t="s">
        <v>33</v>
      </c>
      <c r="H136" s="12">
        <v>140000</v>
      </c>
      <c r="I136" s="12">
        <v>53900</v>
      </c>
      <c r="J136" s="13">
        <f t="shared" si="14"/>
        <v>38.5</v>
      </c>
      <c r="K136" s="12">
        <v>111843</v>
      </c>
      <c r="L136" s="12">
        <f>H136-100141</f>
        <v>39859</v>
      </c>
      <c r="M136" s="12">
        <v>11702</v>
      </c>
      <c r="N136" s="66">
        <f t="shared" si="15"/>
        <v>8.3585714285714291E-2</v>
      </c>
      <c r="O136" s="14">
        <v>66.87</v>
      </c>
      <c r="P136" s="15">
        <v>307.97000000000003</v>
      </c>
      <c r="Q136" s="16">
        <v>0.46700000000000003</v>
      </c>
      <c r="R136" s="16">
        <v>0.46700000000000003</v>
      </c>
      <c r="S136" s="12">
        <f t="shared" si="16"/>
        <v>596.06699566322709</v>
      </c>
      <c r="T136" s="12">
        <f t="shared" si="17"/>
        <v>85351.177730192721</v>
      </c>
      <c r="U136" s="17">
        <f t="shared" si="18"/>
        <v>1.9593934281495116</v>
      </c>
      <c r="V136" s="16">
        <v>66</v>
      </c>
      <c r="W136" s="16">
        <f t="shared" si="19"/>
        <v>28000</v>
      </c>
      <c r="X136" s="16">
        <f t="shared" si="20"/>
        <v>424.24242424242425</v>
      </c>
      <c r="Y136" s="18" t="s">
        <v>692</v>
      </c>
      <c r="Z136" s="10" t="s">
        <v>35</v>
      </c>
      <c r="AA136" s="10" t="s">
        <v>35</v>
      </c>
      <c r="AB136" s="10" t="s">
        <v>693</v>
      </c>
      <c r="AC136" s="10">
        <v>0</v>
      </c>
      <c r="AD136" s="10">
        <v>1</v>
      </c>
      <c r="AE136" s="10" t="s">
        <v>42</v>
      </c>
      <c r="AF136" s="10" t="s">
        <v>43</v>
      </c>
      <c r="AG136" s="10" t="s">
        <v>38</v>
      </c>
      <c r="AH136" s="10" t="s">
        <v>92</v>
      </c>
    </row>
    <row r="137" spans="1:34" x14ac:dyDescent="0.3">
      <c r="A137" s="74" t="s">
        <v>2150</v>
      </c>
      <c r="B137" s="10" t="s">
        <v>2153</v>
      </c>
      <c r="C137" s="10" t="s">
        <v>2154</v>
      </c>
      <c r="D137" s="11">
        <v>45639</v>
      </c>
      <c r="E137" s="12">
        <v>420000</v>
      </c>
      <c r="F137" s="10" t="s">
        <v>32</v>
      </c>
      <c r="G137" s="10" t="s">
        <v>33</v>
      </c>
      <c r="H137" s="12">
        <v>420000</v>
      </c>
      <c r="I137" s="12">
        <v>197100</v>
      </c>
      <c r="J137" s="13">
        <f t="shared" si="14"/>
        <v>46.928571428571431</v>
      </c>
      <c r="K137" s="12">
        <v>402800</v>
      </c>
      <c r="L137" s="12">
        <f>H137-365197</f>
        <v>54803</v>
      </c>
      <c r="M137" s="12">
        <v>37603</v>
      </c>
      <c r="N137" s="66">
        <f t="shared" si="15"/>
        <v>8.9530952380952378E-2</v>
      </c>
      <c r="O137" s="14">
        <v>91.26</v>
      </c>
      <c r="P137" s="15">
        <v>156.19</v>
      </c>
      <c r="Q137" s="16">
        <v>0.28699999999999998</v>
      </c>
      <c r="R137" s="16">
        <v>0.28699999999999998</v>
      </c>
      <c r="S137" s="12">
        <f t="shared" si="16"/>
        <v>600.51501205347358</v>
      </c>
      <c r="T137" s="12">
        <f t="shared" si="17"/>
        <v>190951.21951219512</v>
      </c>
      <c r="U137" s="17">
        <f t="shared" si="18"/>
        <v>4.3836368115747275</v>
      </c>
      <c r="V137" s="16">
        <v>80</v>
      </c>
      <c r="W137" s="16">
        <f t="shared" si="19"/>
        <v>84000</v>
      </c>
      <c r="X137" s="16">
        <f t="shared" si="20"/>
        <v>1050</v>
      </c>
      <c r="Y137" s="18" t="s">
        <v>2149</v>
      </c>
      <c r="Z137" s="10" t="s">
        <v>35</v>
      </c>
      <c r="AA137" s="10" t="s">
        <v>35</v>
      </c>
      <c r="AB137" s="10" t="s">
        <v>2150</v>
      </c>
      <c r="AC137" s="10">
        <v>0</v>
      </c>
      <c r="AD137" s="10">
        <v>1</v>
      </c>
      <c r="AE137" s="10" t="s">
        <v>412</v>
      </c>
      <c r="AF137" s="10" t="s">
        <v>35</v>
      </c>
      <c r="AG137" s="10" t="s">
        <v>38</v>
      </c>
      <c r="AH137" s="10" t="s">
        <v>92</v>
      </c>
    </row>
    <row r="138" spans="1:34" x14ac:dyDescent="0.3">
      <c r="A138" s="75" t="s">
        <v>2435</v>
      </c>
      <c r="B138" s="19" t="s">
        <v>2577</v>
      </c>
      <c r="C138" s="19" t="s">
        <v>2578</v>
      </c>
      <c r="D138" s="20">
        <v>45448</v>
      </c>
      <c r="E138" s="21">
        <v>181000</v>
      </c>
      <c r="F138" s="19" t="s">
        <v>32</v>
      </c>
      <c r="G138" s="19" t="s">
        <v>33</v>
      </c>
      <c r="H138" s="21">
        <v>181000</v>
      </c>
      <c r="I138" s="21">
        <v>61700</v>
      </c>
      <c r="J138" s="22">
        <f t="shared" si="14"/>
        <v>34.088397790055247</v>
      </c>
      <c r="K138" s="21">
        <v>141951</v>
      </c>
      <c r="L138" s="21">
        <f>H138-124650</f>
        <v>56350</v>
      </c>
      <c r="M138" s="21">
        <v>17301</v>
      </c>
      <c r="N138" s="67">
        <f t="shared" si="15"/>
        <v>9.5585635359116017E-2</v>
      </c>
      <c r="O138" s="23">
        <v>93.51</v>
      </c>
      <c r="P138" s="24">
        <v>177.64</v>
      </c>
      <c r="Q138" s="25">
        <v>0.32600000000000001</v>
      </c>
      <c r="R138" s="25">
        <v>0.32600000000000001</v>
      </c>
      <c r="S138" s="21">
        <f t="shared" si="16"/>
        <v>602.60934659394718</v>
      </c>
      <c r="T138" s="21">
        <f t="shared" si="17"/>
        <v>172852.7607361963</v>
      </c>
      <c r="U138" s="26">
        <f t="shared" si="18"/>
        <v>3.9681533685995478</v>
      </c>
      <c r="V138" s="25">
        <v>80</v>
      </c>
      <c r="W138" s="25">
        <f t="shared" si="19"/>
        <v>36200</v>
      </c>
      <c r="X138" s="25">
        <f t="shared" si="20"/>
        <v>452.5</v>
      </c>
      <c r="Y138" s="27" t="s">
        <v>2434</v>
      </c>
      <c r="Z138" s="19" t="s">
        <v>35</v>
      </c>
      <c r="AA138" s="19" t="s">
        <v>35</v>
      </c>
      <c r="AB138" s="19" t="s">
        <v>2435</v>
      </c>
      <c r="AC138" s="19">
        <v>0</v>
      </c>
      <c r="AD138" s="19">
        <v>1</v>
      </c>
      <c r="AE138" s="19" t="s">
        <v>42</v>
      </c>
      <c r="AF138" s="19" t="s">
        <v>43</v>
      </c>
      <c r="AG138" s="19" t="s">
        <v>38</v>
      </c>
      <c r="AH138" s="19" t="s">
        <v>92</v>
      </c>
    </row>
    <row r="139" spans="1:34" x14ac:dyDescent="0.3">
      <c r="A139" s="74" t="s">
        <v>1639</v>
      </c>
      <c r="B139" s="10" t="s">
        <v>1683</v>
      </c>
      <c r="C139" s="10" t="s">
        <v>1684</v>
      </c>
      <c r="D139" s="11">
        <v>45653</v>
      </c>
      <c r="E139" s="12">
        <v>241000</v>
      </c>
      <c r="F139" s="10" t="s">
        <v>32</v>
      </c>
      <c r="G139" s="10" t="s">
        <v>33</v>
      </c>
      <c r="H139" s="12">
        <v>241000</v>
      </c>
      <c r="I139" s="12">
        <v>87400</v>
      </c>
      <c r="J139" s="13">
        <f t="shared" si="14"/>
        <v>36.265560165975103</v>
      </c>
      <c r="K139" s="12">
        <v>195307</v>
      </c>
      <c r="L139" s="12">
        <f>H139-178408</f>
        <v>62592</v>
      </c>
      <c r="M139" s="12">
        <v>16899</v>
      </c>
      <c r="N139" s="66">
        <f t="shared" si="15"/>
        <v>7.0120331950207462E-2</v>
      </c>
      <c r="O139" s="14">
        <v>103.04</v>
      </c>
      <c r="P139" s="15">
        <v>308.61</v>
      </c>
      <c r="Q139" s="16">
        <v>0.61599999999999999</v>
      </c>
      <c r="R139" s="16">
        <v>0.61599999999999999</v>
      </c>
      <c r="S139" s="12">
        <f t="shared" si="16"/>
        <v>607.45341614906829</v>
      </c>
      <c r="T139" s="12">
        <f t="shared" si="17"/>
        <v>101610.38961038961</v>
      </c>
      <c r="U139" s="17">
        <f t="shared" si="18"/>
        <v>2.332653572322994</v>
      </c>
      <c r="V139" s="16">
        <v>87</v>
      </c>
      <c r="W139" s="16">
        <f t="shared" si="19"/>
        <v>48200</v>
      </c>
      <c r="X139" s="16">
        <f t="shared" si="20"/>
        <v>554.02298850574709</v>
      </c>
      <c r="Y139" s="18" t="s">
        <v>1638</v>
      </c>
      <c r="Z139" s="10" t="s">
        <v>35</v>
      </c>
      <c r="AA139" s="10" t="s">
        <v>35</v>
      </c>
      <c r="AB139" s="10" t="s">
        <v>1639</v>
      </c>
      <c r="AC139" s="10">
        <v>0</v>
      </c>
      <c r="AD139" s="10">
        <v>1</v>
      </c>
      <c r="AE139" s="10" t="s">
        <v>42</v>
      </c>
      <c r="AF139" s="10" t="s">
        <v>35</v>
      </c>
      <c r="AG139" s="10" t="s">
        <v>38</v>
      </c>
      <c r="AH139" s="10" t="s">
        <v>92</v>
      </c>
    </row>
    <row r="140" spans="1:34" x14ac:dyDescent="0.3">
      <c r="A140" s="74" t="s">
        <v>611</v>
      </c>
      <c r="B140" s="10" t="s">
        <v>676</v>
      </c>
      <c r="C140" s="10" t="s">
        <v>677</v>
      </c>
      <c r="D140" s="11">
        <v>45519</v>
      </c>
      <c r="E140" s="12">
        <v>219900</v>
      </c>
      <c r="F140" s="10" t="s">
        <v>32</v>
      </c>
      <c r="G140" s="10" t="s">
        <v>33</v>
      </c>
      <c r="H140" s="12">
        <v>219900</v>
      </c>
      <c r="I140" s="12">
        <v>90200</v>
      </c>
      <c r="J140" s="13">
        <f t="shared" si="14"/>
        <v>41.018644838562984</v>
      </c>
      <c r="K140" s="12">
        <v>196096</v>
      </c>
      <c r="L140" s="12">
        <f>H140-183281</f>
        <v>36619</v>
      </c>
      <c r="M140" s="12">
        <v>12815</v>
      </c>
      <c r="N140" s="66">
        <f t="shared" si="15"/>
        <v>5.8276489313324235E-2</v>
      </c>
      <c r="O140" s="14">
        <v>60.16</v>
      </c>
      <c r="P140" s="15">
        <v>166.5</v>
      </c>
      <c r="Q140" s="16">
        <v>0.191</v>
      </c>
      <c r="R140" s="16">
        <v>0.191</v>
      </c>
      <c r="S140" s="12">
        <f t="shared" si="16"/>
        <v>608.69348404255322</v>
      </c>
      <c r="T140" s="12">
        <f t="shared" si="17"/>
        <v>191722.51308900522</v>
      </c>
      <c r="U140" s="17">
        <f t="shared" si="18"/>
        <v>4.4013432756888253</v>
      </c>
      <c r="V140" s="16">
        <v>50</v>
      </c>
      <c r="W140" s="16">
        <f t="shared" si="19"/>
        <v>43980</v>
      </c>
      <c r="X140" s="16">
        <f t="shared" si="20"/>
        <v>879.6</v>
      </c>
      <c r="Y140" s="18" t="s">
        <v>610</v>
      </c>
      <c r="Z140" s="10" t="s">
        <v>35</v>
      </c>
      <c r="AA140" s="10" t="s">
        <v>35</v>
      </c>
      <c r="AB140" s="10" t="s">
        <v>611</v>
      </c>
      <c r="AC140" s="10">
        <v>0</v>
      </c>
      <c r="AD140" s="10">
        <v>1</v>
      </c>
      <c r="AE140" s="10" t="s">
        <v>37</v>
      </c>
      <c r="AF140" s="10" t="s">
        <v>43</v>
      </c>
      <c r="AG140" s="10" t="s">
        <v>38</v>
      </c>
      <c r="AH140" s="10" t="s">
        <v>92</v>
      </c>
    </row>
    <row r="141" spans="1:34" x14ac:dyDescent="0.3">
      <c r="A141" s="75" t="s">
        <v>2505</v>
      </c>
      <c r="B141" s="19" t="s">
        <v>2509</v>
      </c>
      <c r="C141" s="19" t="s">
        <v>2510</v>
      </c>
      <c r="D141" s="20">
        <v>45425</v>
      </c>
      <c r="E141" s="21">
        <v>150000</v>
      </c>
      <c r="F141" s="19" t="s">
        <v>32</v>
      </c>
      <c r="G141" s="19" t="s">
        <v>33</v>
      </c>
      <c r="H141" s="21">
        <v>150000</v>
      </c>
      <c r="I141" s="21">
        <v>56800</v>
      </c>
      <c r="J141" s="22">
        <f t="shared" si="14"/>
        <v>37.866666666666667</v>
      </c>
      <c r="K141" s="21">
        <v>125215</v>
      </c>
      <c r="L141" s="21">
        <f>H141-113336</f>
        <v>36664</v>
      </c>
      <c r="M141" s="21">
        <v>11879</v>
      </c>
      <c r="N141" s="67">
        <f t="shared" si="15"/>
        <v>7.9193333333333338E-2</v>
      </c>
      <c r="O141" s="23">
        <v>59.99</v>
      </c>
      <c r="P141" s="24">
        <v>179.35</v>
      </c>
      <c r="Q141" s="25">
        <v>0.20599999999999999</v>
      </c>
      <c r="R141" s="25">
        <v>0.20599999999999999</v>
      </c>
      <c r="S141" s="21">
        <f t="shared" si="16"/>
        <v>611.16852808801468</v>
      </c>
      <c r="T141" s="21">
        <f t="shared" si="17"/>
        <v>177980.58252427186</v>
      </c>
      <c r="U141" s="26">
        <f t="shared" si="18"/>
        <v>4.0858719587757539</v>
      </c>
      <c r="V141" s="25">
        <v>50.13</v>
      </c>
      <c r="W141" s="25">
        <f t="shared" si="19"/>
        <v>30000</v>
      </c>
      <c r="X141" s="25">
        <f t="shared" si="20"/>
        <v>598.44404548174748</v>
      </c>
      <c r="Y141" s="27" t="s">
        <v>2504</v>
      </c>
      <c r="Z141" s="19" t="s">
        <v>35</v>
      </c>
      <c r="AA141" s="19" t="s">
        <v>35</v>
      </c>
      <c r="AB141" s="19" t="s">
        <v>2505</v>
      </c>
      <c r="AC141" s="19">
        <v>0</v>
      </c>
      <c r="AD141" s="19">
        <v>1</v>
      </c>
      <c r="AE141" s="19" t="s">
        <v>42</v>
      </c>
      <c r="AF141" s="19" t="s">
        <v>43</v>
      </c>
      <c r="AG141" s="19" t="s">
        <v>38</v>
      </c>
      <c r="AH141" s="19" t="s">
        <v>92</v>
      </c>
    </row>
    <row r="142" spans="1:34" x14ac:dyDescent="0.3">
      <c r="A142" s="75" t="s">
        <v>2466</v>
      </c>
      <c r="B142" s="19" t="s">
        <v>2467</v>
      </c>
      <c r="C142" s="19" t="s">
        <v>2468</v>
      </c>
      <c r="D142" s="20">
        <v>45023</v>
      </c>
      <c r="E142" s="21">
        <v>218000</v>
      </c>
      <c r="F142" s="19" t="s">
        <v>32</v>
      </c>
      <c r="G142" s="19" t="s">
        <v>33</v>
      </c>
      <c r="H142" s="21">
        <v>218000</v>
      </c>
      <c r="I142" s="21">
        <v>84200</v>
      </c>
      <c r="J142" s="22">
        <f t="shared" si="14"/>
        <v>38.623853211009177</v>
      </c>
      <c r="K142" s="21">
        <v>195524</v>
      </c>
      <c r="L142" s="21">
        <f>H142-174397</f>
        <v>43603</v>
      </c>
      <c r="M142" s="21">
        <v>21127</v>
      </c>
      <c r="N142" s="67">
        <f t="shared" si="15"/>
        <v>9.6912844036697254E-2</v>
      </c>
      <c r="O142" s="23">
        <v>70.42</v>
      </c>
      <c r="P142" s="24">
        <v>163.21</v>
      </c>
      <c r="Q142" s="25">
        <v>0.22600000000000001</v>
      </c>
      <c r="R142" s="25">
        <v>0.22600000000000001</v>
      </c>
      <c r="S142" s="21">
        <f t="shared" si="16"/>
        <v>619.18489065606366</v>
      </c>
      <c r="T142" s="21">
        <f t="shared" si="17"/>
        <v>192933.62831858406</v>
      </c>
      <c r="U142" s="26">
        <f t="shared" si="18"/>
        <v>4.4291466556148773</v>
      </c>
      <c r="V142" s="25">
        <v>60.58</v>
      </c>
      <c r="W142" s="25">
        <f t="shared" si="19"/>
        <v>43600</v>
      </c>
      <c r="X142" s="25">
        <f t="shared" si="20"/>
        <v>719.70947507428195</v>
      </c>
      <c r="Y142" s="27" t="s">
        <v>2465</v>
      </c>
      <c r="Z142" s="19" t="s">
        <v>35</v>
      </c>
      <c r="AA142" s="19" t="s">
        <v>35</v>
      </c>
      <c r="AB142" s="19" t="s">
        <v>2466</v>
      </c>
      <c r="AC142" s="19">
        <v>0</v>
      </c>
      <c r="AD142" s="19">
        <v>1</v>
      </c>
      <c r="AE142" s="19" t="s">
        <v>42</v>
      </c>
      <c r="AF142" s="19" t="s">
        <v>43</v>
      </c>
      <c r="AG142" s="19" t="s">
        <v>38</v>
      </c>
      <c r="AH142" s="19" t="s">
        <v>92</v>
      </c>
    </row>
    <row r="143" spans="1:34" x14ac:dyDescent="0.3">
      <c r="A143" s="74" t="s">
        <v>2163</v>
      </c>
      <c r="B143" s="10" t="s">
        <v>2164</v>
      </c>
      <c r="C143" s="10" t="s">
        <v>2165</v>
      </c>
      <c r="D143" s="11">
        <v>45278</v>
      </c>
      <c r="E143" s="12">
        <v>260000</v>
      </c>
      <c r="F143" s="10" t="s">
        <v>32</v>
      </c>
      <c r="G143" s="10" t="s">
        <v>33</v>
      </c>
      <c r="H143" s="12">
        <v>260000</v>
      </c>
      <c r="I143" s="12">
        <v>67700</v>
      </c>
      <c r="J143" s="13">
        <f t="shared" si="14"/>
        <v>26.038461538461537</v>
      </c>
      <c r="K143" s="12">
        <v>204445</v>
      </c>
      <c r="L143" s="12">
        <f>H143-170475</f>
        <v>89525</v>
      </c>
      <c r="M143" s="12">
        <v>33970</v>
      </c>
      <c r="N143" s="66">
        <f t="shared" si="15"/>
        <v>0.13065384615384615</v>
      </c>
      <c r="O143" s="14">
        <v>143.93</v>
      </c>
      <c r="P143" s="15">
        <v>436.47</v>
      </c>
      <c r="Q143" s="16">
        <v>1.1970000000000001</v>
      </c>
      <c r="R143" s="16">
        <v>1.1970000000000001</v>
      </c>
      <c r="S143" s="12">
        <f t="shared" si="16"/>
        <v>622.00375182380321</v>
      </c>
      <c r="T143" s="12">
        <f t="shared" si="17"/>
        <v>74791.144527986631</v>
      </c>
      <c r="U143" s="17">
        <f t="shared" si="18"/>
        <v>1.7169684235074985</v>
      </c>
      <c r="V143" s="16">
        <v>119</v>
      </c>
      <c r="W143" s="16">
        <f t="shared" si="19"/>
        <v>52000</v>
      </c>
      <c r="X143" s="16">
        <f t="shared" si="20"/>
        <v>436.97478991596637</v>
      </c>
      <c r="Y143" s="18" t="s">
        <v>2162</v>
      </c>
      <c r="Z143" s="10" t="s">
        <v>35</v>
      </c>
      <c r="AA143" s="10" t="s">
        <v>35</v>
      </c>
      <c r="AB143" s="10" t="s">
        <v>2163</v>
      </c>
      <c r="AC143" s="10">
        <v>0</v>
      </c>
      <c r="AD143" s="10">
        <v>1</v>
      </c>
      <c r="AE143" s="10" t="s">
        <v>42</v>
      </c>
      <c r="AF143" s="10" t="s">
        <v>43</v>
      </c>
      <c r="AG143" s="10" t="s">
        <v>38</v>
      </c>
      <c r="AH143" s="10" t="s">
        <v>92</v>
      </c>
    </row>
    <row r="144" spans="1:34" x14ac:dyDescent="0.3">
      <c r="A144" s="75" t="s">
        <v>693</v>
      </c>
      <c r="B144" s="19" t="s">
        <v>690</v>
      </c>
      <c r="C144" s="19" t="s">
        <v>691</v>
      </c>
      <c r="D144" s="20">
        <v>45495</v>
      </c>
      <c r="E144" s="21">
        <v>137900</v>
      </c>
      <c r="F144" s="19" t="s">
        <v>32</v>
      </c>
      <c r="G144" s="19" t="s">
        <v>33</v>
      </c>
      <c r="H144" s="21">
        <v>137900</v>
      </c>
      <c r="I144" s="21">
        <v>52700</v>
      </c>
      <c r="J144" s="22">
        <f t="shared" si="14"/>
        <v>38.216098622189989</v>
      </c>
      <c r="K144" s="21">
        <v>109423</v>
      </c>
      <c r="L144" s="21">
        <f>H144-98466</f>
        <v>39434</v>
      </c>
      <c r="M144" s="21">
        <v>10957</v>
      </c>
      <c r="N144" s="67">
        <f t="shared" si="15"/>
        <v>7.9456127628716455E-2</v>
      </c>
      <c r="O144" s="23">
        <v>62.61</v>
      </c>
      <c r="P144" s="24">
        <v>270</v>
      </c>
      <c r="Q144" s="25">
        <v>0.40899999999999997</v>
      </c>
      <c r="R144" s="25">
        <v>0.40899999999999997</v>
      </c>
      <c r="S144" s="21">
        <f t="shared" si="16"/>
        <v>629.83548953841239</v>
      </c>
      <c r="T144" s="21">
        <f t="shared" si="17"/>
        <v>96415.647921760392</v>
      </c>
      <c r="U144" s="26">
        <f t="shared" si="18"/>
        <v>2.2133987126207622</v>
      </c>
      <c r="V144" s="25">
        <v>66</v>
      </c>
      <c r="W144" s="25">
        <f t="shared" si="19"/>
        <v>27580</v>
      </c>
      <c r="X144" s="25">
        <f t="shared" si="20"/>
        <v>417.87878787878788</v>
      </c>
      <c r="Y144" s="27" t="s">
        <v>692</v>
      </c>
      <c r="Z144" s="19" t="s">
        <v>35</v>
      </c>
      <c r="AA144" s="19" t="s">
        <v>35</v>
      </c>
      <c r="AB144" s="19" t="s">
        <v>693</v>
      </c>
      <c r="AC144" s="19">
        <v>0</v>
      </c>
      <c r="AD144" s="19">
        <v>1</v>
      </c>
      <c r="AE144" s="19" t="s">
        <v>42</v>
      </c>
      <c r="AF144" s="19" t="s">
        <v>43</v>
      </c>
      <c r="AG144" s="19" t="s">
        <v>38</v>
      </c>
      <c r="AH144" s="19" t="s">
        <v>92</v>
      </c>
    </row>
    <row r="145" spans="1:34" x14ac:dyDescent="0.3">
      <c r="A145" s="75" t="s">
        <v>1194</v>
      </c>
      <c r="B145" s="19" t="s">
        <v>1289</v>
      </c>
      <c r="C145" s="19" t="s">
        <v>1290</v>
      </c>
      <c r="D145" s="20">
        <v>45595</v>
      </c>
      <c r="E145" s="21">
        <v>345000</v>
      </c>
      <c r="F145" s="19" t="s">
        <v>32</v>
      </c>
      <c r="G145" s="19" t="s">
        <v>33</v>
      </c>
      <c r="H145" s="21">
        <v>345000</v>
      </c>
      <c r="I145" s="21">
        <v>136900</v>
      </c>
      <c r="J145" s="22">
        <f t="shared" si="14"/>
        <v>39.681159420289859</v>
      </c>
      <c r="K145" s="21">
        <v>304119</v>
      </c>
      <c r="L145" s="21">
        <f>H145-287887</f>
        <v>57113</v>
      </c>
      <c r="M145" s="21">
        <v>16232</v>
      </c>
      <c r="N145" s="67">
        <f t="shared" si="15"/>
        <v>4.7049275362318843E-2</v>
      </c>
      <c r="O145" s="23">
        <v>90.17</v>
      </c>
      <c r="P145" s="24">
        <v>254.12</v>
      </c>
      <c r="Q145" s="25">
        <v>0.46700000000000003</v>
      </c>
      <c r="R145" s="25">
        <v>0.46700000000000003</v>
      </c>
      <c r="S145" s="21">
        <f t="shared" si="16"/>
        <v>633.39248086946873</v>
      </c>
      <c r="T145" s="21">
        <f t="shared" si="17"/>
        <v>122297.64453961456</v>
      </c>
      <c r="U145" s="26">
        <f t="shared" si="18"/>
        <v>2.8075675973281577</v>
      </c>
      <c r="V145" s="25">
        <v>80</v>
      </c>
      <c r="W145" s="25">
        <f t="shared" si="19"/>
        <v>69000</v>
      </c>
      <c r="X145" s="25">
        <f t="shared" si="20"/>
        <v>862.5</v>
      </c>
      <c r="Y145" s="27" t="s">
        <v>1193</v>
      </c>
      <c r="Z145" s="19" t="s">
        <v>35</v>
      </c>
      <c r="AA145" s="19" t="s">
        <v>35</v>
      </c>
      <c r="AB145" s="19" t="s">
        <v>1194</v>
      </c>
      <c r="AC145" s="19">
        <v>0</v>
      </c>
      <c r="AD145" s="19">
        <v>1</v>
      </c>
      <c r="AE145" s="19" t="s">
        <v>464</v>
      </c>
      <c r="AF145" s="19" t="s">
        <v>35</v>
      </c>
      <c r="AG145" s="19" t="s">
        <v>38</v>
      </c>
      <c r="AH145" s="19" t="s">
        <v>92</v>
      </c>
    </row>
    <row r="146" spans="1:34" x14ac:dyDescent="0.3">
      <c r="A146" s="74" t="s">
        <v>2435</v>
      </c>
      <c r="B146" s="10" t="s">
        <v>2571</v>
      </c>
      <c r="C146" s="10" t="s">
        <v>2572</v>
      </c>
      <c r="D146" s="11">
        <v>45527</v>
      </c>
      <c r="E146" s="12">
        <v>230000</v>
      </c>
      <c r="F146" s="10" t="s">
        <v>32</v>
      </c>
      <c r="G146" s="10" t="s">
        <v>33</v>
      </c>
      <c r="H146" s="12">
        <v>230000</v>
      </c>
      <c r="I146" s="12">
        <v>79100</v>
      </c>
      <c r="J146" s="13">
        <f t="shared" si="14"/>
        <v>34.391304347826086</v>
      </c>
      <c r="K146" s="12">
        <v>174836</v>
      </c>
      <c r="L146" s="12">
        <f>H146-152129</f>
        <v>77871</v>
      </c>
      <c r="M146" s="12">
        <v>22707</v>
      </c>
      <c r="N146" s="66">
        <f t="shared" si="15"/>
        <v>9.8726086956521741E-2</v>
      </c>
      <c r="O146" s="14">
        <v>122.74</v>
      </c>
      <c r="P146" s="15">
        <v>177.64</v>
      </c>
      <c r="Q146" s="16">
        <v>0.42799999999999999</v>
      </c>
      <c r="R146" s="16">
        <v>0.42799999999999999</v>
      </c>
      <c r="S146" s="12">
        <f t="shared" si="16"/>
        <v>634.43865080658304</v>
      </c>
      <c r="T146" s="12">
        <f t="shared" si="17"/>
        <v>181941.58878504674</v>
      </c>
      <c r="U146" s="17">
        <f t="shared" si="18"/>
        <v>4.1768041502535986</v>
      </c>
      <c r="V146" s="16">
        <v>105</v>
      </c>
      <c r="W146" s="16">
        <f t="shared" si="19"/>
        <v>46000</v>
      </c>
      <c r="X146" s="16">
        <f t="shared" si="20"/>
        <v>438.09523809523807</v>
      </c>
      <c r="Y146" s="18" t="s">
        <v>2434</v>
      </c>
      <c r="Z146" s="10" t="s">
        <v>35</v>
      </c>
      <c r="AA146" s="10" t="s">
        <v>35</v>
      </c>
      <c r="AB146" s="10" t="s">
        <v>2435</v>
      </c>
      <c r="AC146" s="10">
        <v>0</v>
      </c>
      <c r="AD146" s="10">
        <v>1</v>
      </c>
      <c r="AE146" s="10" t="s">
        <v>42</v>
      </c>
      <c r="AF146" s="10" t="s">
        <v>43</v>
      </c>
      <c r="AG146" s="10" t="s">
        <v>38</v>
      </c>
      <c r="AH146" s="10" t="s">
        <v>92</v>
      </c>
    </row>
    <row r="147" spans="1:34" x14ac:dyDescent="0.3">
      <c r="A147" s="75" t="s">
        <v>1537</v>
      </c>
      <c r="B147" s="19" t="s">
        <v>1598</v>
      </c>
      <c r="C147" s="19" t="s">
        <v>1599</v>
      </c>
      <c r="D147" s="20">
        <v>45580</v>
      </c>
      <c r="E147" s="21">
        <v>224500</v>
      </c>
      <c r="F147" s="19" t="s">
        <v>32</v>
      </c>
      <c r="G147" s="19" t="s">
        <v>33</v>
      </c>
      <c r="H147" s="21">
        <v>224500</v>
      </c>
      <c r="I147" s="21">
        <v>90500</v>
      </c>
      <c r="J147" s="22">
        <f t="shared" si="14"/>
        <v>40.311804008908688</v>
      </c>
      <c r="K147" s="21">
        <v>193339</v>
      </c>
      <c r="L147" s="21">
        <f>H147-178585</f>
        <v>45915</v>
      </c>
      <c r="M147" s="21">
        <v>14754</v>
      </c>
      <c r="N147" s="67">
        <f t="shared" si="15"/>
        <v>6.5719376391982179E-2</v>
      </c>
      <c r="O147" s="23">
        <v>70.25</v>
      </c>
      <c r="P147" s="24">
        <v>204.22</v>
      </c>
      <c r="Q147" s="25">
        <v>0.25</v>
      </c>
      <c r="R147" s="25">
        <v>0.25</v>
      </c>
      <c r="S147" s="21">
        <f t="shared" si="16"/>
        <v>653.59430604982208</v>
      </c>
      <c r="T147" s="21">
        <f t="shared" si="17"/>
        <v>183660</v>
      </c>
      <c r="U147" s="26">
        <f t="shared" si="18"/>
        <v>4.2162534435261705</v>
      </c>
      <c r="V147" s="25">
        <v>51.68</v>
      </c>
      <c r="W147" s="25">
        <f t="shared" si="19"/>
        <v>44900</v>
      </c>
      <c r="X147" s="25">
        <f t="shared" si="20"/>
        <v>868.80804953560369</v>
      </c>
      <c r="Y147" s="27" t="s">
        <v>1536</v>
      </c>
      <c r="Z147" s="19" t="s">
        <v>35</v>
      </c>
      <c r="AA147" s="19" t="s">
        <v>35</v>
      </c>
      <c r="AB147" s="19" t="s">
        <v>1537</v>
      </c>
      <c r="AC147" s="19">
        <v>0</v>
      </c>
      <c r="AD147" s="19">
        <v>1</v>
      </c>
      <c r="AE147" s="19" t="s">
        <v>42</v>
      </c>
      <c r="AF147" s="19" t="s">
        <v>35</v>
      </c>
      <c r="AG147" s="19" t="s">
        <v>38</v>
      </c>
      <c r="AH147" s="19" t="s">
        <v>92</v>
      </c>
    </row>
    <row r="148" spans="1:34" x14ac:dyDescent="0.3">
      <c r="A148" s="75" t="s">
        <v>2466</v>
      </c>
      <c r="B148" s="19" t="s">
        <v>2473</v>
      </c>
      <c r="C148" s="19" t="s">
        <v>2474</v>
      </c>
      <c r="D148" s="20">
        <v>45588</v>
      </c>
      <c r="E148" s="21">
        <v>225000</v>
      </c>
      <c r="F148" s="19" t="s">
        <v>32</v>
      </c>
      <c r="G148" s="19" t="s">
        <v>33</v>
      </c>
      <c r="H148" s="21">
        <v>225000</v>
      </c>
      <c r="I148" s="21">
        <v>97600</v>
      </c>
      <c r="J148" s="22">
        <f t="shared" si="14"/>
        <v>43.377777777777773</v>
      </c>
      <c r="K148" s="21">
        <v>198125</v>
      </c>
      <c r="L148" s="21">
        <f>H148-175837</f>
        <v>49163</v>
      </c>
      <c r="M148" s="21">
        <v>22288</v>
      </c>
      <c r="N148" s="67">
        <f t="shared" si="15"/>
        <v>9.9057777777777772E-2</v>
      </c>
      <c r="O148" s="23">
        <v>74.290000000000006</v>
      </c>
      <c r="P148" s="24">
        <v>179.11</v>
      </c>
      <c r="Q148" s="25">
        <v>0.25</v>
      </c>
      <c r="R148" s="25">
        <v>0.25</v>
      </c>
      <c r="S148" s="21">
        <f t="shared" si="16"/>
        <v>661.77143626329246</v>
      </c>
      <c r="T148" s="21">
        <f t="shared" si="17"/>
        <v>196652</v>
      </c>
      <c r="U148" s="26">
        <f t="shared" si="18"/>
        <v>4.5145087235996328</v>
      </c>
      <c r="V148" s="25">
        <v>60.96</v>
      </c>
      <c r="W148" s="25">
        <f t="shared" si="19"/>
        <v>45000</v>
      </c>
      <c r="X148" s="25">
        <f t="shared" si="20"/>
        <v>738.18897637795271</v>
      </c>
      <c r="Y148" s="27" t="s">
        <v>2465</v>
      </c>
      <c r="Z148" s="19" t="s">
        <v>35</v>
      </c>
      <c r="AA148" s="19" t="s">
        <v>35</v>
      </c>
      <c r="AB148" s="19" t="s">
        <v>2466</v>
      </c>
      <c r="AC148" s="19">
        <v>0</v>
      </c>
      <c r="AD148" s="19">
        <v>1</v>
      </c>
      <c r="AE148" s="19" t="s">
        <v>37</v>
      </c>
      <c r="AF148" s="19" t="s">
        <v>35</v>
      </c>
      <c r="AG148" s="19" t="s">
        <v>38</v>
      </c>
      <c r="AH148" s="19" t="s">
        <v>92</v>
      </c>
    </row>
    <row r="149" spans="1:34" x14ac:dyDescent="0.3">
      <c r="A149" s="74" t="s">
        <v>1194</v>
      </c>
      <c r="B149" s="10" t="s">
        <v>1531</v>
      </c>
      <c r="C149" s="10" t="s">
        <v>1532</v>
      </c>
      <c r="D149" s="11">
        <v>45231</v>
      </c>
      <c r="E149" s="12">
        <v>439000</v>
      </c>
      <c r="F149" s="10" t="s">
        <v>32</v>
      </c>
      <c r="G149" s="10" t="s">
        <v>33</v>
      </c>
      <c r="H149" s="12">
        <v>439000</v>
      </c>
      <c r="I149" s="12">
        <v>158900</v>
      </c>
      <c r="J149" s="13">
        <f t="shared" si="14"/>
        <v>36.195899772209565</v>
      </c>
      <c r="K149" s="12">
        <v>378148</v>
      </c>
      <c r="L149" s="12">
        <f>H149-355912</f>
        <v>83088</v>
      </c>
      <c r="M149" s="12">
        <v>22236</v>
      </c>
      <c r="N149" s="66">
        <f t="shared" si="15"/>
        <v>5.0651480637813211E-2</v>
      </c>
      <c r="O149" s="14">
        <v>123.53</v>
      </c>
      <c r="P149" s="15">
        <v>453.47</v>
      </c>
      <c r="Q149" s="16">
        <v>0.84899999999999998</v>
      </c>
      <c r="R149" s="16">
        <v>0.84899999999999998</v>
      </c>
      <c r="S149" s="12">
        <f t="shared" si="16"/>
        <v>672.61393993361935</v>
      </c>
      <c r="T149" s="12">
        <f t="shared" si="17"/>
        <v>97865.724381625449</v>
      </c>
      <c r="U149" s="17">
        <f t="shared" si="18"/>
        <v>2.2466878875487937</v>
      </c>
      <c r="V149" s="16">
        <v>83.06</v>
      </c>
      <c r="W149" s="16">
        <f t="shared" si="19"/>
        <v>87800</v>
      </c>
      <c r="X149" s="16">
        <f t="shared" si="20"/>
        <v>1057.0671803515531</v>
      </c>
      <c r="Y149" s="18" t="s">
        <v>1193</v>
      </c>
      <c r="Z149" s="10" t="s">
        <v>35</v>
      </c>
      <c r="AA149" s="10" t="s">
        <v>35</v>
      </c>
      <c r="AB149" s="10" t="s">
        <v>1194</v>
      </c>
      <c r="AC149" s="10">
        <v>0</v>
      </c>
      <c r="AD149" s="10">
        <v>1</v>
      </c>
      <c r="AE149" s="10" t="s">
        <v>1533</v>
      </c>
      <c r="AF149" s="10" t="s">
        <v>43</v>
      </c>
      <c r="AG149" s="10" t="s">
        <v>38</v>
      </c>
      <c r="AH149" s="10" t="s">
        <v>92</v>
      </c>
    </row>
    <row r="150" spans="1:34" x14ac:dyDescent="0.3">
      <c r="A150" s="74" t="s">
        <v>2365</v>
      </c>
      <c r="B150" s="10" t="s">
        <v>2392</v>
      </c>
      <c r="C150" s="10" t="s">
        <v>2393</v>
      </c>
      <c r="D150" s="11">
        <v>45741</v>
      </c>
      <c r="E150" s="12">
        <v>245000</v>
      </c>
      <c r="F150" s="10" t="s">
        <v>32</v>
      </c>
      <c r="G150" s="10" t="s">
        <v>33</v>
      </c>
      <c r="H150" s="12">
        <v>245000</v>
      </c>
      <c r="I150" s="12">
        <v>76000</v>
      </c>
      <c r="J150" s="13">
        <f t="shared" si="14"/>
        <v>31.020408163265305</v>
      </c>
      <c r="K150" s="12">
        <v>176387</v>
      </c>
      <c r="L150" s="12">
        <f>H150-157010</f>
        <v>87990</v>
      </c>
      <c r="M150" s="12">
        <v>19377</v>
      </c>
      <c r="N150" s="66">
        <f t="shared" si="15"/>
        <v>7.9089795918367345E-2</v>
      </c>
      <c r="O150" s="14">
        <v>129.18</v>
      </c>
      <c r="P150" s="15">
        <v>163.69999999999999</v>
      </c>
      <c r="Q150" s="16">
        <v>0.436</v>
      </c>
      <c r="R150" s="16">
        <v>0.436</v>
      </c>
      <c r="S150" s="12">
        <f t="shared" si="16"/>
        <v>681.14259173246626</v>
      </c>
      <c r="T150" s="12">
        <f t="shared" si="17"/>
        <v>201811.92660550459</v>
      </c>
      <c r="U150" s="17">
        <f t="shared" si="18"/>
        <v>4.6329643389693436</v>
      </c>
      <c r="V150" s="16">
        <v>116</v>
      </c>
      <c r="W150" s="16">
        <f t="shared" si="19"/>
        <v>49000</v>
      </c>
      <c r="X150" s="16">
        <f t="shared" si="20"/>
        <v>422.41379310344826</v>
      </c>
      <c r="Y150" s="18" t="s">
        <v>2364</v>
      </c>
      <c r="Z150" s="10" t="s">
        <v>35</v>
      </c>
      <c r="AA150" s="10" t="s">
        <v>35</v>
      </c>
      <c r="AB150" s="10" t="s">
        <v>2365</v>
      </c>
      <c r="AC150" s="10">
        <v>0</v>
      </c>
      <c r="AD150" s="10">
        <v>1</v>
      </c>
      <c r="AE150" s="10" t="s">
        <v>42</v>
      </c>
      <c r="AF150" s="10" t="s">
        <v>35</v>
      </c>
      <c r="AG150" s="10" t="s">
        <v>38</v>
      </c>
      <c r="AH150" s="10" t="s">
        <v>92</v>
      </c>
    </row>
    <row r="151" spans="1:34" x14ac:dyDescent="0.3">
      <c r="A151" s="75" t="s">
        <v>2229</v>
      </c>
      <c r="B151" s="19" t="s">
        <v>2225</v>
      </c>
      <c r="C151" s="19" t="s">
        <v>2226</v>
      </c>
      <c r="D151" s="20">
        <v>45464</v>
      </c>
      <c r="E151" s="21">
        <v>193000</v>
      </c>
      <c r="F151" s="19" t="s">
        <v>32</v>
      </c>
      <c r="G151" s="19" t="s">
        <v>66</v>
      </c>
      <c r="H151" s="21">
        <v>193000</v>
      </c>
      <c r="I151" s="21">
        <v>66500</v>
      </c>
      <c r="J151" s="22">
        <f t="shared" si="14"/>
        <v>34.4559585492228</v>
      </c>
      <c r="K151" s="21">
        <v>146414</v>
      </c>
      <c r="L151" s="21">
        <f>H151-126752</f>
        <v>66248</v>
      </c>
      <c r="M151" s="21">
        <v>19662</v>
      </c>
      <c r="N151" s="67">
        <f t="shared" si="15"/>
        <v>0.10187564766839378</v>
      </c>
      <c r="O151" s="23">
        <v>91.45</v>
      </c>
      <c r="P151" s="24">
        <v>405</v>
      </c>
      <c r="Q151" s="25">
        <v>0.27200000000000002</v>
      </c>
      <c r="R151" s="25">
        <v>0.13600000000000001</v>
      </c>
      <c r="S151" s="21">
        <f t="shared" si="16"/>
        <v>724.41771459814106</v>
      </c>
      <c r="T151" s="21">
        <f t="shared" si="17"/>
        <v>243558.82352941175</v>
      </c>
      <c r="U151" s="26">
        <f t="shared" si="18"/>
        <v>5.5913412196834651</v>
      </c>
      <c r="V151" s="25">
        <v>88</v>
      </c>
      <c r="W151" s="25">
        <f t="shared" si="19"/>
        <v>38600</v>
      </c>
      <c r="X151" s="25">
        <f t="shared" si="20"/>
        <v>438.63636363636363</v>
      </c>
      <c r="Y151" s="27" t="s">
        <v>2227</v>
      </c>
      <c r="Z151" s="19" t="s">
        <v>35</v>
      </c>
      <c r="AA151" s="19" t="s">
        <v>2228</v>
      </c>
      <c r="AB151" s="19" t="s">
        <v>2229</v>
      </c>
      <c r="AC151" s="19">
        <v>0</v>
      </c>
      <c r="AD151" s="19">
        <v>1</v>
      </c>
      <c r="AE151" s="19" t="s">
        <v>42</v>
      </c>
      <c r="AF151" s="19" t="s">
        <v>43</v>
      </c>
      <c r="AG151" s="19" t="s">
        <v>38</v>
      </c>
      <c r="AH151" s="19" t="s">
        <v>92</v>
      </c>
    </row>
    <row r="152" spans="1:34" x14ac:dyDescent="0.3">
      <c r="A152" s="74" t="s">
        <v>2664</v>
      </c>
      <c r="B152" s="10" t="s">
        <v>2773</v>
      </c>
      <c r="C152" s="10" t="s">
        <v>2774</v>
      </c>
      <c r="D152" s="11">
        <v>45637</v>
      </c>
      <c r="E152" s="12">
        <v>135000</v>
      </c>
      <c r="F152" s="10" t="s">
        <v>32</v>
      </c>
      <c r="G152" s="10" t="s">
        <v>33</v>
      </c>
      <c r="H152" s="12">
        <v>135000</v>
      </c>
      <c r="I152" s="12">
        <v>45300</v>
      </c>
      <c r="J152" s="13">
        <f t="shared" si="14"/>
        <v>33.555555555555557</v>
      </c>
      <c r="K152" s="12">
        <v>80633</v>
      </c>
      <c r="L152" s="12">
        <f>H152-60233</f>
        <v>74767</v>
      </c>
      <c r="M152" s="12">
        <v>20400</v>
      </c>
      <c r="N152" s="66">
        <f t="shared" si="15"/>
        <v>0.15111111111111111</v>
      </c>
      <c r="O152" s="14">
        <v>100</v>
      </c>
      <c r="P152" s="15">
        <v>379</v>
      </c>
      <c r="Q152" s="16">
        <v>0.87</v>
      </c>
      <c r="R152" s="16">
        <v>0.87</v>
      </c>
      <c r="S152" s="12">
        <f t="shared" si="16"/>
        <v>747.67</v>
      </c>
      <c r="T152" s="12">
        <f t="shared" si="17"/>
        <v>85939.080459770121</v>
      </c>
      <c r="U152" s="17">
        <f t="shared" si="18"/>
        <v>1.9728898177174041</v>
      </c>
      <c r="V152" s="16">
        <v>100</v>
      </c>
      <c r="W152" s="16">
        <f t="shared" si="19"/>
        <v>27000</v>
      </c>
      <c r="X152" s="16">
        <f t="shared" si="20"/>
        <v>270</v>
      </c>
      <c r="Y152" s="18" t="s">
        <v>2663</v>
      </c>
      <c r="Z152" s="10" t="s">
        <v>35</v>
      </c>
      <c r="AA152" s="10" t="s">
        <v>35</v>
      </c>
      <c r="AB152" s="10" t="s">
        <v>2664</v>
      </c>
      <c r="AC152" s="10">
        <v>0</v>
      </c>
      <c r="AD152" s="10">
        <v>0</v>
      </c>
      <c r="AE152" s="10" t="s">
        <v>37</v>
      </c>
      <c r="AF152" s="10" t="s">
        <v>35</v>
      </c>
      <c r="AG152" s="10" t="s">
        <v>38</v>
      </c>
      <c r="AH152" s="10" t="s">
        <v>1830</v>
      </c>
    </row>
    <row r="153" spans="1:34" x14ac:dyDescent="0.3">
      <c r="A153" s="75" t="s">
        <v>1194</v>
      </c>
      <c r="B153" s="19" t="s">
        <v>1527</v>
      </c>
      <c r="C153" s="19" t="s">
        <v>1528</v>
      </c>
      <c r="D153" s="20">
        <v>45609</v>
      </c>
      <c r="E153" s="21">
        <v>255000</v>
      </c>
      <c r="F153" s="19" t="s">
        <v>32</v>
      </c>
      <c r="G153" s="19" t="s">
        <v>33</v>
      </c>
      <c r="H153" s="21">
        <v>255000</v>
      </c>
      <c r="I153" s="21">
        <v>85000</v>
      </c>
      <c r="J153" s="22">
        <f t="shared" si="14"/>
        <v>33.333333333333329</v>
      </c>
      <c r="K153" s="21">
        <v>201297</v>
      </c>
      <c r="L153" s="21">
        <f>H153-184577</f>
        <v>70423</v>
      </c>
      <c r="M153" s="21">
        <v>16720</v>
      </c>
      <c r="N153" s="67">
        <f t="shared" si="15"/>
        <v>6.5568627450980396E-2</v>
      </c>
      <c r="O153" s="23">
        <v>92.88</v>
      </c>
      <c r="P153" s="24">
        <v>250</v>
      </c>
      <c r="Q153" s="25">
        <v>0.47699999999999998</v>
      </c>
      <c r="R153" s="25">
        <v>0.47699999999999998</v>
      </c>
      <c r="S153" s="21">
        <f t="shared" si="16"/>
        <v>758.21490094745911</v>
      </c>
      <c r="T153" s="21">
        <f t="shared" si="17"/>
        <v>147637.31656184487</v>
      </c>
      <c r="U153" s="26">
        <f t="shared" si="18"/>
        <v>3.3892864224482295</v>
      </c>
      <c r="V153" s="25">
        <v>83.08</v>
      </c>
      <c r="W153" s="25">
        <f t="shared" si="19"/>
        <v>51000</v>
      </c>
      <c r="X153" s="25">
        <f t="shared" si="20"/>
        <v>613.8661531054405</v>
      </c>
      <c r="Y153" s="27" t="s">
        <v>1193</v>
      </c>
      <c r="Z153" s="19" t="s">
        <v>35</v>
      </c>
      <c r="AA153" s="19" t="s">
        <v>35</v>
      </c>
      <c r="AB153" s="19" t="s">
        <v>1194</v>
      </c>
      <c r="AC153" s="19">
        <v>0</v>
      </c>
      <c r="AD153" s="19">
        <v>1</v>
      </c>
      <c r="AE153" s="19" t="s">
        <v>42</v>
      </c>
      <c r="AF153" s="19" t="s">
        <v>35</v>
      </c>
      <c r="AG153" s="19" t="s">
        <v>38</v>
      </c>
      <c r="AH153" s="19" t="s">
        <v>92</v>
      </c>
    </row>
    <row r="154" spans="1:34" x14ac:dyDescent="0.3">
      <c r="A154" s="74" t="s">
        <v>2435</v>
      </c>
      <c r="B154" s="10" t="s">
        <v>2579</v>
      </c>
      <c r="C154" s="10" t="s">
        <v>2580</v>
      </c>
      <c r="D154" s="11">
        <v>45665</v>
      </c>
      <c r="E154" s="12">
        <v>160000</v>
      </c>
      <c r="F154" s="10" t="s">
        <v>32</v>
      </c>
      <c r="G154" s="10" t="s">
        <v>33</v>
      </c>
      <c r="H154" s="12">
        <v>160000</v>
      </c>
      <c r="I154" s="12">
        <v>59400</v>
      </c>
      <c r="J154" s="13">
        <f t="shared" si="14"/>
        <v>37.125</v>
      </c>
      <c r="K154" s="12">
        <v>132523</v>
      </c>
      <c r="L154" s="12">
        <f>H154-123873</f>
        <v>36127</v>
      </c>
      <c r="M154" s="12">
        <v>8650</v>
      </c>
      <c r="N154" s="66">
        <f t="shared" si="15"/>
        <v>5.4062499999999999E-2</v>
      </c>
      <c r="O154" s="14">
        <v>46.75</v>
      </c>
      <c r="P154" s="15">
        <v>177.64</v>
      </c>
      <c r="Q154" s="16">
        <v>0.16300000000000001</v>
      </c>
      <c r="R154" s="16">
        <v>0.16300000000000001</v>
      </c>
      <c r="S154" s="12">
        <f t="shared" si="16"/>
        <v>772.77005347593581</v>
      </c>
      <c r="T154" s="12">
        <f t="shared" si="17"/>
        <v>221638.03680981594</v>
      </c>
      <c r="U154" s="17">
        <f t="shared" si="18"/>
        <v>5.0881092013272715</v>
      </c>
      <c r="V154" s="16">
        <v>40</v>
      </c>
      <c r="W154" s="16">
        <f t="shared" si="19"/>
        <v>32000</v>
      </c>
      <c r="X154" s="16">
        <f t="shared" si="20"/>
        <v>800</v>
      </c>
      <c r="Y154" s="18" t="s">
        <v>2434</v>
      </c>
      <c r="Z154" s="10" t="s">
        <v>35</v>
      </c>
      <c r="AA154" s="10" t="s">
        <v>35</v>
      </c>
      <c r="AB154" s="10" t="s">
        <v>2435</v>
      </c>
      <c r="AC154" s="10">
        <v>0</v>
      </c>
      <c r="AD154" s="10">
        <v>1</v>
      </c>
      <c r="AE154" s="10" t="s">
        <v>37</v>
      </c>
      <c r="AF154" s="10" t="s">
        <v>35</v>
      </c>
      <c r="AG154" s="10" t="s">
        <v>38</v>
      </c>
      <c r="AH154" s="10" t="s">
        <v>92</v>
      </c>
    </row>
    <row r="155" spans="1:34" x14ac:dyDescent="0.3">
      <c r="A155" s="75" t="s">
        <v>611</v>
      </c>
      <c r="B155" s="19" t="s">
        <v>706</v>
      </c>
      <c r="C155" s="19" t="s">
        <v>707</v>
      </c>
      <c r="D155" s="20">
        <v>45558</v>
      </c>
      <c r="E155" s="21">
        <v>215000</v>
      </c>
      <c r="F155" s="19" t="s">
        <v>32</v>
      </c>
      <c r="G155" s="19" t="s">
        <v>33</v>
      </c>
      <c r="H155" s="21">
        <v>215000</v>
      </c>
      <c r="I155" s="21">
        <v>83900</v>
      </c>
      <c r="J155" s="22">
        <f t="shared" si="14"/>
        <v>39.02325581395349</v>
      </c>
      <c r="K155" s="21">
        <v>182400</v>
      </c>
      <c r="L155" s="21">
        <f>H155-170237</f>
        <v>44763</v>
      </c>
      <c r="M155" s="21">
        <v>12163</v>
      </c>
      <c r="N155" s="67">
        <f t="shared" si="15"/>
        <v>5.6572093023255811E-2</v>
      </c>
      <c r="O155" s="23">
        <v>57.1</v>
      </c>
      <c r="P155" s="24">
        <v>150</v>
      </c>
      <c r="Q155" s="25">
        <v>0.17199999999999999</v>
      </c>
      <c r="R155" s="25">
        <v>0.17199999999999999</v>
      </c>
      <c r="S155" s="21">
        <f t="shared" si="16"/>
        <v>783.94045534150609</v>
      </c>
      <c r="T155" s="21">
        <f t="shared" si="17"/>
        <v>260250.00000000003</v>
      </c>
      <c r="U155" s="26">
        <f t="shared" si="18"/>
        <v>5.9745179063360885</v>
      </c>
      <c r="V155" s="25">
        <v>50</v>
      </c>
      <c r="W155" s="25">
        <f t="shared" si="19"/>
        <v>43000</v>
      </c>
      <c r="X155" s="25">
        <f t="shared" si="20"/>
        <v>860</v>
      </c>
      <c r="Y155" s="27" t="s">
        <v>610</v>
      </c>
      <c r="Z155" s="19" t="s">
        <v>35</v>
      </c>
      <c r="AA155" s="19" t="s">
        <v>35</v>
      </c>
      <c r="AB155" s="19" t="s">
        <v>611</v>
      </c>
      <c r="AC155" s="19">
        <v>0</v>
      </c>
      <c r="AD155" s="19">
        <v>1</v>
      </c>
      <c r="AE155" s="19" t="s">
        <v>37</v>
      </c>
      <c r="AF155" s="19" t="s">
        <v>43</v>
      </c>
      <c r="AG155" s="19" t="s">
        <v>38</v>
      </c>
      <c r="AH155" s="19" t="s">
        <v>92</v>
      </c>
    </row>
    <row r="156" spans="1:34" x14ac:dyDescent="0.3">
      <c r="A156" s="74" t="s">
        <v>1577</v>
      </c>
      <c r="B156" s="10" t="s">
        <v>1578</v>
      </c>
      <c r="C156" s="10" t="s">
        <v>1579</v>
      </c>
      <c r="D156" s="11">
        <v>45209</v>
      </c>
      <c r="E156" s="12">
        <v>144900</v>
      </c>
      <c r="F156" s="10" t="s">
        <v>32</v>
      </c>
      <c r="G156" s="10" t="s">
        <v>33</v>
      </c>
      <c r="H156" s="12">
        <v>144900</v>
      </c>
      <c r="I156" s="12">
        <v>49600</v>
      </c>
      <c r="J156" s="13">
        <f t="shared" si="14"/>
        <v>34.230503795721184</v>
      </c>
      <c r="K156" s="12">
        <v>123393</v>
      </c>
      <c r="L156" s="12">
        <f>H156-112553</f>
        <v>32347</v>
      </c>
      <c r="M156" s="12">
        <v>10840</v>
      </c>
      <c r="N156" s="66">
        <f t="shared" si="15"/>
        <v>7.4810213940648726E-2</v>
      </c>
      <c r="O156" s="14">
        <v>41.21</v>
      </c>
      <c r="P156" s="15">
        <v>181</v>
      </c>
      <c r="Q156" s="16">
        <v>0.17899999999999999</v>
      </c>
      <c r="R156" s="16">
        <v>0.17899999999999999</v>
      </c>
      <c r="S156" s="12">
        <f t="shared" si="16"/>
        <v>784.93084202863383</v>
      </c>
      <c r="T156" s="12">
        <f t="shared" si="17"/>
        <v>180709.49720670391</v>
      </c>
      <c r="U156" s="17">
        <f t="shared" si="18"/>
        <v>4.1485192196213019</v>
      </c>
      <c r="V156" s="16">
        <v>43</v>
      </c>
      <c r="W156" s="16">
        <f t="shared" si="19"/>
        <v>28980</v>
      </c>
      <c r="X156" s="16">
        <f t="shared" si="20"/>
        <v>673.95348837209303</v>
      </c>
      <c r="Y156" s="18" t="s">
        <v>1576</v>
      </c>
      <c r="Z156" s="10" t="s">
        <v>35</v>
      </c>
      <c r="AA156" s="10" t="s">
        <v>35</v>
      </c>
      <c r="AB156" s="10" t="s">
        <v>1577</v>
      </c>
      <c r="AC156" s="10">
        <v>0</v>
      </c>
      <c r="AD156" s="10">
        <v>1</v>
      </c>
      <c r="AE156" s="10" t="s">
        <v>37</v>
      </c>
      <c r="AF156" s="10" t="s">
        <v>43</v>
      </c>
      <c r="AG156" s="10" t="s">
        <v>38</v>
      </c>
      <c r="AH156" s="10" t="s">
        <v>92</v>
      </c>
    </row>
    <row r="157" spans="1:34" x14ac:dyDescent="0.3">
      <c r="A157" s="75" t="s">
        <v>2419</v>
      </c>
      <c r="B157" s="19" t="s">
        <v>2420</v>
      </c>
      <c r="C157" s="19" t="s">
        <v>2421</v>
      </c>
      <c r="D157" s="20">
        <v>45086</v>
      </c>
      <c r="E157" s="21">
        <v>515000</v>
      </c>
      <c r="F157" s="19" t="s">
        <v>32</v>
      </c>
      <c r="G157" s="19" t="s">
        <v>33</v>
      </c>
      <c r="H157" s="21">
        <v>515000</v>
      </c>
      <c r="I157" s="21">
        <v>178700</v>
      </c>
      <c r="J157" s="22">
        <f t="shared" si="14"/>
        <v>34.699029126213595</v>
      </c>
      <c r="K157" s="21">
        <v>480803</v>
      </c>
      <c r="L157" s="21">
        <f>H157-436503</f>
        <v>78497</v>
      </c>
      <c r="M157" s="21">
        <v>44300</v>
      </c>
      <c r="N157" s="67">
        <f t="shared" si="15"/>
        <v>8.6019417475728152E-2</v>
      </c>
      <c r="O157" s="23">
        <v>100</v>
      </c>
      <c r="P157" s="24">
        <v>199.55</v>
      </c>
      <c r="Q157" s="25">
        <v>0.45800000000000002</v>
      </c>
      <c r="R157" s="25">
        <v>0.45800000000000002</v>
      </c>
      <c r="S157" s="21">
        <f t="shared" si="16"/>
        <v>784.97</v>
      </c>
      <c r="T157" s="21">
        <f t="shared" si="17"/>
        <v>171390.82969432313</v>
      </c>
      <c r="U157" s="26">
        <f t="shared" si="18"/>
        <v>3.9345920499155906</v>
      </c>
      <c r="V157" s="25">
        <v>100</v>
      </c>
      <c r="W157" s="25">
        <f t="shared" si="19"/>
        <v>103000</v>
      </c>
      <c r="X157" s="25">
        <f t="shared" si="20"/>
        <v>1030</v>
      </c>
      <c r="Y157" s="27" t="s">
        <v>2418</v>
      </c>
      <c r="Z157" s="19" t="s">
        <v>35</v>
      </c>
      <c r="AA157" s="19" t="s">
        <v>35</v>
      </c>
      <c r="AB157" s="19" t="s">
        <v>2419</v>
      </c>
      <c r="AC157" s="19">
        <v>0</v>
      </c>
      <c r="AD157" s="19">
        <v>1</v>
      </c>
      <c r="AE157" s="19" t="s">
        <v>37</v>
      </c>
      <c r="AF157" s="19" t="s">
        <v>43</v>
      </c>
      <c r="AG157" s="19" t="s">
        <v>38</v>
      </c>
      <c r="AH157" s="19" t="s">
        <v>92</v>
      </c>
    </row>
    <row r="158" spans="1:34" x14ac:dyDescent="0.3">
      <c r="A158" s="75" t="s">
        <v>2419</v>
      </c>
      <c r="B158" s="19" t="s">
        <v>2416</v>
      </c>
      <c r="C158" s="19" t="s">
        <v>2417</v>
      </c>
      <c r="D158" s="20">
        <v>45568</v>
      </c>
      <c r="E158" s="21">
        <v>75000</v>
      </c>
      <c r="F158" s="19" t="s">
        <v>32</v>
      </c>
      <c r="G158" s="19" t="s">
        <v>33</v>
      </c>
      <c r="H158" s="21">
        <v>75000</v>
      </c>
      <c r="I158" s="21">
        <v>18300</v>
      </c>
      <c r="J158" s="22">
        <f t="shared" si="14"/>
        <v>24.4</v>
      </c>
      <c r="K158" s="21">
        <v>42085</v>
      </c>
      <c r="L158" s="21">
        <f>H158-0</f>
        <v>75000</v>
      </c>
      <c r="M158" s="21">
        <v>42085</v>
      </c>
      <c r="N158" s="67">
        <f t="shared" si="15"/>
        <v>0.56113333333333337</v>
      </c>
      <c r="O158" s="23">
        <v>95</v>
      </c>
      <c r="P158" s="24">
        <v>179.82</v>
      </c>
      <c r="Q158" s="25">
        <v>0.39200000000000002</v>
      </c>
      <c r="R158" s="25">
        <v>0.39200000000000002</v>
      </c>
      <c r="S158" s="21">
        <f t="shared" si="16"/>
        <v>789.47368421052636</v>
      </c>
      <c r="T158" s="21">
        <f t="shared" si="17"/>
        <v>191326.53061224488</v>
      </c>
      <c r="U158" s="26">
        <f t="shared" si="18"/>
        <v>4.392252768876145</v>
      </c>
      <c r="V158" s="25">
        <v>95</v>
      </c>
      <c r="W158" s="25">
        <f t="shared" si="19"/>
        <v>15000</v>
      </c>
      <c r="X158" s="25">
        <f t="shared" si="20"/>
        <v>157.89473684210526</v>
      </c>
      <c r="Y158" s="27" t="s">
        <v>2418</v>
      </c>
      <c r="Z158" s="19" t="s">
        <v>35</v>
      </c>
      <c r="AA158" s="19" t="s">
        <v>35</v>
      </c>
      <c r="AB158" s="19" t="s">
        <v>2419</v>
      </c>
      <c r="AC158" s="19">
        <v>0</v>
      </c>
      <c r="AD158" s="19">
        <v>1</v>
      </c>
      <c r="AE158" s="19" t="s">
        <v>37</v>
      </c>
      <c r="AF158" s="19" t="s">
        <v>43</v>
      </c>
      <c r="AG158" s="19" t="s">
        <v>61</v>
      </c>
      <c r="AH158" s="19" t="s">
        <v>92</v>
      </c>
    </row>
    <row r="159" spans="1:34" x14ac:dyDescent="0.3">
      <c r="A159" s="74" t="s">
        <v>1194</v>
      </c>
      <c r="B159" s="10" t="s">
        <v>1523</v>
      </c>
      <c r="C159" s="10" t="s">
        <v>1524</v>
      </c>
      <c r="D159" s="11">
        <v>45604</v>
      </c>
      <c r="E159" s="12">
        <v>225000</v>
      </c>
      <c r="F159" s="10" t="s">
        <v>32</v>
      </c>
      <c r="G159" s="10" t="s">
        <v>33</v>
      </c>
      <c r="H159" s="12">
        <v>225000</v>
      </c>
      <c r="I159" s="12">
        <v>78700</v>
      </c>
      <c r="J159" s="13">
        <f t="shared" si="14"/>
        <v>34.977777777777781</v>
      </c>
      <c r="K159" s="12">
        <v>189134</v>
      </c>
      <c r="L159" s="12">
        <f>H159-178572</f>
        <v>46428</v>
      </c>
      <c r="M159" s="12">
        <v>10562</v>
      </c>
      <c r="N159" s="66">
        <f t="shared" si="15"/>
        <v>4.6942222222222225E-2</v>
      </c>
      <c r="O159" s="14">
        <v>58.67</v>
      </c>
      <c r="P159" s="15">
        <v>191.28</v>
      </c>
      <c r="Q159" s="16">
        <v>0.26300000000000001</v>
      </c>
      <c r="R159" s="16">
        <v>0.26300000000000001</v>
      </c>
      <c r="S159" s="12">
        <f t="shared" si="16"/>
        <v>791.34140105675806</v>
      </c>
      <c r="T159" s="12">
        <f t="shared" si="17"/>
        <v>176532.31939163498</v>
      </c>
      <c r="U159" s="17">
        <f t="shared" si="18"/>
        <v>4.0526244121128325</v>
      </c>
      <c r="V159" s="16">
        <v>60</v>
      </c>
      <c r="W159" s="16">
        <f t="shared" si="19"/>
        <v>45000</v>
      </c>
      <c r="X159" s="16">
        <f t="shared" si="20"/>
        <v>750</v>
      </c>
      <c r="Y159" s="18" t="s">
        <v>1193</v>
      </c>
      <c r="Z159" s="10" t="s">
        <v>35</v>
      </c>
      <c r="AA159" s="10" t="s">
        <v>35</v>
      </c>
      <c r="AB159" s="10" t="s">
        <v>1194</v>
      </c>
      <c r="AC159" s="10">
        <v>0</v>
      </c>
      <c r="AD159" s="10">
        <v>1</v>
      </c>
      <c r="AE159" s="10" t="s">
        <v>37</v>
      </c>
      <c r="AF159" s="10" t="s">
        <v>35</v>
      </c>
      <c r="AG159" s="10" t="s">
        <v>38</v>
      </c>
      <c r="AH159" s="10" t="s">
        <v>92</v>
      </c>
    </row>
    <row r="160" spans="1:34" x14ac:dyDescent="0.3">
      <c r="A160" s="74" t="s">
        <v>1096</v>
      </c>
      <c r="B160" s="10" t="s">
        <v>1100</v>
      </c>
      <c r="C160" s="10" t="s">
        <v>1101</v>
      </c>
      <c r="D160" s="11">
        <v>45540</v>
      </c>
      <c r="E160" s="12">
        <v>200000</v>
      </c>
      <c r="F160" s="10" t="s">
        <v>32</v>
      </c>
      <c r="G160" s="10" t="s">
        <v>66</v>
      </c>
      <c r="H160" s="12">
        <v>200000</v>
      </c>
      <c r="I160" s="12">
        <v>72100</v>
      </c>
      <c r="J160" s="13">
        <f t="shared" si="14"/>
        <v>36.049999999999997</v>
      </c>
      <c r="K160" s="12">
        <v>152580</v>
      </c>
      <c r="L160" s="12">
        <f>H160-132680</f>
        <v>67320</v>
      </c>
      <c r="M160" s="12">
        <v>19900</v>
      </c>
      <c r="N160" s="66">
        <f t="shared" si="15"/>
        <v>9.9500000000000005E-2</v>
      </c>
      <c r="O160" s="14">
        <v>83.26</v>
      </c>
      <c r="P160" s="15">
        <v>260</v>
      </c>
      <c r="Q160" s="16">
        <v>0.23799999999999999</v>
      </c>
      <c r="R160" s="16">
        <v>0.11899999999999999</v>
      </c>
      <c r="S160" s="12">
        <f t="shared" si="16"/>
        <v>808.55152534230115</v>
      </c>
      <c r="T160" s="12">
        <f t="shared" si="17"/>
        <v>282857.1428571429</v>
      </c>
      <c r="U160" s="17">
        <f t="shared" si="18"/>
        <v>6.4935064935064943</v>
      </c>
      <c r="V160" s="16">
        <v>80</v>
      </c>
      <c r="W160" s="16">
        <f t="shared" si="19"/>
        <v>40000</v>
      </c>
      <c r="X160" s="16">
        <f t="shared" si="20"/>
        <v>500</v>
      </c>
      <c r="Y160" s="18" t="s">
        <v>1095</v>
      </c>
      <c r="Z160" s="10" t="s">
        <v>35</v>
      </c>
      <c r="AA160" s="10" t="s">
        <v>1102</v>
      </c>
      <c r="AB160" s="10" t="s">
        <v>1096</v>
      </c>
      <c r="AC160" s="10">
        <v>0</v>
      </c>
      <c r="AD160" s="10">
        <v>1</v>
      </c>
      <c r="AE160" s="10" t="s">
        <v>205</v>
      </c>
      <c r="AF160" s="10" t="s">
        <v>43</v>
      </c>
      <c r="AG160" s="10" t="s">
        <v>38</v>
      </c>
      <c r="AH160" s="10" t="s">
        <v>92</v>
      </c>
    </row>
    <row r="161" spans="1:34" x14ac:dyDescent="0.3">
      <c r="A161" s="74" t="s">
        <v>1563</v>
      </c>
      <c r="B161" s="10" t="s">
        <v>1566</v>
      </c>
      <c r="C161" s="10" t="s">
        <v>1567</v>
      </c>
      <c r="D161" s="11">
        <v>45510</v>
      </c>
      <c r="E161" s="12">
        <v>130500</v>
      </c>
      <c r="F161" s="10" t="s">
        <v>32</v>
      </c>
      <c r="G161" s="10" t="s">
        <v>33</v>
      </c>
      <c r="H161" s="12">
        <v>130500</v>
      </c>
      <c r="I161" s="12">
        <v>43500</v>
      </c>
      <c r="J161" s="13">
        <f t="shared" si="14"/>
        <v>33.333333333333329</v>
      </c>
      <c r="K161" s="12">
        <v>97720</v>
      </c>
      <c r="L161" s="12">
        <f>H161-90020</f>
        <v>40480</v>
      </c>
      <c r="M161" s="12">
        <v>7700</v>
      </c>
      <c r="N161" s="66">
        <f t="shared" si="15"/>
        <v>5.9003831417624518E-2</v>
      </c>
      <c r="O161" s="14">
        <v>50</v>
      </c>
      <c r="P161" s="15">
        <v>200</v>
      </c>
      <c r="Q161" s="16">
        <v>0.23</v>
      </c>
      <c r="R161" s="16">
        <v>0.23</v>
      </c>
      <c r="S161" s="12">
        <f t="shared" si="16"/>
        <v>809.6</v>
      </c>
      <c r="T161" s="12">
        <f t="shared" si="17"/>
        <v>176000</v>
      </c>
      <c r="U161" s="17">
        <f t="shared" si="18"/>
        <v>4.0404040404040407</v>
      </c>
      <c r="V161" s="16">
        <v>50</v>
      </c>
      <c r="W161" s="16">
        <f t="shared" si="19"/>
        <v>26100</v>
      </c>
      <c r="X161" s="16">
        <f t="shared" si="20"/>
        <v>522</v>
      </c>
      <c r="Y161" s="18" t="s">
        <v>1562</v>
      </c>
      <c r="Z161" s="10" t="s">
        <v>35</v>
      </c>
      <c r="AA161" s="10" t="s">
        <v>35</v>
      </c>
      <c r="AB161" s="10" t="s">
        <v>1563</v>
      </c>
      <c r="AC161" s="10">
        <v>0</v>
      </c>
      <c r="AD161" s="10">
        <v>0</v>
      </c>
      <c r="AE161" s="10" t="s">
        <v>42</v>
      </c>
      <c r="AF161" s="10" t="s">
        <v>43</v>
      </c>
      <c r="AG161" s="10" t="s">
        <v>38</v>
      </c>
      <c r="AH161" s="10" t="s">
        <v>92</v>
      </c>
    </row>
    <row r="162" spans="1:34" x14ac:dyDescent="0.3">
      <c r="A162" s="74" t="s">
        <v>2419</v>
      </c>
      <c r="B162" s="10" t="s">
        <v>2422</v>
      </c>
      <c r="C162" s="10" t="s">
        <v>2423</v>
      </c>
      <c r="D162" s="11">
        <v>45169</v>
      </c>
      <c r="E162" s="12">
        <v>520000</v>
      </c>
      <c r="F162" s="10" t="s">
        <v>32</v>
      </c>
      <c r="G162" s="10" t="s">
        <v>33</v>
      </c>
      <c r="H162" s="12">
        <v>520000</v>
      </c>
      <c r="I162" s="12">
        <v>177400</v>
      </c>
      <c r="J162" s="13">
        <f t="shared" si="14"/>
        <v>34.115384615384613</v>
      </c>
      <c r="K162" s="12">
        <v>477215</v>
      </c>
      <c r="L162" s="12">
        <f>H162-434687</f>
        <v>85313</v>
      </c>
      <c r="M162" s="12">
        <v>42528</v>
      </c>
      <c r="N162" s="66">
        <f t="shared" si="15"/>
        <v>8.1784615384615386E-2</v>
      </c>
      <c r="O162" s="14">
        <v>96</v>
      </c>
      <c r="P162" s="15">
        <v>164.5</v>
      </c>
      <c r="Q162" s="16">
        <v>0.36299999999999999</v>
      </c>
      <c r="R162" s="16">
        <v>0.36299999999999999</v>
      </c>
      <c r="S162" s="12">
        <f t="shared" si="16"/>
        <v>888.67708333333337</v>
      </c>
      <c r="T162" s="12">
        <f t="shared" si="17"/>
        <v>235022.03856749312</v>
      </c>
      <c r="U162" s="17">
        <f t="shared" si="18"/>
        <v>5.3953636034778034</v>
      </c>
      <c r="V162" s="16">
        <v>96</v>
      </c>
      <c r="W162" s="16">
        <f t="shared" si="19"/>
        <v>104000</v>
      </c>
      <c r="X162" s="16">
        <f t="shared" si="20"/>
        <v>1083.3333333333333</v>
      </c>
      <c r="Y162" s="18" t="s">
        <v>2418</v>
      </c>
      <c r="Z162" s="10" t="s">
        <v>35</v>
      </c>
      <c r="AA162" s="10" t="s">
        <v>35</v>
      </c>
      <c r="AB162" s="10" t="s">
        <v>2419</v>
      </c>
      <c r="AC162" s="10">
        <v>0</v>
      </c>
      <c r="AD162" s="10">
        <v>1</v>
      </c>
      <c r="AE162" s="10" t="s">
        <v>37</v>
      </c>
      <c r="AF162" s="10" t="s">
        <v>43</v>
      </c>
      <c r="AG162" s="10" t="s">
        <v>38</v>
      </c>
      <c r="AH162" s="10" t="s">
        <v>92</v>
      </c>
    </row>
    <row r="163" spans="1:34" x14ac:dyDescent="0.3">
      <c r="A163" s="75" t="s">
        <v>2466</v>
      </c>
      <c r="B163" s="19" t="s">
        <v>2463</v>
      </c>
      <c r="C163" s="19" t="s">
        <v>2464</v>
      </c>
      <c r="D163" s="20">
        <v>45583</v>
      </c>
      <c r="E163" s="21">
        <v>242000</v>
      </c>
      <c r="F163" s="19" t="s">
        <v>32</v>
      </c>
      <c r="G163" s="19" t="s">
        <v>33</v>
      </c>
      <c r="H163" s="21">
        <v>242000</v>
      </c>
      <c r="I163" s="21">
        <v>98800</v>
      </c>
      <c r="J163" s="22">
        <f t="shared" si="14"/>
        <v>40.826446280991732</v>
      </c>
      <c r="K163" s="21">
        <v>199909</v>
      </c>
      <c r="L163" s="21">
        <f>H163-178547</f>
        <v>63453</v>
      </c>
      <c r="M163" s="21">
        <v>21362</v>
      </c>
      <c r="N163" s="67">
        <f t="shared" si="15"/>
        <v>8.8272727272727267E-2</v>
      </c>
      <c r="O163" s="23">
        <v>71.2</v>
      </c>
      <c r="P163" s="24">
        <v>168.71</v>
      </c>
      <c r="Q163" s="25">
        <v>0.23300000000000001</v>
      </c>
      <c r="R163" s="25">
        <v>0.23300000000000001</v>
      </c>
      <c r="S163" s="21">
        <f t="shared" si="16"/>
        <v>891.19382022471905</v>
      </c>
      <c r="T163" s="21">
        <f t="shared" si="17"/>
        <v>272330.47210300429</v>
      </c>
      <c r="U163" s="26">
        <f t="shared" si="18"/>
        <v>6.2518473852847629</v>
      </c>
      <c r="V163" s="25">
        <v>60.08</v>
      </c>
      <c r="W163" s="25">
        <f t="shared" si="19"/>
        <v>48400</v>
      </c>
      <c r="X163" s="25">
        <f t="shared" si="20"/>
        <v>805.59254327563247</v>
      </c>
      <c r="Y163" s="27" t="s">
        <v>2465</v>
      </c>
      <c r="Z163" s="19" t="s">
        <v>35</v>
      </c>
      <c r="AA163" s="19" t="s">
        <v>35</v>
      </c>
      <c r="AB163" s="19" t="s">
        <v>2466</v>
      </c>
      <c r="AC163" s="19">
        <v>0</v>
      </c>
      <c r="AD163" s="19">
        <v>1</v>
      </c>
      <c r="AE163" s="19" t="s">
        <v>37</v>
      </c>
      <c r="AF163" s="19" t="s">
        <v>35</v>
      </c>
      <c r="AG163" s="19" t="s">
        <v>38</v>
      </c>
      <c r="AH163" s="19" t="s">
        <v>92</v>
      </c>
    </row>
    <row r="164" spans="1:34" x14ac:dyDescent="0.3">
      <c r="A164" s="74" t="s">
        <v>607</v>
      </c>
      <c r="B164" s="10" t="s">
        <v>604</v>
      </c>
      <c r="C164" s="10" t="s">
        <v>605</v>
      </c>
      <c r="D164" s="11">
        <v>45589</v>
      </c>
      <c r="E164" s="12">
        <v>179000</v>
      </c>
      <c r="F164" s="10" t="s">
        <v>32</v>
      </c>
      <c r="G164" s="10" t="s">
        <v>33</v>
      </c>
      <c r="H164" s="12">
        <v>179000</v>
      </c>
      <c r="I164" s="12">
        <v>55600</v>
      </c>
      <c r="J164" s="13">
        <f t="shared" si="14"/>
        <v>31.061452513966479</v>
      </c>
      <c r="K164" s="12">
        <v>127174</v>
      </c>
      <c r="L164" s="12">
        <f>H164-112572</f>
        <v>66428</v>
      </c>
      <c r="M164" s="12">
        <v>14602</v>
      </c>
      <c r="N164" s="66">
        <f t="shared" si="15"/>
        <v>8.1575418994413409E-2</v>
      </c>
      <c r="O164" s="14">
        <v>74.5</v>
      </c>
      <c r="P164" s="15">
        <v>261</v>
      </c>
      <c r="Q164" s="16">
        <v>0.44600000000000001</v>
      </c>
      <c r="R164" s="16">
        <v>0.44600000000000001</v>
      </c>
      <c r="S164" s="12">
        <f t="shared" si="16"/>
        <v>891.65100671140942</v>
      </c>
      <c r="T164" s="12">
        <f t="shared" si="17"/>
        <v>148941.70403587443</v>
      </c>
      <c r="U164" s="17">
        <f t="shared" si="18"/>
        <v>3.4192310384727831</v>
      </c>
      <c r="V164" s="16">
        <v>74.5</v>
      </c>
      <c r="W164" s="16">
        <f t="shared" si="19"/>
        <v>35800</v>
      </c>
      <c r="X164" s="16">
        <f t="shared" si="20"/>
        <v>480.53691275167785</v>
      </c>
      <c r="Y164" s="18" t="s">
        <v>606</v>
      </c>
      <c r="Z164" s="10" t="s">
        <v>35</v>
      </c>
      <c r="AA164" s="10" t="s">
        <v>35</v>
      </c>
      <c r="AB164" s="10" t="s">
        <v>607</v>
      </c>
      <c r="AC164" s="10">
        <v>0</v>
      </c>
      <c r="AD164" s="10">
        <v>1</v>
      </c>
      <c r="AE164" s="10" t="s">
        <v>42</v>
      </c>
      <c r="AF164" s="10" t="s">
        <v>35</v>
      </c>
      <c r="AG164" s="10" t="s">
        <v>38</v>
      </c>
      <c r="AH164" s="10" t="s">
        <v>92</v>
      </c>
    </row>
    <row r="165" spans="1:34" x14ac:dyDescent="0.3">
      <c r="A165" s="75" t="s">
        <v>966</v>
      </c>
      <c r="B165" s="19" t="s">
        <v>963</v>
      </c>
      <c r="C165" s="19" t="s">
        <v>964</v>
      </c>
      <c r="D165" s="20">
        <v>45184</v>
      </c>
      <c r="E165" s="21">
        <v>305000</v>
      </c>
      <c r="F165" s="19" t="s">
        <v>32</v>
      </c>
      <c r="G165" s="19" t="s">
        <v>33</v>
      </c>
      <c r="H165" s="21">
        <v>305000</v>
      </c>
      <c r="I165" s="21">
        <v>111600</v>
      </c>
      <c r="J165" s="22">
        <f t="shared" si="14"/>
        <v>36.590163934426229</v>
      </c>
      <c r="K165" s="21">
        <v>248533</v>
      </c>
      <c r="L165" s="21">
        <f>H165-228754</f>
        <v>76246</v>
      </c>
      <c r="M165" s="21">
        <v>19779</v>
      </c>
      <c r="N165" s="67">
        <f t="shared" si="15"/>
        <v>6.4849180327868849E-2</v>
      </c>
      <c r="O165" s="23">
        <v>81.73</v>
      </c>
      <c r="P165" s="24">
        <v>298.04000000000002</v>
      </c>
      <c r="Q165" s="25">
        <v>0.56100000000000005</v>
      </c>
      <c r="R165" s="25">
        <v>0.56100000000000005</v>
      </c>
      <c r="S165" s="21">
        <f t="shared" si="16"/>
        <v>932.90101553896977</v>
      </c>
      <c r="T165" s="21">
        <f t="shared" si="17"/>
        <v>135910.87344028518</v>
      </c>
      <c r="U165" s="26">
        <f t="shared" si="18"/>
        <v>3.1200843305850592</v>
      </c>
      <c r="V165" s="25">
        <v>82</v>
      </c>
      <c r="W165" s="25">
        <f t="shared" si="19"/>
        <v>61000</v>
      </c>
      <c r="X165" s="25">
        <f t="shared" si="20"/>
        <v>743.90243902439022</v>
      </c>
      <c r="Y165" s="27" t="s">
        <v>965</v>
      </c>
      <c r="Z165" s="19" t="s">
        <v>35</v>
      </c>
      <c r="AA165" s="19" t="s">
        <v>35</v>
      </c>
      <c r="AB165" s="19" t="s">
        <v>966</v>
      </c>
      <c r="AC165" s="19">
        <v>0</v>
      </c>
      <c r="AD165" s="19">
        <v>1</v>
      </c>
      <c r="AE165" s="19" t="s">
        <v>42</v>
      </c>
      <c r="AF165" s="19" t="s">
        <v>43</v>
      </c>
      <c r="AG165" s="19" t="s">
        <v>38</v>
      </c>
      <c r="AH165" s="19" t="s">
        <v>92</v>
      </c>
    </row>
    <row r="166" spans="1:34" x14ac:dyDescent="0.3">
      <c r="A166" s="74" t="s">
        <v>2419</v>
      </c>
      <c r="B166" s="10" t="s">
        <v>2424</v>
      </c>
      <c r="C166" s="10" t="s">
        <v>2425</v>
      </c>
      <c r="D166" s="11">
        <v>45413</v>
      </c>
      <c r="E166" s="12">
        <v>505000</v>
      </c>
      <c r="F166" s="10" t="s">
        <v>32</v>
      </c>
      <c r="G166" s="10" t="s">
        <v>33</v>
      </c>
      <c r="H166" s="12">
        <v>505000</v>
      </c>
      <c r="I166" s="12">
        <v>195600</v>
      </c>
      <c r="J166" s="13">
        <f t="shared" si="14"/>
        <v>38.732673267326732</v>
      </c>
      <c r="K166" s="12">
        <v>457532</v>
      </c>
      <c r="L166" s="12">
        <f>H166-415004</f>
        <v>89996</v>
      </c>
      <c r="M166" s="12">
        <v>42528</v>
      </c>
      <c r="N166" s="66">
        <f t="shared" si="15"/>
        <v>8.4213861386138608E-2</v>
      </c>
      <c r="O166" s="14">
        <v>96</v>
      </c>
      <c r="P166" s="15">
        <v>171</v>
      </c>
      <c r="Q166" s="16">
        <v>0.377</v>
      </c>
      <c r="R166" s="16">
        <v>0.377</v>
      </c>
      <c r="S166" s="12">
        <f t="shared" si="16"/>
        <v>937.45833333333337</v>
      </c>
      <c r="T166" s="12">
        <f t="shared" si="17"/>
        <v>238716.18037135279</v>
      </c>
      <c r="U166" s="17">
        <f t="shared" si="18"/>
        <v>5.4801694300126904</v>
      </c>
      <c r="V166" s="16">
        <v>96</v>
      </c>
      <c r="W166" s="16">
        <f t="shared" si="19"/>
        <v>101000</v>
      </c>
      <c r="X166" s="16">
        <f t="shared" si="20"/>
        <v>1052.0833333333333</v>
      </c>
      <c r="Y166" s="18" t="s">
        <v>2418</v>
      </c>
      <c r="Z166" s="10" t="s">
        <v>35</v>
      </c>
      <c r="AA166" s="10" t="s">
        <v>35</v>
      </c>
      <c r="AB166" s="10" t="s">
        <v>2419</v>
      </c>
      <c r="AC166" s="10">
        <v>0</v>
      </c>
      <c r="AD166" s="10">
        <v>1</v>
      </c>
      <c r="AE166" s="10" t="s">
        <v>37</v>
      </c>
      <c r="AF166" s="10" t="s">
        <v>43</v>
      </c>
      <c r="AG166" s="10" t="s">
        <v>38</v>
      </c>
      <c r="AH166" s="10" t="s">
        <v>92</v>
      </c>
    </row>
    <row r="167" spans="1:34" x14ac:dyDescent="0.3">
      <c r="A167" s="75" t="s">
        <v>2229</v>
      </c>
      <c r="B167" s="19" t="s">
        <v>2236</v>
      </c>
      <c r="C167" s="19" t="s">
        <v>2237</v>
      </c>
      <c r="D167" s="20">
        <v>45154</v>
      </c>
      <c r="E167" s="21">
        <v>185000</v>
      </c>
      <c r="F167" s="19" t="s">
        <v>32</v>
      </c>
      <c r="G167" s="19" t="s">
        <v>33</v>
      </c>
      <c r="H167" s="21">
        <v>185000</v>
      </c>
      <c r="I167" s="21">
        <v>54300</v>
      </c>
      <c r="J167" s="22">
        <f t="shared" si="14"/>
        <v>29.351351351351351</v>
      </c>
      <c r="K167" s="21">
        <v>138192</v>
      </c>
      <c r="L167" s="21">
        <f>H167-124690</f>
        <v>60310</v>
      </c>
      <c r="M167" s="21">
        <v>13502</v>
      </c>
      <c r="N167" s="67">
        <f t="shared" si="15"/>
        <v>7.2983783783783784E-2</v>
      </c>
      <c r="O167" s="23">
        <v>62.79</v>
      </c>
      <c r="P167" s="24">
        <v>279.45</v>
      </c>
      <c r="Q167" s="25">
        <v>0.26900000000000002</v>
      </c>
      <c r="R167" s="25">
        <v>0.26900000000000002</v>
      </c>
      <c r="S167" s="21">
        <f t="shared" si="16"/>
        <v>960.50326485109099</v>
      </c>
      <c r="T167" s="21">
        <f t="shared" si="17"/>
        <v>224200.74349442378</v>
      </c>
      <c r="U167" s="26">
        <f t="shared" si="18"/>
        <v>5.1469408515707942</v>
      </c>
      <c r="V167" s="25">
        <v>42</v>
      </c>
      <c r="W167" s="25">
        <f t="shared" si="19"/>
        <v>37000</v>
      </c>
      <c r="X167" s="25">
        <f t="shared" si="20"/>
        <v>880.95238095238096</v>
      </c>
      <c r="Y167" s="27" t="s">
        <v>2227</v>
      </c>
      <c r="Z167" s="19" t="s">
        <v>35</v>
      </c>
      <c r="AA167" s="19" t="s">
        <v>35</v>
      </c>
      <c r="AB167" s="19" t="s">
        <v>2229</v>
      </c>
      <c r="AC167" s="19">
        <v>0</v>
      </c>
      <c r="AD167" s="19">
        <v>1</v>
      </c>
      <c r="AE167" s="19" t="s">
        <v>37</v>
      </c>
      <c r="AF167" s="19" t="s">
        <v>43</v>
      </c>
      <c r="AG167" s="19" t="s">
        <v>38</v>
      </c>
      <c r="AH167" s="19" t="s">
        <v>92</v>
      </c>
    </row>
    <row r="168" spans="1:34" x14ac:dyDescent="0.3">
      <c r="A168" s="75" t="s">
        <v>2664</v>
      </c>
      <c r="B168" s="19" t="s">
        <v>2780</v>
      </c>
      <c r="C168" s="19" t="s">
        <v>2781</v>
      </c>
      <c r="D168" s="20">
        <v>45401</v>
      </c>
      <c r="E168" s="21">
        <v>172000</v>
      </c>
      <c r="F168" s="19" t="s">
        <v>32</v>
      </c>
      <c r="G168" s="19" t="s">
        <v>33</v>
      </c>
      <c r="H168" s="21">
        <v>172000</v>
      </c>
      <c r="I168" s="21">
        <v>52100</v>
      </c>
      <c r="J168" s="22">
        <f t="shared" si="14"/>
        <v>30.290697674418603</v>
      </c>
      <c r="K168" s="21">
        <v>92869</v>
      </c>
      <c r="L168" s="21">
        <f>H168-72030</f>
        <v>99970</v>
      </c>
      <c r="M168" s="21">
        <v>20839</v>
      </c>
      <c r="N168" s="67">
        <f t="shared" si="15"/>
        <v>0.12115697674418605</v>
      </c>
      <c r="O168" s="23">
        <v>102.14</v>
      </c>
      <c r="P168" s="24">
        <v>403.5</v>
      </c>
      <c r="Q168" s="25">
        <v>0.91700000000000004</v>
      </c>
      <c r="R168" s="25">
        <v>0.91700000000000004</v>
      </c>
      <c r="S168" s="21">
        <f t="shared" si="16"/>
        <v>978.75465047973364</v>
      </c>
      <c r="T168" s="21">
        <f t="shared" si="17"/>
        <v>109018.5387131952</v>
      </c>
      <c r="U168" s="26">
        <f t="shared" si="18"/>
        <v>2.5027212744076035</v>
      </c>
      <c r="V168" s="25">
        <v>99</v>
      </c>
      <c r="W168" s="25">
        <f t="shared" si="19"/>
        <v>34400</v>
      </c>
      <c r="X168" s="25">
        <f t="shared" si="20"/>
        <v>347.47474747474746</v>
      </c>
      <c r="Y168" s="27" t="s">
        <v>2663</v>
      </c>
      <c r="Z168" s="19" t="s">
        <v>35</v>
      </c>
      <c r="AA168" s="19" t="s">
        <v>35</v>
      </c>
      <c r="AB168" s="19" t="s">
        <v>2664</v>
      </c>
      <c r="AC168" s="19">
        <v>0</v>
      </c>
      <c r="AD168" s="19">
        <v>1</v>
      </c>
      <c r="AE168" s="19" t="s">
        <v>412</v>
      </c>
      <c r="AF168" s="19" t="s">
        <v>43</v>
      </c>
      <c r="AG168" s="19" t="s">
        <v>38</v>
      </c>
      <c r="AH168" s="19" t="s">
        <v>1830</v>
      </c>
    </row>
    <row r="169" spans="1:34" x14ac:dyDescent="0.3">
      <c r="A169" s="74" t="s">
        <v>1324</v>
      </c>
      <c r="B169" s="10" t="s">
        <v>1335</v>
      </c>
      <c r="C169" s="10" t="s">
        <v>1336</v>
      </c>
      <c r="D169" s="11">
        <v>45457</v>
      </c>
      <c r="E169" s="12">
        <v>225000</v>
      </c>
      <c r="F169" s="10" t="s">
        <v>32</v>
      </c>
      <c r="G169" s="10" t="s">
        <v>33</v>
      </c>
      <c r="H169" s="12">
        <v>225000</v>
      </c>
      <c r="I169" s="12">
        <v>86600</v>
      </c>
      <c r="J169" s="13">
        <f t="shared" si="14"/>
        <v>38.488888888888887</v>
      </c>
      <c r="K169" s="12">
        <v>173870</v>
      </c>
      <c r="L169" s="12">
        <f>H169-161556</f>
        <v>63444</v>
      </c>
      <c r="M169" s="12">
        <v>12314</v>
      </c>
      <c r="N169" s="66">
        <f t="shared" si="15"/>
        <v>5.4728888888888889E-2</v>
      </c>
      <c r="O169" s="14">
        <v>64.13</v>
      </c>
      <c r="P169" s="15">
        <v>152.59</v>
      </c>
      <c r="Q169" s="16">
        <v>0.221</v>
      </c>
      <c r="R169" s="16">
        <v>0.221</v>
      </c>
      <c r="S169" s="12">
        <f t="shared" si="16"/>
        <v>989.30297832527685</v>
      </c>
      <c r="T169" s="12">
        <f t="shared" si="17"/>
        <v>287076.92307692306</v>
      </c>
      <c r="U169" s="17">
        <f t="shared" si="18"/>
        <v>6.5903793176520447</v>
      </c>
      <c r="V169" s="16">
        <v>48</v>
      </c>
      <c r="W169" s="16">
        <f t="shared" si="19"/>
        <v>45000</v>
      </c>
      <c r="X169" s="16">
        <f t="shared" si="20"/>
        <v>937.5</v>
      </c>
      <c r="Y169" s="18" t="s">
        <v>1323</v>
      </c>
      <c r="Z169" s="10" t="s">
        <v>35</v>
      </c>
      <c r="AA169" s="10" t="s">
        <v>35</v>
      </c>
      <c r="AB169" s="10" t="s">
        <v>1324</v>
      </c>
      <c r="AC169" s="10">
        <v>0</v>
      </c>
      <c r="AD169" s="10">
        <v>1</v>
      </c>
      <c r="AE169" s="10" t="s">
        <v>42</v>
      </c>
      <c r="AF169" s="10" t="s">
        <v>43</v>
      </c>
      <c r="AG169" s="10" t="s">
        <v>38</v>
      </c>
      <c r="AH169" s="10" t="s">
        <v>92</v>
      </c>
    </row>
    <row r="170" spans="1:34" x14ac:dyDescent="0.3">
      <c r="A170" s="74" t="s">
        <v>1555</v>
      </c>
      <c r="B170" s="10" t="s">
        <v>1754</v>
      </c>
      <c r="C170" s="10" t="s">
        <v>1755</v>
      </c>
      <c r="D170" s="11">
        <v>45744</v>
      </c>
      <c r="E170" s="12">
        <v>235000</v>
      </c>
      <c r="F170" s="10" t="s">
        <v>32</v>
      </c>
      <c r="G170" s="10" t="s">
        <v>33</v>
      </c>
      <c r="H170" s="12">
        <v>235000</v>
      </c>
      <c r="I170" s="12">
        <v>79000</v>
      </c>
      <c r="J170" s="13">
        <f t="shared" si="14"/>
        <v>33.617021276595743</v>
      </c>
      <c r="K170" s="12">
        <v>198038</v>
      </c>
      <c r="L170" s="12">
        <f>H170-189148</f>
        <v>45852</v>
      </c>
      <c r="M170" s="12">
        <v>8890</v>
      </c>
      <c r="N170" s="66">
        <f t="shared" si="15"/>
        <v>3.7829787234042553E-2</v>
      </c>
      <c r="O170" s="14">
        <v>45.58</v>
      </c>
      <c r="P170" s="15">
        <v>249.46</v>
      </c>
      <c r="Q170" s="16">
        <v>0.28599999999999998</v>
      </c>
      <c r="R170" s="16">
        <v>0.28599999999999998</v>
      </c>
      <c r="S170" s="12">
        <f t="shared" si="16"/>
        <v>1005.9675296182537</v>
      </c>
      <c r="T170" s="12">
        <f t="shared" si="17"/>
        <v>160321.67832167834</v>
      </c>
      <c r="U170" s="17">
        <f t="shared" si="18"/>
        <v>3.6804793003140115</v>
      </c>
      <c r="V170" s="16">
        <v>50</v>
      </c>
      <c r="W170" s="16">
        <f t="shared" si="19"/>
        <v>47000</v>
      </c>
      <c r="X170" s="16">
        <f t="shared" si="20"/>
        <v>940</v>
      </c>
      <c r="Y170" s="18" t="s">
        <v>1554</v>
      </c>
      <c r="Z170" s="10" t="s">
        <v>35</v>
      </c>
      <c r="AA170" s="10" t="s">
        <v>35</v>
      </c>
      <c r="AB170" s="10" t="s">
        <v>1555</v>
      </c>
      <c r="AC170" s="10">
        <v>0</v>
      </c>
      <c r="AD170" s="10">
        <v>1</v>
      </c>
      <c r="AE170" s="10" t="s">
        <v>37</v>
      </c>
      <c r="AF170" s="10" t="s">
        <v>35</v>
      </c>
      <c r="AG170" s="10" t="s">
        <v>38</v>
      </c>
      <c r="AH170" s="10" t="s">
        <v>92</v>
      </c>
    </row>
    <row r="171" spans="1:34" x14ac:dyDescent="0.3">
      <c r="A171" s="75" t="s">
        <v>2200</v>
      </c>
      <c r="B171" s="19" t="s">
        <v>2207</v>
      </c>
      <c r="C171" s="19" t="s">
        <v>2208</v>
      </c>
      <c r="D171" s="20">
        <v>45621</v>
      </c>
      <c r="E171" s="21">
        <v>215000</v>
      </c>
      <c r="F171" s="19" t="s">
        <v>32</v>
      </c>
      <c r="G171" s="19" t="s">
        <v>33</v>
      </c>
      <c r="H171" s="21">
        <v>215000</v>
      </c>
      <c r="I171" s="21">
        <v>72100</v>
      </c>
      <c r="J171" s="22">
        <f t="shared" si="14"/>
        <v>33.534883720930232</v>
      </c>
      <c r="K171" s="21">
        <v>158167</v>
      </c>
      <c r="L171" s="21">
        <f>H171-146903</f>
        <v>68097</v>
      </c>
      <c r="M171" s="21">
        <v>11264</v>
      </c>
      <c r="N171" s="67">
        <f t="shared" si="15"/>
        <v>5.2390697674418604E-2</v>
      </c>
      <c r="O171" s="23">
        <v>65.87</v>
      </c>
      <c r="P171" s="24">
        <v>298.83999999999997</v>
      </c>
      <c r="Q171" s="25">
        <v>0.45300000000000001</v>
      </c>
      <c r="R171" s="25">
        <v>0.45300000000000001</v>
      </c>
      <c r="S171" s="21">
        <f t="shared" si="16"/>
        <v>1033.8090177622589</v>
      </c>
      <c r="T171" s="21">
        <f t="shared" si="17"/>
        <v>150324.50331125828</v>
      </c>
      <c r="U171" s="26">
        <f t="shared" si="18"/>
        <v>3.4509757417644233</v>
      </c>
      <c r="V171" s="25">
        <v>66</v>
      </c>
      <c r="W171" s="25">
        <f t="shared" si="19"/>
        <v>43000</v>
      </c>
      <c r="X171" s="25">
        <f t="shared" si="20"/>
        <v>651.5151515151515</v>
      </c>
      <c r="Y171" s="27" t="s">
        <v>2199</v>
      </c>
      <c r="Z171" s="19" t="s">
        <v>35</v>
      </c>
      <c r="AA171" s="19" t="s">
        <v>35</v>
      </c>
      <c r="AB171" s="19" t="s">
        <v>2200</v>
      </c>
      <c r="AC171" s="19">
        <v>0</v>
      </c>
      <c r="AD171" s="19">
        <v>1</v>
      </c>
      <c r="AE171" s="19" t="s">
        <v>42</v>
      </c>
      <c r="AF171" s="19" t="s">
        <v>35</v>
      </c>
      <c r="AG171" s="19" t="s">
        <v>38</v>
      </c>
      <c r="AH171" s="19" t="s">
        <v>92</v>
      </c>
    </row>
    <row r="172" spans="1:34" x14ac:dyDescent="0.3">
      <c r="A172" s="74" t="s">
        <v>966</v>
      </c>
      <c r="B172" s="10" t="s">
        <v>967</v>
      </c>
      <c r="C172" s="10" t="s">
        <v>968</v>
      </c>
      <c r="D172" s="11">
        <v>45345</v>
      </c>
      <c r="E172" s="12">
        <v>300000</v>
      </c>
      <c r="F172" s="10" t="s">
        <v>32</v>
      </c>
      <c r="G172" s="10" t="s">
        <v>33</v>
      </c>
      <c r="H172" s="12">
        <v>300000</v>
      </c>
      <c r="I172" s="12">
        <v>102600</v>
      </c>
      <c r="J172" s="13">
        <f t="shared" si="14"/>
        <v>34.200000000000003</v>
      </c>
      <c r="K172" s="12">
        <v>227760</v>
      </c>
      <c r="L172" s="12">
        <f>H172-207493</f>
        <v>92507</v>
      </c>
      <c r="M172" s="12">
        <v>20267</v>
      </c>
      <c r="N172" s="66">
        <f t="shared" si="15"/>
        <v>6.7556666666666668E-2</v>
      </c>
      <c r="O172" s="14">
        <v>83.74</v>
      </c>
      <c r="P172" s="15">
        <v>298.12</v>
      </c>
      <c r="Q172" s="16">
        <v>0.57499999999999996</v>
      </c>
      <c r="R172" s="16">
        <v>0.57499999999999996</v>
      </c>
      <c r="S172" s="12">
        <f t="shared" si="16"/>
        <v>1104.6930976833055</v>
      </c>
      <c r="T172" s="12">
        <f t="shared" si="17"/>
        <v>160881.73913043478</v>
      </c>
      <c r="U172" s="17">
        <f t="shared" si="18"/>
        <v>3.6933365273286221</v>
      </c>
      <c r="V172" s="16">
        <v>84.01</v>
      </c>
      <c r="W172" s="16">
        <f t="shared" si="19"/>
        <v>60000</v>
      </c>
      <c r="X172" s="16">
        <f t="shared" si="20"/>
        <v>714.20069039400062</v>
      </c>
      <c r="Y172" s="18" t="s">
        <v>965</v>
      </c>
      <c r="Z172" s="10" t="s">
        <v>35</v>
      </c>
      <c r="AA172" s="10" t="s">
        <v>35</v>
      </c>
      <c r="AB172" s="10" t="s">
        <v>966</v>
      </c>
      <c r="AC172" s="10">
        <v>0</v>
      </c>
      <c r="AD172" s="10">
        <v>1</v>
      </c>
      <c r="AE172" s="10" t="s">
        <v>42</v>
      </c>
      <c r="AF172" s="10" t="s">
        <v>43</v>
      </c>
      <c r="AG172" s="10" t="s">
        <v>38</v>
      </c>
      <c r="AH172" s="10" t="s">
        <v>92</v>
      </c>
    </row>
    <row r="173" spans="1:34" x14ac:dyDescent="0.3">
      <c r="A173" s="75" t="s">
        <v>1773</v>
      </c>
      <c r="B173" s="19" t="s">
        <v>1939</v>
      </c>
      <c r="C173" s="19" t="s">
        <v>1940</v>
      </c>
      <c r="D173" s="20">
        <v>45148</v>
      </c>
      <c r="E173" s="21">
        <v>139900</v>
      </c>
      <c r="F173" s="19" t="s">
        <v>32</v>
      </c>
      <c r="G173" s="19" t="s">
        <v>33</v>
      </c>
      <c r="H173" s="21">
        <v>139900</v>
      </c>
      <c r="I173" s="21">
        <v>36200</v>
      </c>
      <c r="J173" s="22">
        <f t="shared" si="14"/>
        <v>25.875625446747673</v>
      </c>
      <c r="K173" s="21">
        <v>108312</v>
      </c>
      <c r="L173" s="21">
        <f>H173-96111</f>
        <v>43789</v>
      </c>
      <c r="M173" s="21">
        <v>12201</v>
      </c>
      <c r="N173" s="67">
        <f t="shared" si="15"/>
        <v>8.7212294496068626E-2</v>
      </c>
      <c r="O173" s="23">
        <v>39.229999999999997</v>
      </c>
      <c r="P173" s="24">
        <v>290</v>
      </c>
      <c r="Q173" s="25">
        <v>0.36599999999999999</v>
      </c>
      <c r="R173" s="25">
        <v>0.36599999999999999</v>
      </c>
      <c r="S173" s="21">
        <f t="shared" si="16"/>
        <v>1116.2120825898548</v>
      </c>
      <c r="T173" s="21">
        <f t="shared" si="17"/>
        <v>119642.07650273225</v>
      </c>
      <c r="U173" s="26">
        <f t="shared" si="18"/>
        <v>2.7466041437725495</v>
      </c>
      <c r="V173" s="25">
        <v>55</v>
      </c>
      <c r="W173" s="25">
        <f t="shared" si="19"/>
        <v>27980</v>
      </c>
      <c r="X173" s="25">
        <f t="shared" si="20"/>
        <v>508.72727272727275</v>
      </c>
      <c r="Y173" s="27" t="s">
        <v>1941</v>
      </c>
      <c r="Z173" s="19" t="s">
        <v>35</v>
      </c>
      <c r="AA173" s="19" t="s">
        <v>35</v>
      </c>
      <c r="AB173" s="19" t="s">
        <v>1773</v>
      </c>
      <c r="AC173" s="19">
        <v>0</v>
      </c>
      <c r="AD173" s="19">
        <v>1</v>
      </c>
      <c r="AE173" s="19" t="s">
        <v>205</v>
      </c>
      <c r="AF173" s="19" t="s">
        <v>43</v>
      </c>
      <c r="AG173" s="19" t="s">
        <v>38</v>
      </c>
      <c r="AH173" s="19" t="s">
        <v>92</v>
      </c>
    </row>
    <row r="174" spans="1:34" x14ac:dyDescent="0.3">
      <c r="A174" s="75" t="s">
        <v>1776</v>
      </c>
      <c r="B174" s="19" t="s">
        <v>1785</v>
      </c>
      <c r="C174" s="19" t="s">
        <v>1786</v>
      </c>
      <c r="D174" s="20">
        <v>45513</v>
      </c>
      <c r="E174" s="21">
        <v>295000</v>
      </c>
      <c r="F174" s="19" t="s">
        <v>32</v>
      </c>
      <c r="G174" s="19" t="s">
        <v>33</v>
      </c>
      <c r="H174" s="21">
        <v>295000</v>
      </c>
      <c r="I174" s="21">
        <v>111700</v>
      </c>
      <c r="J174" s="22">
        <f t="shared" si="14"/>
        <v>37.864406779661017</v>
      </c>
      <c r="K174" s="21">
        <v>229160</v>
      </c>
      <c r="L174" s="21">
        <f>H174-217452</f>
        <v>77548</v>
      </c>
      <c r="M174" s="21">
        <v>11708</v>
      </c>
      <c r="N174" s="67">
        <f t="shared" si="15"/>
        <v>3.968813559322034E-2</v>
      </c>
      <c r="O174" s="23">
        <v>68.86</v>
      </c>
      <c r="P174" s="24">
        <v>156.06</v>
      </c>
      <c r="Q174" s="25">
        <v>0.217</v>
      </c>
      <c r="R174" s="25">
        <v>0.217</v>
      </c>
      <c r="S174" s="21">
        <f t="shared" si="16"/>
        <v>1126.1690386291025</v>
      </c>
      <c r="T174" s="21">
        <f t="shared" si="17"/>
        <v>357364.05529953918</v>
      </c>
      <c r="U174" s="26">
        <f t="shared" si="18"/>
        <v>8.2039498461785847</v>
      </c>
      <c r="V174" s="25">
        <v>60</v>
      </c>
      <c r="W174" s="25">
        <f t="shared" si="19"/>
        <v>59000</v>
      </c>
      <c r="X174" s="25">
        <f t="shared" si="20"/>
        <v>983.33333333333337</v>
      </c>
      <c r="Y174" s="27" t="s">
        <v>1767</v>
      </c>
      <c r="Z174" s="19" t="s">
        <v>35</v>
      </c>
      <c r="AA174" s="19" t="s">
        <v>35</v>
      </c>
      <c r="AB174" s="19" t="s">
        <v>1776</v>
      </c>
      <c r="AC174" s="19">
        <v>0</v>
      </c>
      <c r="AD174" s="19">
        <v>1</v>
      </c>
      <c r="AE174" s="19" t="s">
        <v>42</v>
      </c>
      <c r="AF174" s="19" t="s">
        <v>43</v>
      </c>
      <c r="AG174" s="19" t="s">
        <v>38</v>
      </c>
      <c r="AH174" s="19" t="s">
        <v>92</v>
      </c>
    </row>
    <row r="175" spans="1:34" x14ac:dyDescent="0.3">
      <c r="A175" s="74" t="s">
        <v>2125</v>
      </c>
      <c r="B175" s="10" t="s">
        <v>2122</v>
      </c>
      <c r="C175" s="10" t="s">
        <v>2123</v>
      </c>
      <c r="D175" s="11">
        <v>45699</v>
      </c>
      <c r="E175" s="12">
        <v>230000</v>
      </c>
      <c r="F175" s="10" t="s">
        <v>32</v>
      </c>
      <c r="G175" s="10" t="s">
        <v>33</v>
      </c>
      <c r="H175" s="12">
        <v>230000</v>
      </c>
      <c r="I175" s="12">
        <v>69600</v>
      </c>
      <c r="J175" s="13">
        <f t="shared" si="14"/>
        <v>30.260869565217391</v>
      </c>
      <c r="K175" s="12">
        <v>159718</v>
      </c>
      <c r="L175" s="12">
        <f>H175-139941</f>
        <v>90059</v>
      </c>
      <c r="M175" s="12">
        <v>19777</v>
      </c>
      <c r="N175" s="66">
        <f t="shared" si="15"/>
        <v>8.5986956521739127E-2</v>
      </c>
      <c r="O175" s="14">
        <v>79.099999999999994</v>
      </c>
      <c r="P175" s="15">
        <v>264</v>
      </c>
      <c r="Q175" s="16">
        <v>0.48499999999999999</v>
      </c>
      <c r="R175" s="16">
        <v>0.48499999999999999</v>
      </c>
      <c r="S175" s="12">
        <f t="shared" si="16"/>
        <v>1138.5461441213654</v>
      </c>
      <c r="T175" s="12">
        <f t="shared" si="17"/>
        <v>185688.65979381444</v>
      </c>
      <c r="U175" s="17">
        <f t="shared" si="18"/>
        <v>4.2628250641371546</v>
      </c>
      <c r="V175" s="16">
        <v>80</v>
      </c>
      <c r="W175" s="16">
        <f t="shared" si="19"/>
        <v>46000</v>
      </c>
      <c r="X175" s="16">
        <f t="shared" si="20"/>
        <v>575</v>
      </c>
      <c r="Y175" s="18" t="s">
        <v>2124</v>
      </c>
      <c r="Z175" s="10" t="s">
        <v>35</v>
      </c>
      <c r="AA175" s="10" t="s">
        <v>35</v>
      </c>
      <c r="AB175" s="10" t="s">
        <v>2125</v>
      </c>
      <c r="AC175" s="10">
        <v>0</v>
      </c>
      <c r="AD175" s="10">
        <v>1</v>
      </c>
      <c r="AE175" s="10" t="s">
        <v>42</v>
      </c>
      <c r="AF175" s="10" t="s">
        <v>35</v>
      </c>
      <c r="AG175" s="10" t="s">
        <v>38</v>
      </c>
      <c r="AH175" s="10" t="s">
        <v>92</v>
      </c>
    </row>
    <row r="176" spans="1:34" x14ac:dyDescent="0.3">
      <c r="A176" s="74" t="s">
        <v>1577</v>
      </c>
      <c r="B176" s="10" t="s">
        <v>1574</v>
      </c>
      <c r="C176" s="10" t="s">
        <v>1575</v>
      </c>
      <c r="D176" s="11">
        <v>45681</v>
      </c>
      <c r="E176" s="12">
        <v>157000</v>
      </c>
      <c r="F176" s="10" t="s">
        <v>32</v>
      </c>
      <c r="G176" s="10" t="s">
        <v>33</v>
      </c>
      <c r="H176" s="12">
        <v>157000</v>
      </c>
      <c r="I176" s="12">
        <v>46900</v>
      </c>
      <c r="J176" s="13">
        <f t="shared" si="14"/>
        <v>29.872611464968152</v>
      </c>
      <c r="K176" s="12">
        <v>119375</v>
      </c>
      <c r="L176" s="12">
        <f>H176-108535</f>
        <v>48465</v>
      </c>
      <c r="M176" s="12">
        <v>10840</v>
      </c>
      <c r="N176" s="66">
        <f t="shared" si="15"/>
        <v>6.9044585987261153E-2</v>
      </c>
      <c r="O176" s="14">
        <v>41.21</v>
      </c>
      <c r="P176" s="15">
        <v>181</v>
      </c>
      <c r="Q176" s="16">
        <v>0.17899999999999999</v>
      </c>
      <c r="R176" s="16">
        <v>0.17899999999999999</v>
      </c>
      <c r="S176" s="12">
        <f t="shared" si="16"/>
        <v>1176.0495025479252</v>
      </c>
      <c r="T176" s="12">
        <f t="shared" si="17"/>
        <v>270754.18994413409</v>
      </c>
      <c r="U176" s="17">
        <f t="shared" si="18"/>
        <v>6.2156609261738769</v>
      </c>
      <c r="V176" s="16">
        <v>43</v>
      </c>
      <c r="W176" s="16">
        <f t="shared" si="19"/>
        <v>31400</v>
      </c>
      <c r="X176" s="16">
        <f t="shared" si="20"/>
        <v>730.23255813953483</v>
      </c>
      <c r="Y176" s="18" t="s">
        <v>1576</v>
      </c>
      <c r="Z176" s="10" t="s">
        <v>35</v>
      </c>
      <c r="AA176" s="10" t="s">
        <v>35</v>
      </c>
      <c r="AB176" s="10" t="s">
        <v>1577</v>
      </c>
      <c r="AC176" s="10">
        <v>0</v>
      </c>
      <c r="AD176" s="10">
        <v>1</v>
      </c>
      <c r="AE176" s="10" t="s">
        <v>42</v>
      </c>
      <c r="AF176" s="10" t="s">
        <v>35</v>
      </c>
      <c r="AG176" s="10" t="s">
        <v>38</v>
      </c>
      <c r="AH176" s="10" t="s">
        <v>92</v>
      </c>
    </row>
    <row r="177" spans="1:34" x14ac:dyDescent="0.3">
      <c r="A177" s="75" t="s">
        <v>2025</v>
      </c>
      <c r="B177" s="19" t="s">
        <v>2022</v>
      </c>
      <c r="C177" s="19" t="s">
        <v>2023</v>
      </c>
      <c r="D177" s="20">
        <v>45427</v>
      </c>
      <c r="E177" s="21">
        <v>430000</v>
      </c>
      <c r="F177" s="19" t="s">
        <v>32</v>
      </c>
      <c r="G177" s="19" t="s">
        <v>33</v>
      </c>
      <c r="H177" s="21">
        <v>430000</v>
      </c>
      <c r="I177" s="21">
        <v>142400</v>
      </c>
      <c r="J177" s="22">
        <f t="shared" si="14"/>
        <v>33.116279069767444</v>
      </c>
      <c r="K177" s="21">
        <v>327476</v>
      </c>
      <c r="L177" s="21">
        <f>H177-312554</f>
        <v>117446</v>
      </c>
      <c r="M177" s="21">
        <v>14922</v>
      </c>
      <c r="N177" s="67">
        <f t="shared" si="15"/>
        <v>3.4702325581395348E-2</v>
      </c>
      <c r="O177" s="23">
        <v>96.27</v>
      </c>
      <c r="P177" s="24">
        <v>310.7</v>
      </c>
      <c r="Q177" s="25">
        <v>0.57799999999999996</v>
      </c>
      <c r="R177" s="25">
        <v>0.57799999999999996</v>
      </c>
      <c r="S177" s="21">
        <f t="shared" si="16"/>
        <v>1219.9646826633427</v>
      </c>
      <c r="T177" s="21">
        <f t="shared" si="17"/>
        <v>203193.77162629759</v>
      </c>
      <c r="U177" s="26">
        <f t="shared" si="18"/>
        <v>4.6646871355899355</v>
      </c>
      <c r="V177" s="25">
        <v>81.010000000000005</v>
      </c>
      <c r="W177" s="25">
        <f t="shared" si="19"/>
        <v>86000</v>
      </c>
      <c r="X177" s="25">
        <f t="shared" si="20"/>
        <v>1061.5973336625107</v>
      </c>
      <c r="Y177" s="27" t="s">
        <v>2024</v>
      </c>
      <c r="Z177" s="19" t="s">
        <v>35</v>
      </c>
      <c r="AA177" s="19" t="s">
        <v>35</v>
      </c>
      <c r="AB177" s="19" t="s">
        <v>2025</v>
      </c>
      <c r="AC177" s="19">
        <v>0</v>
      </c>
      <c r="AD177" s="19">
        <v>1</v>
      </c>
      <c r="AE177" s="19" t="s">
        <v>205</v>
      </c>
      <c r="AF177" s="19" t="s">
        <v>43</v>
      </c>
      <c r="AG177" s="19" t="s">
        <v>38</v>
      </c>
      <c r="AH177" s="19" t="s">
        <v>92</v>
      </c>
    </row>
    <row r="178" spans="1:34" ht="15" thickBot="1" x14ac:dyDescent="0.35">
      <c r="A178" s="75" t="s">
        <v>2664</v>
      </c>
      <c r="B178" s="19" t="s">
        <v>2778</v>
      </c>
      <c r="C178" s="19" t="s">
        <v>2779</v>
      </c>
      <c r="D178" s="20">
        <v>45560</v>
      </c>
      <c r="E178" s="21">
        <v>237500</v>
      </c>
      <c r="F178" s="19" t="s">
        <v>32</v>
      </c>
      <c r="G178" s="19" t="s">
        <v>33</v>
      </c>
      <c r="H178" s="21">
        <v>237500</v>
      </c>
      <c r="I178" s="21">
        <v>61500</v>
      </c>
      <c r="J178" s="22">
        <f t="shared" si="14"/>
        <v>25.894736842105264</v>
      </c>
      <c r="K178" s="21">
        <v>107604</v>
      </c>
      <c r="L178" s="21">
        <f>H178-83893</f>
        <v>153607</v>
      </c>
      <c r="M178" s="21">
        <v>23711</v>
      </c>
      <c r="N178" s="67">
        <f t="shared" si="15"/>
        <v>9.9835789473684211E-2</v>
      </c>
      <c r="O178" s="23">
        <v>116.22</v>
      </c>
      <c r="P178" s="24">
        <v>200</v>
      </c>
      <c r="Q178" s="25">
        <v>0.76</v>
      </c>
      <c r="R178" s="25">
        <v>0.73499999999999999</v>
      </c>
      <c r="S178" s="21">
        <f t="shared" si="16"/>
        <v>1321.6916193426262</v>
      </c>
      <c r="T178" s="21">
        <f t="shared" si="17"/>
        <v>202114.47368421053</v>
      </c>
      <c r="U178" s="26">
        <f t="shared" si="18"/>
        <v>4.6399098641921608</v>
      </c>
      <c r="V178" s="25">
        <v>160</v>
      </c>
      <c r="W178" s="25">
        <f t="shared" si="19"/>
        <v>47500</v>
      </c>
      <c r="X178" s="25">
        <f t="shared" si="20"/>
        <v>296.875</v>
      </c>
      <c r="Y178" s="27" t="s">
        <v>2663</v>
      </c>
      <c r="Z178" s="19" t="s">
        <v>35</v>
      </c>
      <c r="AA178" s="19" t="s">
        <v>35</v>
      </c>
      <c r="AB178" s="19" t="s">
        <v>2664</v>
      </c>
      <c r="AC178" s="19">
        <v>0</v>
      </c>
      <c r="AD178" s="19">
        <v>0</v>
      </c>
      <c r="AE178" s="19" t="s">
        <v>37</v>
      </c>
      <c r="AF178" s="19" t="s">
        <v>43</v>
      </c>
      <c r="AG178" s="19" t="s">
        <v>38</v>
      </c>
      <c r="AH178" s="19" t="s">
        <v>1830</v>
      </c>
    </row>
    <row r="179" spans="1:34" ht="15" thickTop="1" x14ac:dyDescent="0.3">
      <c r="A179" s="76"/>
      <c r="B179" s="37"/>
      <c r="C179" s="37"/>
      <c r="D179" s="38" t="s">
        <v>2876</v>
      </c>
      <c r="E179" s="39">
        <f>+SUM(E3:E178)</f>
        <v>34527861</v>
      </c>
      <c r="F179" s="37"/>
      <c r="G179" s="37"/>
      <c r="H179" s="39">
        <f>+SUM(H3:H178)</f>
        <v>34527861</v>
      </c>
      <c r="I179" s="39">
        <f>+SUM(I3:I178)</f>
        <v>14269400</v>
      </c>
      <c r="J179" s="40"/>
      <c r="K179" s="39">
        <f>+SUM(K3:K178)</f>
        <v>33364211</v>
      </c>
      <c r="L179" s="39">
        <f>+SUM(L3:L178)</f>
        <v>4538697</v>
      </c>
      <c r="M179" s="39">
        <f>+SUM(M3:M178)</f>
        <v>3364223</v>
      </c>
      <c r="N179" s="81">
        <f>AVERAGE(N3:N178)</f>
        <v>0.1025520801960622</v>
      </c>
      <c r="O179" s="41">
        <f>+SUM(O3:O178)</f>
        <v>16323.29</v>
      </c>
      <c r="P179" s="42"/>
      <c r="Q179" s="43">
        <f>+SUM(Q3:Q178)</f>
        <v>78.04500000000003</v>
      </c>
      <c r="R179" s="43">
        <f>+SUM(R3:R178)</f>
        <v>72.970000000000013</v>
      </c>
      <c r="S179" s="39"/>
      <c r="T179" s="39"/>
      <c r="U179" s="44"/>
      <c r="V179" s="43"/>
      <c r="W179" s="82">
        <f>AVERAGE(W3:W178)</f>
        <v>39236.205681818181</v>
      </c>
      <c r="X179" s="83">
        <f>AVERAGE(X3:X178)</f>
        <v>544.84784994009533</v>
      </c>
      <c r="Y179" s="45"/>
      <c r="Z179" s="37"/>
      <c r="AA179" s="37"/>
      <c r="AB179" s="37"/>
      <c r="AC179" s="37"/>
      <c r="AD179" s="37"/>
      <c r="AE179" s="37"/>
      <c r="AF179" s="37"/>
      <c r="AG179" s="37"/>
      <c r="AH179" s="37"/>
    </row>
    <row r="180" spans="1:34" x14ac:dyDescent="0.3">
      <c r="A180" s="77"/>
      <c r="B180" s="28"/>
      <c r="C180" s="28"/>
      <c r="D180" s="29"/>
      <c r="E180" s="30"/>
      <c r="F180" s="28"/>
      <c r="G180" s="28"/>
      <c r="H180" s="30"/>
      <c r="I180" s="30" t="s">
        <v>2877</v>
      </c>
      <c r="J180" s="31">
        <f>I179/H179*100</f>
        <v>41.327205296615396</v>
      </c>
      <c r="K180" s="30"/>
      <c r="L180" s="30"/>
      <c r="M180" s="30" t="s">
        <v>2879</v>
      </c>
      <c r="N180" s="79"/>
      <c r="O180" s="32"/>
      <c r="P180" s="33"/>
      <c r="Q180" s="34" t="s">
        <v>2879</v>
      </c>
      <c r="R180" s="34"/>
      <c r="S180" s="30"/>
      <c r="T180" s="30" t="s">
        <v>2879</v>
      </c>
      <c r="U180" s="35"/>
      <c r="V180" s="34"/>
      <c r="W180" s="63"/>
      <c r="X180" s="68"/>
      <c r="Y180" s="36"/>
      <c r="Z180" s="28"/>
      <c r="AA180" s="28"/>
      <c r="AB180" s="28"/>
      <c r="AC180" s="28"/>
      <c r="AD180" s="28"/>
      <c r="AE180" s="28"/>
      <c r="AF180" s="28"/>
      <c r="AG180" s="28"/>
      <c r="AH180" s="28"/>
    </row>
    <row r="181" spans="1:34" x14ac:dyDescent="0.3">
      <c r="A181" s="78"/>
      <c r="B181" s="46"/>
      <c r="C181" s="46"/>
      <c r="D181" s="47"/>
      <c r="E181" s="48"/>
      <c r="F181" s="46"/>
      <c r="G181" s="46"/>
      <c r="H181" s="48"/>
      <c r="I181" s="48" t="s">
        <v>2878</v>
      </c>
      <c r="J181" s="49">
        <f>STDEV(J3:J178)</f>
        <v>69.805926119464971</v>
      </c>
      <c r="K181" s="48"/>
      <c r="L181" s="48"/>
      <c r="M181" s="48" t="s">
        <v>2880</v>
      </c>
      <c r="N181" s="80"/>
      <c r="O181" s="91">
        <f>L179/O179</f>
        <v>278.05038077495408</v>
      </c>
      <c r="P181" s="50"/>
      <c r="Q181" s="51" t="s">
        <v>2881</v>
      </c>
      <c r="R181" s="51">
        <f>L179/Q179</f>
        <v>58154.872189121641</v>
      </c>
      <c r="S181" s="48"/>
      <c r="T181" s="48" t="s">
        <v>2882</v>
      </c>
      <c r="U181" s="52">
        <f>L179/Q179/43560</f>
        <v>1.3350521622847025</v>
      </c>
      <c r="V181" s="51"/>
      <c r="W181" s="64"/>
      <c r="X181" s="69"/>
      <c r="Y181" s="53"/>
      <c r="Z181" s="46"/>
      <c r="AA181" s="46"/>
      <c r="AB181" s="46"/>
      <c r="AC181" s="46"/>
      <c r="AD181" s="46"/>
      <c r="AE181" s="46"/>
      <c r="AF181" s="46"/>
      <c r="AG181" s="46"/>
      <c r="AH181" s="46"/>
    </row>
    <row r="182" spans="1:34" x14ac:dyDescent="0.3">
      <c r="A182" s="86" t="s">
        <v>3096</v>
      </c>
      <c r="B182" s="87" t="s">
        <v>3097</v>
      </c>
      <c r="C182" s="88"/>
      <c r="D182" s="89"/>
      <c r="E182" s="90"/>
      <c r="F182" s="88"/>
      <c r="G182" s="88"/>
    </row>
    <row r="185" spans="1:34" x14ac:dyDescent="0.3">
      <c r="A185" s="92" t="s">
        <v>3092</v>
      </c>
    </row>
    <row r="186" spans="1:34" x14ac:dyDescent="0.3">
      <c r="A186" s="74" t="s">
        <v>2192</v>
      </c>
      <c r="B186" s="10" t="s">
        <v>2190</v>
      </c>
      <c r="C186" s="10" t="s">
        <v>2191</v>
      </c>
      <c r="D186" s="11">
        <v>45456</v>
      </c>
      <c r="E186" s="12">
        <v>125000</v>
      </c>
      <c r="F186" s="10" t="s">
        <v>32</v>
      </c>
      <c r="G186" s="10" t="s">
        <v>33</v>
      </c>
      <c r="H186" s="12">
        <v>125000</v>
      </c>
      <c r="I186" s="12">
        <v>122700</v>
      </c>
      <c r="J186" s="13">
        <f t="shared" ref="J186:J203" si="21">I186/H186*100</f>
        <v>98.16</v>
      </c>
      <c r="K186" s="12">
        <v>271955</v>
      </c>
      <c r="L186" s="12">
        <f>H186-255125</f>
        <v>-130125</v>
      </c>
      <c r="M186" s="12">
        <v>16830</v>
      </c>
      <c r="N186" s="66">
        <f t="shared" ref="N186:N203" si="22">M186/E186</f>
        <v>0.13464000000000001</v>
      </c>
      <c r="O186" s="14">
        <v>66</v>
      </c>
      <c r="P186" s="15">
        <v>302.10000000000002</v>
      </c>
      <c r="Q186" s="16">
        <v>0.45800000000000002</v>
      </c>
      <c r="R186" s="16">
        <v>0.45800000000000002</v>
      </c>
      <c r="S186" s="12">
        <f t="shared" ref="S186:S203" si="23">L186/O186</f>
        <v>-1971.590909090909</v>
      </c>
      <c r="T186" s="12">
        <f t="shared" ref="T186:T203" si="24">L186/Q186</f>
        <v>-284115.72052401747</v>
      </c>
      <c r="U186" s="17">
        <f t="shared" ref="U186:U203" si="25">L186/Q186/43560</f>
        <v>-6.5223994610655982</v>
      </c>
      <c r="V186" s="16">
        <v>66</v>
      </c>
      <c r="W186" s="16">
        <f t="shared" ref="W186:W203" si="26">0.2*E186</f>
        <v>25000</v>
      </c>
      <c r="X186" s="16">
        <f t="shared" ref="X186:X203" si="27">W186/V186</f>
        <v>378.78787878787881</v>
      </c>
      <c r="Y186" s="18" t="s">
        <v>1562</v>
      </c>
      <c r="Z186" s="10" t="s">
        <v>35</v>
      </c>
      <c r="AA186" s="10" t="s">
        <v>35</v>
      </c>
      <c r="AB186" s="10" t="s">
        <v>2192</v>
      </c>
      <c r="AC186" s="10">
        <v>0</v>
      </c>
      <c r="AD186" s="10">
        <v>1</v>
      </c>
      <c r="AE186" s="10" t="s">
        <v>42</v>
      </c>
      <c r="AF186" s="10" t="s">
        <v>43</v>
      </c>
      <c r="AG186" s="10" t="s">
        <v>38</v>
      </c>
      <c r="AH186" s="10" t="s">
        <v>92</v>
      </c>
    </row>
    <row r="187" spans="1:34" x14ac:dyDescent="0.3">
      <c r="A187" s="74" t="s">
        <v>2200</v>
      </c>
      <c r="B187" s="10" t="s">
        <v>2201</v>
      </c>
      <c r="C187" s="10" t="s">
        <v>2202</v>
      </c>
      <c r="D187" s="11">
        <v>45429</v>
      </c>
      <c r="E187" s="12">
        <v>110000</v>
      </c>
      <c r="F187" s="10" t="s">
        <v>32</v>
      </c>
      <c r="G187" s="10" t="s">
        <v>33</v>
      </c>
      <c r="H187" s="12">
        <v>110000</v>
      </c>
      <c r="I187" s="12">
        <v>114500</v>
      </c>
      <c r="J187" s="13">
        <f t="shared" si="21"/>
        <v>104.09090909090909</v>
      </c>
      <c r="K187" s="12">
        <v>275874</v>
      </c>
      <c r="L187" s="12">
        <f>H187-256555</f>
        <v>-146555</v>
      </c>
      <c r="M187" s="12">
        <v>19319</v>
      </c>
      <c r="N187" s="66">
        <f t="shared" si="22"/>
        <v>0.17562727272727272</v>
      </c>
      <c r="O187" s="14">
        <v>112.97</v>
      </c>
      <c r="P187" s="15">
        <v>462.34</v>
      </c>
      <c r="Q187" s="16">
        <v>0.96599999999999997</v>
      </c>
      <c r="R187" s="16">
        <v>0.96599999999999997</v>
      </c>
      <c r="S187" s="12">
        <f t="shared" si="23"/>
        <v>-1297.2913162786581</v>
      </c>
      <c r="T187" s="12">
        <f t="shared" si="24"/>
        <v>-151713.25051759835</v>
      </c>
      <c r="U187" s="17">
        <f t="shared" si="25"/>
        <v>-3.4828569907621292</v>
      </c>
      <c r="V187" s="16">
        <v>91.01</v>
      </c>
      <c r="W187" s="16">
        <f t="shared" si="26"/>
        <v>22000</v>
      </c>
      <c r="X187" s="16">
        <f t="shared" si="27"/>
        <v>241.73167783760024</v>
      </c>
      <c r="Y187" s="18" t="s">
        <v>2199</v>
      </c>
      <c r="Z187" s="10" t="s">
        <v>35</v>
      </c>
      <c r="AA187" s="10" t="s">
        <v>35</v>
      </c>
      <c r="AB187" s="10" t="s">
        <v>2200</v>
      </c>
      <c r="AC187" s="10">
        <v>0</v>
      </c>
      <c r="AD187" s="10">
        <v>1</v>
      </c>
      <c r="AE187" s="10" t="s">
        <v>42</v>
      </c>
      <c r="AF187" s="10" t="s">
        <v>43</v>
      </c>
      <c r="AG187" s="10" t="s">
        <v>38</v>
      </c>
      <c r="AH187" s="10" t="s">
        <v>92</v>
      </c>
    </row>
    <row r="188" spans="1:34" x14ac:dyDescent="0.3">
      <c r="A188" s="75" t="s">
        <v>2192</v>
      </c>
      <c r="B188" s="19" t="s">
        <v>2195</v>
      </c>
      <c r="C188" s="19" t="s">
        <v>2196</v>
      </c>
      <c r="D188" s="20">
        <v>45643</v>
      </c>
      <c r="E188" s="21">
        <v>295000</v>
      </c>
      <c r="F188" s="19" t="s">
        <v>32</v>
      </c>
      <c r="G188" s="19" t="s">
        <v>33</v>
      </c>
      <c r="H188" s="21">
        <v>295000</v>
      </c>
      <c r="I188" s="21">
        <v>128600</v>
      </c>
      <c r="J188" s="22">
        <f t="shared" si="21"/>
        <v>43.593220338983052</v>
      </c>
      <c r="K188" s="21">
        <v>385246</v>
      </c>
      <c r="L188" s="21">
        <f>H188-368416</f>
        <v>-73416</v>
      </c>
      <c r="M188" s="21">
        <v>16830</v>
      </c>
      <c r="N188" s="67">
        <f t="shared" si="22"/>
        <v>5.7050847457627119E-2</v>
      </c>
      <c r="O188" s="23">
        <v>66</v>
      </c>
      <c r="P188" s="24">
        <v>300</v>
      </c>
      <c r="Q188" s="25">
        <v>0.45500000000000002</v>
      </c>
      <c r="R188" s="25">
        <v>0.45500000000000002</v>
      </c>
      <c r="S188" s="21">
        <f t="shared" si="23"/>
        <v>-1112.3636363636363</v>
      </c>
      <c r="T188" s="21">
        <f t="shared" si="24"/>
        <v>-161353.84615384616</v>
      </c>
      <c r="U188" s="26">
        <f t="shared" si="25"/>
        <v>-3.7041746132655224</v>
      </c>
      <c r="V188" s="25">
        <v>66</v>
      </c>
      <c r="W188" s="25">
        <f t="shared" si="26"/>
        <v>59000</v>
      </c>
      <c r="X188" s="25">
        <f t="shared" si="27"/>
        <v>893.93939393939399</v>
      </c>
      <c r="Y188" s="27" t="s">
        <v>1562</v>
      </c>
      <c r="Z188" s="19" t="s">
        <v>35</v>
      </c>
      <c r="AA188" s="19" t="s">
        <v>35</v>
      </c>
      <c r="AB188" s="19" t="s">
        <v>2192</v>
      </c>
      <c r="AC188" s="19">
        <v>0</v>
      </c>
      <c r="AD188" s="19">
        <v>1</v>
      </c>
      <c r="AE188" s="19" t="s">
        <v>42</v>
      </c>
      <c r="AF188" s="19" t="s">
        <v>35</v>
      </c>
      <c r="AG188" s="19" t="s">
        <v>38</v>
      </c>
      <c r="AH188" s="19" t="s">
        <v>92</v>
      </c>
    </row>
    <row r="189" spans="1:34" x14ac:dyDescent="0.3">
      <c r="A189" s="75" t="s">
        <v>966</v>
      </c>
      <c r="B189" s="19" t="s">
        <v>973</v>
      </c>
      <c r="C189" s="19" t="s">
        <v>974</v>
      </c>
      <c r="D189" s="20">
        <v>45649</v>
      </c>
      <c r="E189" s="21">
        <v>142500</v>
      </c>
      <c r="F189" s="19" t="s">
        <v>81</v>
      </c>
      <c r="G189" s="19" t="s">
        <v>33</v>
      </c>
      <c r="H189" s="21">
        <v>142500</v>
      </c>
      <c r="I189" s="21">
        <v>74800</v>
      </c>
      <c r="J189" s="22">
        <f t="shared" si="21"/>
        <v>52.491228070175445</v>
      </c>
      <c r="K189" s="21">
        <v>311983</v>
      </c>
      <c r="L189" s="21">
        <f>H189-278363</f>
        <v>-135863</v>
      </c>
      <c r="M189" s="21">
        <v>33620</v>
      </c>
      <c r="N189" s="67">
        <f t="shared" si="22"/>
        <v>0.23592982456140352</v>
      </c>
      <c r="O189" s="23">
        <v>138.91999999999999</v>
      </c>
      <c r="P189" s="24">
        <v>304</v>
      </c>
      <c r="Q189" s="25">
        <v>0.96299999999999997</v>
      </c>
      <c r="R189" s="25">
        <v>0.96299999999999997</v>
      </c>
      <c r="S189" s="21">
        <f t="shared" si="23"/>
        <v>-977.99452922545356</v>
      </c>
      <c r="T189" s="21">
        <f t="shared" si="24"/>
        <v>-141083.07372793354</v>
      </c>
      <c r="U189" s="26">
        <f t="shared" si="25"/>
        <v>-3.2388217109259307</v>
      </c>
      <c r="V189" s="25">
        <v>138.01</v>
      </c>
      <c r="W189" s="25">
        <f t="shared" si="26"/>
        <v>28500</v>
      </c>
      <c r="X189" s="25">
        <f t="shared" si="27"/>
        <v>206.50677487138614</v>
      </c>
      <c r="Y189" s="27" t="s">
        <v>965</v>
      </c>
      <c r="Z189" s="19" t="s">
        <v>35</v>
      </c>
      <c r="AA189" s="19" t="s">
        <v>35</v>
      </c>
      <c r="AB189" s="19" t="s">
        <v>966</v>
      </c>
      <c r="AC189" s="19">
        <v>0</v>
      </c>
      <c r="AD189" s="19">
        <v>1</v>
      </c>
      <c r="AE189" s="19" t="s">
        <v>42</v>
      </c>
      <c r="AF189" s="19" t="s">
        <v>35</v>
      </c>
      <c r="AG189" s="19" t="s">
        <v>38</v>
      </c>
      <c r="AH189" s="19" t="s">
        <v>92</v>
      </c>
    </row>
    <row r="190" spans="1:34" x14ac:dyDescent="0.3">
      <c r="A190" s="74" t="s">
        <v>2435</v>
      </c>
      <c r="B190" s="10" t="s">
        <v>2568</v>
      </c>
      <c r="C190" s="10" t="s">
        <v>583</v>
      </c>
      <c r="D190" s="11">
        <v>45663</v>
      </c>
      <c r="E190" s="12">
        <v>149000</v>
      </c>
      <c r="F190" s="10" t="s">
        <v>32</v>
      </c>
      <c r="G190" s="10" t="s">
        <v>66</v>
      </c>
      <c r="H190" s="12">
        <v>149000</v>
      </c>
      <c r="I190" s="12">
        <v>64700</v>
      </c>
      <c r="J190" s="13">
        <f t="shared" si="21"/>
        <v>43.422818791946312</v>
      </c>
      <c r="K190" s="12">
        <v>264699</v>
      </c>
      <c r="L190" s="12">
        <f>H190-230680</f>
        <v>-81680</v>
      </c>
      <c r="M190" s="12">
        <v>18172</v>
      </c>
      <c r="N190" s="66">
        <f t="shared" si="22"/>
        <v>0.12195973154362416</v>
      </c>
      <c r="O190" s="14">
        <v>98.23</v>
      </c>
      <c r="P190" s="15">
        <v>392</v>
      </c>
      <c r="Q190" s="16">
        <v>0.36</v>
      </c>
      <c r="R190" s="16">
        <v>0.18</v>
      </c>
      <c r="S190" s="12">
        <f t="shared" si="23"/>
        <v>-831.51786623231192</v>
      </c>
      <c r="T190" s="12">
        <f t="shared" si="24"/>
        <v>-226888.88888888891</v>
      </c>
      <c r="U190" s="17">
        <f t="shared" si="25"/>
        <v>-5.2086521783491486</v>
      </c>
      <c r="V190" s="16">
        <v>80</v>
      </c>
      <c r="W190" s="16">
        <f t="shared" si="26"/>
        <v>29800</v>
      </c>
      <c r="X190" s="16">
        <f t="shared" si="27"/>
        <v>372.5</v>
      </c>
      <c r="Y190" s="18" t="s">
        <v>2434</v>
      </c>
      <c r="Z190" s="10" t="s">
        <v>35</v>
      </c>
      <c r="AA190" s="10" t="s">
        <v>2569</v>
      </c>
      <c r="AB190" s="10" t="s">
        <v>2435</v>
      </c>
      <c r="AC190" s="10">
        <v>0</v>
      </c>
      <c r="AD190" s="10">
        <v>1</v>
      </c>
      <c r="AE190" s="10" t="s">
        <v>37</v>
      </c>
      <c r="AF190" s="10" t="s">
        <v>35</v>
      </c>
      <c r="AG190" s="10" t="s">
        <v>61</v>
      </c>
      <c r="AH190" s="10" t="s">
        <v>92</v>
      </c>
    </row>
    <row r="191" spans="1:34" x14ac:dyDescent="0.3">
      <c r="A191" s="75" t="s">
        <v>693</v>
      </c>
      <c r="B191" s="19" t="s">
        <v>752</v>
      </c>
      <c r="C191" s="19" t="s">
        <v>753</v>
      </c>
      <c r="D191" s="20">
        <v>45527</v>
      </c>
      <c r="E191" s="21">
        <v>186000</v>
      </c>
      <c r="F191" s="19" t="s">
        <v>32</v>
      </c>
      <c r="G191" s="19" t="s">
        <v>33</v>
      </c>
      <c r="H191" s="21">
        <v>186000</v>
      </c>
      <c r="I191" s="21">
        <v>61500</v>
      </c>
      <c r="J191" s="22">
        <f t="shared" si="21"/>
        <v>33.064516129032256</v>
      </c>
      <c r="K191" s="21">
        <v>127896</v>
      </c>
      <c r="L191" s="21">
        <f>H191-121011</f>
        <v>64989</v>
      </c>
      <c r="M191" s="21">
        <v>6885</v>
      </c>
      <c r="N191" s="67">
        <f t="shared" si="22"/>
        <v>3.7016129032258066E-2</v>
      </c>
      <c r="O191" s="23">
        <v>39.340000000000003</v>
      </c>
      <c r="P191" s="24">
        <v>290.2</v>
      </c>
      <c r="Q191" s="25">
        <v>0.26600000000000001</v>
      </c>
      <c r="R191" s="25">
        <v>0.26600000000000001</v>
      </c>
      <c r="S191" s="21">
        <f t="shared" si="23"/>
        <v>1651.9827147941025</v>
      </c>
      <c r="T191" s="21">
        <f t="shared" si="24"/>
        <v>244319.54887218043</v>
      </c>
      <c r="U191" s="26">
        <f t="shared" si="25"/>
        <v>5.6088050705275583</v>
      </c>
      <c r="V191" s="25">
        <v>40</v>
      </c>
      <c r="W191" s="25">
        <f t="shared" si="26"/>
        <v>37200</v>
      </c>
      <c r="X191" s="25">
        <f t="shared" si="27"/>
        <v>930</v>
      </c>
      <c r="Y191" s="27" t="s">
        <v>692</v>
      </c>
      <c r="Z191" s="19" t="s">
        <v>35</v>
      </c>
      <c r="AA191" s="19" t="s">
        <v>35</v>
      </c>
      <c r="AB191" s="19" t="s">
        <v>693</v>
      </c>
      <c r="AC191" s="19">
        <v>0</v>
      </c>
      <c r="AD191" s="19">
        <v>1</v>
      </c>
      <c r="AE191" s="19" t="s">
        <v>42</v>
      </c>
      <c r="AF191" s="19" t="s">
        <v>43</v>
      </c>
      <c r="AG191" s="19" t="s">
        <v>38</v>
      </c>
      <c r="AH191" s="19" t="s">
        <v>92</v>
      </c>
    </row>
    <row r="192" spans="1:34" x14ac:dyDescent="0.3">
      <c r="A192" s="74" t="s">
        <v>2664</v>
      </c>
      <c r="B192" s="10" t="s">
        <v>2775</v>
      </c>
      <c r="C192" s="10" t="s">
        <v>2776</v>
      </c>
      <c r="D192" s="11">
        <v>45475</v>
      </c>
      <c r="E192" s="12">
        <v>315000</v>
      </c>
      <c r="F192" s="10" t="s">
        <v>32</v>
      </c>
      <c r="G192" s="10" t="s">
        <v>33</v>
      </c>
      <c r="H192" s="12">
        <v>315000</v>
      </c>
      <c r="I192" s="12">
        <v>57400</v>
      </c>
      <c r="J192" s="13">
        <f t="shared" si="21"/>
        <v>18.222222222222221</v>
      </c>
      <c r="K192" s="12">
        <v>153731</v>
      </c>
      <c r="L192" s="12">
        <f>H192-128566</f>
        <v>186434</v>
      </c>
      <c r="M192" s="12">
        <v>25165</v>
      </c>
      <c r="N192" s="66">
        <f t="shared" si="22"/>
        <v>7.9888888888888884E-2</v>
      </c>
      <c r="O192" s="14">
        <v>100.08</v>
      </c>
      <c r="P192" s="15">
        <v>379.62</v>
      </c>
      <c r="Q192" s="16">
        <v>1.31</v>
      </c>
      <c r="R192" s="16">
        <v>0.871</v>
      </c>
      <c r="S192" s="12">
        <f t="shared" si="23"/>
        <v>1862.8497202238209</v>
      </c>
      <c r="T192" s="12">
        <f t="shared" si="24"/>
        <v>142316.03053435113</v>
      </c>
      <c r="U192" s="17">
        <f t="shared" si="25"/>
        <v>3.2671265044616882</v>
      </c>
      <c r="V192" s="16">
        <v>100</v>
      </c>
      <c r="W192" s="16">
        <f t="shared" si="26"/>
        <v>63000</v>
      </c>
      <c r="X192" s="16">
        <f t="shared" si="27"/>
        <v>630</v>
      </c>
      <c r="Y192" s="18" t="s">
        <v>2663</v>
      </c>
      <c r="Z192" s="10" t="s">
        <v>35</v>
      </c>
      <c r="AA192" s="10" t="s">
        <v>2777</v>
      </c>
      <c r="AB192" s="10" t="s">
        <v>2664</v>
      </c>
      <c r="AC192" s="10">
        <v>0</v>
      </c>
      <c r="AD192" s="10">
        <v>0</v>
      </c>
      <c r="AE192" s="10" t="s">
        <v>42</v>
      </c>
      <c r="AF192" s="10" t="s">
        <v>43</v>
      </c>
      <c r="AG192" s="10" t="s">
        <v>38</v>
      </c>
      <c r="AH192" s="10" t="s">
        <v>1830</v>
      </c>
    </row>
    <row r="193" spans="1:34" x14ac:dyDescent="0.3">
      <c r="A193" s="75" t="s">
        <v>2163</v>
      </c>
      <c r="B193" s="19" t="s">
        <v>2312</v>
      </c>
      <c r="C193" s="19" t="s">
        <v>2313</v>
      </c>
      <c r="D193" s="20">
        <v>45559</v>
      </c>
      <c r="E193" s="21">
        <v>296500</v>
      </c>
      <c r="F193" s="19" t="s">
        <v>32</v>
      </c>
      <c r="G193" s="19" t="s">
        <v>66</v>
      </c>
      <c r="H193" s="21">
        <v>296500</v>
      </c>
      <c r="I193" s="21">
        <v>80100</v>
      </c>
      <c r="J193" s="22">
        <f t="shared" si="21"/>
        <v>27.015177065767286</v>
      </c>
      <c r="K193" s="21">
        <v>175537</v>
      </c>
      <c r="L193" s="21">
        <f>H193-139567</f>
        <v>156933</v>
      </c>
      <c r="M193" s="21">
        <v>35970</v>
      </c>
      <c r="N193" s="67">
        <f t="shared" si="22"/>
        <v>0.12131534569983136</v>
      </c>
      <c r="O193" s="23">
        <v>74.55</v>
      </c>
      <c r="P193" s="24">
        <v>230.79</v>
      </c>
      <c r="Q193" s="25">
        <v>1.5</v>
      </c>
      <c r="R193" s="25">
        <v>1.05</v>
      </c>
      <c r="S193" s="21">
        <f t="shared" si="23"/>
        <v>2105.0704225352115</v>
      </c>
      <c r="T193" s="21">
        <f t="shared" si="24"/>
        <v>104622</v>
      </c>
      <c r="U193" s="26">
        <f t="shared" si="25"/>
        <v>2.4017906336088153</v>
      </c>
      <c r="V193" s="25">
        <v>85</v>
      </c>
      <c r="W193" s="25">
        <f t="shared" si="26"/>
        <v>59300</v>
      </c>
      <c r="X193" s="25">
        <f t="shared" si="27"/>
        <v>697.64705882352939</v>
      </c>
      <c r="Y193" s="27" t="s">
        <v>2162</v>
      </c>
      <c r="Z193" s="19" t="s">
        <v>35</v>
      </c>
      <c r="AA193" s="19" t="s">
        <v>2314</v>
      </c>
      <c r="AB193" s="19" t="s">
        <v>2163</v>
      </c>
      <c r="AC193" s="19">
        <v>0</v>
      </c>
      <c r="AD193" s="19">
        <v>0</v>
      </c>
      <c r="AE193" s="19" t="s">
        <v>42</v>
      </c>
      <c r="AF193" s="19" t="s">
        <v>43</v>
      </c>
      <c r="AG193" s="19" t="s">
        <v>38</v>
      </c>
      <c r="AH193" s="19"/>
    </row>
    <row r="194" spans="1:34" x14ac:dyDescent="0.3">
      <c r="A194" s="75" t="s">
        <v>2365</v>
      </c>
      <c r="B194" s="19" t="s">
        <v>2390</v>
      </c>
      <c r="C194" s="19" t="s">
        <v>2391</v>
      </c>
      <c r="D194" s="20">
        <v>45449</v>
      </c>
      <c r="E194" s="21">
        <v>50000</v>
      </c>
      <c r="F194" s="19" t="s">
        <v>32</v>
      </c>
      <c r="G194" s="19" t="s">
        <v>33</v>
      </c>
      <c r="H194" s="21">
        <v>50000</v>
      </c>
      <c r="I194" s="21">
        <v>52200</v>
      </c>
      <c r="J194" s="22">
        <f t="shared" si="21"/>
        <v>104.4</v>
      </c>
      <c r="K194" s="21">
        <v>123010</v>
      </c>
      <c r="L194" s="21">
        <f>H194-114214</f>
        <v>-64214</v>
      </c>
      <c r="M194" s="21">
        <v>8796</v>
      </c>
      <c r="N194" s="67">
        <f t="shared" si="22"/>
        <v>0.17591999999999999</v>
      </c>
      <c r="O194" s="23">
        <v>58.64</v>
      </c>
      <c r="P194" s="24">
        <v>161.59</v>
      </c>
      <c r="Q194" s="25">
        <v>0.19700000000000001</v>
      </c>
      <c r="R194" s="25">
        <v>0.19700000000000001</v>
      </c>
      <c r="S194" s="21">
        <f t="shared" si="23"/>
        <v>-1095.0545702592087</v>
      </c>
      <c r="T194" s="21">
        <f t="shared" si="24"/>
        <v>-325959.39086294413</v>
      </c>
      <c r="U194" s="26">
        <f t="shared" si="25"/>
        <v>-7.4829979536947686</v>
      </c>
      <c r="V194" s="25">
        <v>53</v>
      </c>
      <c r="W194" s="25">
        <f t="shared" si="26"/>
        <v>10000</v>
      </c>
      <c r="X194" s="25">
        <f t="shared" si="27"/>
        <v>188.67924528301887</v>
      </c>
      <c r="Y194" s="27" t="s">
        <v>2364</v>
      </c>
      <c r="Z194" s="19" t="s">
        <v>35</v>
      </c>
      <c r="AA194" s="19" t="s">
        <v>35</v>
      </c>
      <c r="AB194" s="19" t="s">
        <v>2365</v>
      </c>
      <c r="AC194" s="19">
        <v>0</v>
      </c>
      <c r="AD194" s="19">
        <v>1</v>
      </c>
      <c r="AE194" s="19" t="s">
        <v>37</v>
      </c>
      <c r="AF194" s="19" t="s">
        <v>43</v>
      </c>
      <c r="AG194" s="19" t="s">
        <v>38</v>
      </c>
      <c r="AH194" s="19" t="s">
        <v>92</v>
      </c>
    </row>
    <row r="195" spans="1:34" x14ac:dyDescent="0.3">
      <c r="A195" s="74" t="s">
        <v>1916</v>
      </c>
      <c r="B195" s="10" t="s">
        <v>1917</v>
      </c>
      <c r="C195" s="10" t="s">
        <v>1918</v>
      </c>
      <c r="D195" s="11">
        <v>45679</v>
      </c>
      <c r="E195" s="12">
        <v>255000</v>
      </c>
      <c r="F195" s="10" t="s">
        <v>32</v>
      </c>
      <c r="G195" s="10" t="s">
        <v>33</v>
      </c>
      <c r="H195" s="12">
        <v>255000</v>
      </c>
      <c r="I195" s="12">
        <v>138100</v>
      </c>
      <c r="J195" s="13">
        <f t="shared" si="21"/>
        <v>54.156862745098046</v>
      </c>
      <c r="K195" s="12">
        <v>313327</v>
      </c>
      <c r="L195" s="12">
        <f>H195-300548</f>
        <v>-45548</v>
      </c>
      <c r="M195" s="12">
        <v>12779</v>
      </c>
      <c r="N195" s="66">
        <f t="shared" si="22"/>
        <v>5.0113725490196076E-2</v>
      </c>
      <c r="O195" s="14">
        <v>66.55</v>
      </c>
      <c r="P195" s="15">
        <v>300</v>
      </c>
      <c r="Q195" s="16">
        <v>0.45500000000000002</v>
      </c>
      <c r="R195" s="16">
        <v>0.45500000000000002</v>
      </c>
      <c r="S195" s="12">
        <f t="shared" si="23"/>
        <v>-684.41773102930131</v>
      </c>
      <c r="T195" s="12">
        <f t="shared" si="24"/>
        <v>-100105.4945054945</v>
      </c>
      <c r="U195" s="17">
        <f t="shared" si="25"/>
        <v>-2.2981059344695707</v>
      </c>
      <c r="V195" s="16">
        <v>66</v>
      </c>
      <c r="W195" s="16">
        <f t="shared" si="26"/>
        <v>51000</v>
      </c>
      <c r="X195" s="16">
        <f t="shared" si="27"/>
        <v>772.72727272727275</v>
      </c>
      <c r="Y195" s="18" t="s">
        <v>1915</v>
      </c>
      <c r="Z195" s="10" t="s">
        <v>35</v>
      </c>
      <c r="AA195" s="10" t="s">
        <v>35</v>
      </c>
      <c r="AB195" s="10" t="s">
        <v>1916</v>
      </c>
      <c r="AC195" s="10">
        <v>0</v>
      </c>
      <c r="AD195" s="10">
        <v>1</v>
      </c>
      <c r="AE195" s="10" t="s">
        <v>42</v>
      </c>
      <c r="AF195" s="10" t="s">
        <v>35</v>
      </c>
      <c r="AG195" s="10" t="s">
        <v>38</v>
      </c>
      <c r="AH195" s="10" t="s">
        <v>92</v>
      </c>
    </row>
    <row r="196" spans="1:34" x14ac:dyDescent="0.3">
      <c r="A196" s="74" t="s">
        <v>2846</v>
      </c>
      <c r="B196" s="10" t="s">
        <v>2873</v>
      </c>
      <c r="C196" s="10" t="s">
        <v>2874</v>
      </c>
      <c r="D196" s="11">
        <v>45149</v>
      </c>
      <c r="E196" s="12">
        <v>245000</v>
      </c>
      <c r="F196" s="10" t="s">
        <v>32</v>
      </c>
      <c r="G196" s="10" t="s">
        <v>33</v>
      </c>
      <c r="H196" s="12">
        <v>245000</v>
      </c>
      <c r="I196" s="12">
        <v>119900</v>
      </c>
      <c r="J196" s="13">
        <f t="shared" si="21"/>
        <v>48.938775510204081</v>
      </c>
      <c r="K196" s="12">
        <v>317721</v>
      </c>
      <c r="L196" s="12">
        <f>H196-303161</f>
        <v>-58161</v>
      </c>
      <c r="M196" s="12">
        <v>14560</v>
      </c>
      <c r="N196" s="66">
        <f t="shared" si="22"/>
        <v>5.9428571428571428E-2</v>
      </c>
      <c r="O196" s="14">
        <v>91</v>
      </c>
      <c r="P196" s="15">
        <v>211.25</v>
      </c>
      <c r="Q196" s="16">
        <v>0.33900000000000002</v>
      </c>
      <c r="R196" s="16">
        <v>0.33900000000000002</v>
      </c>
      <c r="S196" s="12">
        <f t="shared" si="23"/>
        <v>-639.13186813186815</v>
      </c>
      <c r="T196" s="12">
        <f t="shared" si="24"/>
        <v>-171566.37168141591</v>
      </c>
      <c r="U196" s="17">
        <f t="shared" si="25"/>
        <v>-3.9386219394264441</v>
      </c>
      <c r="V196" s="16">
        <v>70</v>
      </c>
      <c r="W196" s="16">
        <f t="shared" si="26"/>
        <v>49000</v>
      </c>
      <c r="X196" s="16">
        <f t="shared" si="27"/>
        <v>700</v>
      </c>
      <c r="Y196" s="18" t="s">
        <v>2845</v>
      </c>
      <c r="Z196" s="10" t="s">
        <v>35</v>
      </c>
      <c r="AA196" s="10" t="s">
        <v>35</v>
      </c>
      <c r="AB196" s="10" t="s">
        <v>2846</v>
      </c>
      <c r="AC196" s="10">
        <v>0</v>
      </c>
      <c r="AD196" s="10">
        <v>1</v>
      </c>
      <c r="AE196" s="10" t="s">
        <v>2875</v>
      </c>
      <c r="AF196" s="10" t="s">
        <v>43</v>
      </c>
      <c r="AG196" s="10" t="s">
        <v>38</v>
      </c>
      <c r="AH196" s="10" t="s">
        <v>92</v>
      </c>
    </row>
    <row r="197" spans="1:34" x14ac:dyDescent="0.3">
      <c r="A197" s="74" t="s">
        <v>1194</v>
      </c>
      <c r="B197" s="10" t="s">
        <v>1529</v>
      </c>
      <c r="C197" s="10" t="s">
        <v>1530</v>
      </c>
      <c r="D197" s="11">
        <v>45308</v>
      </c>
      <c r="E197" s="12">
        <v>120000</v>
      </c>
      <c r="F197" s="10" t="s">
        <v>81</v>
      </c>
      <c r="G197" s="10" t="s">
        <v>33</v>
      </c>
      <c r="H197" s="12">
        <v>120000</v>
      </c>
      <c r="I197" s="12">
        <v>93600</v>
      </c>
      <c r="J197" s="13">
        <f t="shared" si="21"/>
        <v>78</v>
      </c>
      <c r="K197" s="12">
        <v>232138</v>
      </c>
      <c r="L197" s="12">
        <f>H197-206968</f>
        <v>-86968</v>
      </c>
      <c r="M197" s="12">
        <v>25170</v>
      </c>
      <c r="N197" s="66">
        <f t="shared" si="22"/>
        <v>0.20974999999999999</v>
      </c>
      <c r="O197" s="14">
        <v>139.83000000000001</v>
      </c>
      <c r="P197" s="15">
        <v>580.82000000000005</v>
      </c>
      <c r="Q197" s="16">
        <v>1.087</v>
      </c>
      <c r="R197" s="16">
        <v>1.087</v>
      </c>
      <c r="S197" s="12">
        <f t="shared" si="23"/>
        <v>-621.95523135235635</v>
      </c>
      <c r="T197" s="12">
        <f t="shared" si="24"/>
        <v>-80007.359705611772</v>
      </c>
      <c r="U197" s="17">
        <f t="shared" si="25"/>
        <v>-1.8367162466853024</v>
      </c>
      <c r="V197" s="16">
        <v>83.08</v>
      </c>
      <c r="W197" s="16">
        <f t="shared" si="26"/>
        <v>24000</v>
      </c>
      <c r="X197" s="16">
        <f t="shared" si="27"/>
        <v>288.87818969667791</v>
      </c>
      <c r="Y197" s="18" t="s">
        <v>1193</v>
      </c>
      <c r="Z197" s="10" t="s">
        <v>35</v>
      </c>
      <c r="AA197" s="10" t="s">
        <v>35</v>
      </c>
      <c r="AB197" s="10" t="s">
        <v>1194</v>
      </c>
      <c r="AC197" s="10">
        <v>0</v>
      </c>
      <c r="AD197" s="10">
        <v>1</v>
      </c>
      <c r="AE197" s="10" t="s">
        <v>42</v>
      </c>
      <c r="AF197" s="10" t="s">
        <v>35</v>
      </c>
      <c r="AG197" s="10" t="s">
        <v>38</v>
      </c>
      <c r="AH197" s="10" t="s">
        <v>92</v>
      </c>
    </row>
    <row r="198" spans="1:34" x14ac:dyDescent="0.3">
      <c r="A198" s="74" t="s">
        <v>1324</v>
      </c>
      <c r="B198" s="10" t="s">
        <v>1343</v>
      </c>
      <c r="C198" s="10" t="s">
        <v>1344</v>
      </c>
      <c r="D198" s="11">
        <v>45644</v>
      </c>
      <c r="E198" s="12">
        <v>125000</v>
      </c>
      <c r="F198" s="10" t="s">
        <v>32</v>
      </c>
      <c r="G198" s="10" t="s">
        <v>33</v>
      </c>
      <c r="H198" s="12">
        <v>125000</v>
      </c>
      <c r="I198" s="12">
        <v>83900</v>
      </c>
      <c r="J198" s="13">
        <f t="shared" si="21"/>
        <v>67.12</v>
      </c>
      <c r="K198" s="12">
        <v>169084</v>
      </c>
      <c r="L198" s="12">
        <f>H198-158498</f>
        <v>-33498</v>
      </c>
      <c r="M198" s="12">
        <v>10586</v>
      </c>
      <c r="N198" s="66">
        <f t="shared" si="22"/>
        <v>8.4687999999999999E-2</v>
      </c>
      <c r="O198" s="14">
        <v>55.13</v>
      </c>
      <c r="P198" s="15">
        <v>152</v>
      </c>
      <c r="Q198" s="16">
        <v>0.17399999999999999</v>
      </c>
      <c r="R198" s="16">
        <v>0.17399999999999999</v>
      </c>
      <c r="S198" s="12">
        <f t="shared" si="23"/>
        <v>-607.61835661164514</v>
      </c>
      <c r="T198" s="12">
        <f t="shared" si="24"/>
        <v>-192517.24137931035</v>
      </c>
      <c r="U198" s="17">
        <f t="shared" si="25"/>
        <v>-4.4195877267977579</v>
      </c>
      <c r="V198" s="16">
        <v>50</v>
      </c>
      <c r="W198" s="16">
        <f t="shared" si="26"/>
        <v>25000</v>
      </c>
      <c r="X198" s="16">
        <f t="shared" si="27"/>
        <v>500</v>
      </c>
      <c r="Y198" s="18" t="s">
        <v>1323</v>
      </c>
      <c r="Z198" s="10" t="s">
        <v>35</v>
      </c>
      <c r="AA198" s="10" t="s">
        <v>35</v>
      </c>
      <c r="AB198" s="10" t="s">
        <v>1324</v>
      </c>
      <c r="AC198" s="10">
        <v>0</v>
      </c>
      <c r="AD198" s="10">
        <v>1</v>
      </c>
      <c r="AE198" s="10" t="s">
        <v>412</v>
      </c>
      <c r="AF198" s="10" t="s">
        <v>35</v>
      </c>
      <c r="AG198" s="10" t="s">
        <v>38</v>
      </c>
      <c r="AH198" s="10" t="s">
        <v>92</v>
      </c>
    </row>
    <row r="199" spans="1:34" x14ac:dyDescent="0.3">
      <c r="A199" s="74" t="s">
        <v>1824</v>
      </c>
      <c r="B199" s="10" t="s">
        <v>1821</v>
      </c>
      <c r="C199" s="10" t="s">
        <v>1822</v>
      </c>
      <c r="D199" s="11">
        <v>45660</v>
      </c>
      <c r="E199" s="12">
        <v>145000</v>
      </c>
      <c r="F199" s="10" t="s">
        <v>32</v>
      </c>
      <c r="G199" s="10" t="s">
        <v>33</v>
      </c>
      <c r="H199" s="12">
        <v>145000</v>
      </c>
      <c r="I199" s="12">
        <v>80800</v>
      </c>
      <c r="J199" s="13">
        <f t="shared" si="21"/>
        <v>55.724137931034477</v>
      </c>
      <c r="K199" s="12">
        <v>199288</v>
      </c>
      <c r="L199" s="12">
        <f>H199-189314</f>
        <v>-44314</v>
      </c>
      <c r="M199" s="12">
        <v>9974</v>
      </c>
      <c r="N199" s="66">
        <f t="shared" si="22"/>
        <v>6.8786206896551724E-2</v>
      </c>
      <c r="O199" s="14">
        <v>74.430000000000007</v>
      </c>
      <c r="P199" s="15">
        <v>305.26</v>
      </c>
      <c r="Q199" s="16">
        <v>0.46300000000000002</v>
      </c>
      <c r="R199" s="16">
        <v>0.46300000000000002</v>
      </c>
      <c r="S199" s="12">
        <f t="shared" si="23"/>
        <v>-595.37820771194401</v>
      </c>
      <c r="T199" s="12">
        <f t="shared" si="24"/>
        <v>-95710.583153347732</v>
      </c>
      <c r="U199" s="17">
        <f t="shared" si="25"/>
        <v>-2.197212652739847</v>
      </c>
      <c r="V199" s="16">
        <v>66</v>
      </c>
      <c r="W199" s="16">
        <f t="shared" si="26"/>
        <v>29000</v>
      </c>
      <c r="X199" s="16">
        <f t="shared" si="27"/>
        <v>439.39393939393938</v>
      </c>
      <c r="Y199" s="18" t="s">
        <v>1823</v>
      </c>
      <c r="Z199" s="10" t="s">
        <v>35</v>
      </c>
      <c r="AA199" s="10" t="s">
        <v>35</v>
      </c>
      <c r="AB199" s="10" t="s">
        <v>1824</v>
      </c>
      <c r="AC199" s="10">
        <v>0</v>
      </c>
      <c r="AD199" s="10">
        <v>1</v>
      </c>
      <c r="AE199" s="10" t="s">
        <v>1825</v>
      </c>
      <c r="AF199" s="10" t="s">
        <v>35</v>
      </c>
      <c r="AG199" s="10" t="s">
        <v>38</v>
      </c>
      <c r="AH199" s="10" t="s">
        <v>92</v>
      </c>
    </row>
    <row r="200" spans="1:34" x14ac:dyDescent="0.3">
      <c r="A200" s="75" t="s">
        <v>2435</v>
      </c>
      <c r="B200" s="19" t="s">
        <v>2448</v>
      </c>
      <c r="C200" s="19" t="s">
        <v>2449</v>
      </c>
      <c r="D200" s="20">
        <v>45706</v>
      </c>
      <c r="E200" s="21">
        <v>80000</v>
      </c>
      <c r="F200" s="19" t="s">
        <v>32</v>
      </c>
      <c r="G200" s="19" t="s">
        <v>33</v>
      </c>
      <c r="H200" s="21">
        <v>80000</v>
      </c>
      <c r="I200" s="21">
        <v>54500</v>
      </c>
      <c r="J200" s="22">
        <f t="shared" si="21"/>
        <v>68.125</v>
      </c>
      <c r="K200" s="21">
        <v>124510</v>
      </c>
      <c r="L200" s="21">
        <f>H200-113536</f>
        <v>-33536</v>
      </c>
      <c r="M200" s="21">
        <v>10974</v>
      </c>
      <c r="N200" s="67">
        <f t="shared" si="22"/>
        <v>0.13717499999999999</v>
      </c>
      <c r="O200" s="23">
        <v>59.31</v>
      </c>
      <c r="P200" s="24">
        <v>182.97</v>
      </c>
      <c r="Q200" s="25">
        <v>0.21</v>
      </c>
      <c r="R200" s="25">
        <v>0.21</v>
      </c>
      <c r="S200" s="21">
        <f t="shared" si="23"/>
        <v>-565.43584555724158</v>
      </c>
      <c r="T200" s="21">
        <f t="shared" si="24"/>
        <v>-159695.23809523811</v>
      </c>
      <c r="U200" s="26">
        <f t="shared" si="25"/>
        <v>-3.6660982115527574</v>
      </c>
      <c r="V200" s="25">
        <v>50</v>
      </c>
      <c r="W200" s="25">
        <f t="shared" si="26"/>
        <v>16000</v>
      </c>
      <c r="X200" s="25">
        <f t="shared" si="27"/>
        <v>320</v>
      </c>
      <c r="Y200" s="27" t="s">
        <v>2434</v>
      </c>
      <c r="Z200" s="19" t="s">
        <v>35</v>
      </c>
      <c r="AA200" s="19" t="s">
        <v>35</v>
      </c>
      <c r="AB200" s="19" t="s">
        <v>2435</v>
      </c>
      <c r="AC200" s="19">
        <v>0</v>
      </c>
      <c r="AD200" s="19">
        <v>1</v>
      </c>
      <c r="AE200" s="19" t="s">
        <v>412</v>
      </c>
      <c r="AF200" s="19" t="s">
        <v>35</v>
      </c>
      <c r="AG200" s="19" t="s">
        <v>38</v>
      </c>
      <c r="AH200" s="19" t="s">
        <v>92</v>
      </c>
    </row>
    <row r="201" spans="1:34" x14ac:dyDescent="0.3">
      <c r="A201" s="74" t="s">
        <v>91</v>
      </c>
      <c r="B201" s="10" t="s">
        <v>93</v>
      </c>
      <c r="C201" s="10" t="s">
        <v>94</v>
      </c>
      <c r="D201" s="11">
        <v>45428</v>
      </c>
      <c r="E201" s="12">
        <v>101200</v>
      </c>
      <c r="F201" s="10" t="s">
        <v>32</v>
      </c>
      <c r="G201" s="10" t="s">
        <v>33</v>
      </c>
      <c r="H201" s="12">
        <v>101200</v>
      </c>
      <c r="I201" s="12">
        <v>63300</v>
      </c>
      <c r="J201" s="13">
        <f t="shared" si="21"/>
        <v>62.549407114624515</v>
      </c>
      <c r="K201" s="12">
        <v>147608</v>
      </c>
      <c r="L201" s="12">
        <f>H201-135255</f>
        <v>-34055</v>
      </c>
      <c r="M201" s="12">
        <v>12353</v>
      </c>
      <c r="N201" s="66">
        <f t="shared" si="22"/>
        <v>0.12206521739130435</v>
      </c>
      <c r="O201" s="14">
        <v>62.38</v>
      </c>
      <c r="P201" s="15">
        <v>164.21</v>
      </c>
      <c r="Q201" s="16">
        <v>0.22500000000000001</v>
      </c>
      <c r="R201" s="16">
        <v>0.22500000000000001</v>
      </c>
      <c r="S201" s="12">
        <f t="shared" si="23"/>
        <v>-545.92818210965049</v>
      </c>
      <c r="T201" s="12">
        <f t="shared" si="24"/>
        <v>-151355.55555555556</v>
      </c>
      <c r="U201" s="17">
        <f t="shared" si="25"/>
        <v>-3.4746454443424142</v>
      </c>
      <c r="V201" s="16">
        <v>43.95</v>
      </c>
      <c r="W201" s="16">
        <f t="shared" si="26"/>
        <v>20240</v>
      </c>
      <c r="X201" s="16">
        <f t="shared" si="27"/>
        <v>460.52332195676905</v>
      </c>
      <c r="Y201" s="18" t="s">
        <v>90</v>
      </c>
      <c r="Z201" s="10" t="s">
        <v>35</v>
      </c>
      <c r="AA201" s="10" t="s">
        <v>35</v>
      </c>
      <c r="AB201" s="10" t="s">
        <v>91</v>
      </c>
      <c r="AC201" s="10">
        <v>0</v>
      </c>
      <c r="AD201" s="10">
        <v>1</v>
      </c>
      <c r="AE201" s="10" t="s">
        <v>42</v>
      </c>
      <c r="AF201" s="10" t="s">
        <v>43</v>
      </c>
      <c r="AG201" s="10" t="s">
        <v>38</v>
      </c>
      <c r="AH201" s="10" t="s">
        <v>92</v>
      </c>
    </row>
    <row r="202" spans="1:34" x14ac:dyDescent="0.3">
      <c r="A202" s="75" t="s">
        <v>1639</v>
      </c>
      <c r="B202" s="19" t="s">
        <v>1672</v>
      </c>
      <c r="C202" s="19" t="s">
        <v>1673</v>
      </c>
      <c r="D202" s="20">
        <v>45483</v>
      </c>
      <c r="E202" s="21">
        <v>130000</v>
      </c>
      <c r="F202" s="19" t="s">
        <v>32</v>
      </c>
      <c r="G202" s="19" t="s">
        <v>33</v>
      </c>
      <c r="H202" s="21">
        <v>130000</v>
      </c>
      <c r="I202" s="21">
        <v>97300</v>
      </c>
      <c r="J202" s="22">
        <f t="shared" si="21"/>
        <v>74.846153846153854</v>
      </c>
      <c r="K202" s="21">
        <v>210657</v>
      </c>
      <c r="L202" s="21">
        <f>H202-190967</f>
        <v>-60967</v>
      </c>
      <c r="M202" s="21">
        <v>19690</v>
      </c>
      <c r="N202" s="67">
        <f t="shared" si="22"/>
        <v>0.15146153846153845</v>
      </c>
      <c r="O202" s="23">
        <v>120.05</v>
      </c>
      <c r="P202" s="24">
        <v>182</v>
      </c>
      <c r="Q202" s="25">
        <v>0.55200000000000005</v>
      </c>
      <c r="R202" s="25">
        <v>0.55200000000000005</v>
      </c>
      <c r="S202" s="21">
        <f t="shared" si="23"/>
        <v>-507.8467305289463</v>
      </c>
      <c r="T202" s="21">
        <f t="shared" si="24"/>
        <v>-110447.46376811594</v>
      </c>
      <c r="U202" s="26">
        <f t="shared" si="25"/>
        <v>-2.5355248798924688</v>
      </c>
      <c r="V202" s="25">
        <v>132</v>
      </c>
      <c r="W202" s="25">
        <f t="shared" si="26"/>
        <v>26000</v>
      </c>
      <c r="X202" s="25">
        <f t="shared" si="27"/>
        <v>196.96969696969697</v>
      </c>
      <c r="Y202" s="27" t="s">
        <v>1638</v>
      </c>
      <c r="Z202" s="19" t="s">
        <v>35</v>
      </c>
      <c r="AA202" s="19" t="s">
        <v>35</v>
      </c>
      <c r="AB202" s="19" t="s">
        <v>1639</v>
      </c>
      <c r="AC202" s="19">
        <v>0</v>
      </c>
      <c r="AD202" s="19">
        <v>1</v>
      </c>
      <c r="AE202" s="19" t="s">
        <v>42</v>
      </c>
      <c r="AF202" s="19" t="s">
        <v>43</v>
      </c>
      <c r="AG202" s="19" t="s">
        <v>38</v>
      </c>
      <c r="AH202" s="19" t="s">
        <v>92</v>
      </c>
    </row>
    <row r="203" spans="1:34" x14ac:dyDescent="0.3">
      <c r="A203" s="75" t="s">
        <v>2131</v>
      </c>
      <c r="B203" s="19" t="s">
        <v>2128</v>
      </c>
      <c r="C203" s="19" t="s">
        <v>2129</v>
      </c>
      <c r="D203" s="20">
        <v>45358</v>
      </c>
      <c r="E203" s="21">
        <v>280000</v>
      </c>
      <c r="F203" s="19" t="s">
        <v>32</v>
      </c>
      <c r="G203" s="19" t="s">
        <v>33</v>
      </c>
      <c r="H203" s="21">
        <v>280000</v>
      </c>
      <c r="I203" s="21">
        <v>138100</v>
      </c>
      <c r="J203" s="22">
        <f t="shared" si="21"/>
        <v>49.321428571428569</v>
      </c>
      <c r="K203" s="21">
        <v>378390</v>
      </c>
      <c r="L203" s="21">
        <f>H203-351361</f>
        <v>-71361</v>
      </c>
      <c r="M203" s="21">
        <v>27029</v>
      </c>
      <c r="N203" s="67">
        <f t="shared" si="22"/>
        <v>9.6532142857142858E-2</v>
      </c>
      <c r="O203" s="23">
        <v>142.25</v>
      </c>
      <c r="P203" s="24">
        <v>172.8</v>
      </c>
      <c r="Q203" s="25">
        <v>0.55600000000000005</v>
      </c>
      <c r="R203" s="25">
        <v>0.55600000000000005</v>
      </c>
      <c r="S203" s="21">
        <f t="shared" si="23"/>
        <v>-501.65905096660811</v>
      </c>
      <c r="T203" s="21">
        <f t="shared" si="24"/>
        <v>-128347.12230215826</v>
      </c>
      <c r="U203" s="26">
        <f t="shared" si="25"/>
        <v>-2.9464444972947259</v>
      </c>
      <c r="V203" s="25">
        <v>90</v>
      </c>
      <c r="W203" s="25">
        <f t="shared" si="26"/>
        <v>56000</v>
      </c>
      <c r="X203" s="25">
        <f t="shared" si="27"/>
        <v>622.22222222222217</v>
      </c>
      <c r="Y203" s="27" t="s">
        <v>2130</v>
      </c>
      <c r="Z203" s="19" t="s">
        <v>35</v>
      </c>
      <c r="AA203" s="19" t="s">
        <v>35</v>
      </c>
      <c r="AB203" s="19" t="s">
        <v>2131</v>
      </c>
      <c r="AC203" s="19">
        <v>0</v>
      </c>
      <c r="AD203" s="19">
        <v>1</v>
      </c>
      <c r="AE203" s="19" t="s">
        <v>42</v>
      </c>
      <c r="AF203" s="19" t="s">
        <v>43</v>
      </c>
      <c r="AG203" s="19" t="s">
        <v>38</v>
      </c>
      <c r="AH203" s="19" t="s">
        <v>92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5">
    <tabColor rgb="FF00B050"/>
  </sheetPr>
  <dimension ref="A1:AH24"/>
  <sheetViews>
    <sheetView workbookViewId="0">
      <selection activeCell="B10" sqref="B10:L17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.664062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2083</v>
      </c>
      <c r="B2" s="10" t="s">
        <v>2088</v>
      </c>
      <c r="C2" s="10" t="s">
        <v>248</v>
      </c>
      <c r="D2" s="11">
        <v>45441</v>
      </c>
      <c r="E2" s="12">
        <v>6000</v>
      </c>
      <c r="F2" s="10" t="s">
        <v>32</v>
      </c>
      <c r="G2" s="10" t="s">
        <v>33</v>
      </c>
      <c r="H2" s="12">
        <v>6000</v>
      </c>
      <c r="I2" s="12">
        <v>3900</v>
      </c>
      <c r="J2" s="13">
        <f t="shared" ref="J2:J6" si="0">I2/H2*100</f>
        <v>65</v>
      </c>
      <c r="K2" s="12">
        <v>8747</v>
      </c>
      <c r="L2" s="12">
        <f>H2-0</f>
        <v>6000</v>
      </c>
      <c r="M2" s="12">
        <v>8747</v>
      </c>
      <c r="N2" s="66"/>
      <c r="O2" s="14">
        <v>41.45</v>
      </c>
      <c r="P2" s="15">
        <v>145</v>
      </c>
      <c r="Q2" s="16">
        <v>0.13300000000000001</v>
      </c>
      <c r="R2" s="16">
        <v>0.13300000000000001</v>
      </c>
      <c r="S2" s="12">
        <f t="shared" ref="S2:S6" si="1">L2/O2</f>
        <v>144.75271411338963</v>
      </c>
      <c r="T2" s="12">
        <f t="shared" ref="T2:T6" si="2">L2/Q2</f>
        <v>45112.781954887214</v>
      </c>
      <c r="U2" s="17">
        <f t="shared" ref="U2:U6" si="3">L2/Q2/43560</f>
        <v>1.0356469686613226</v>
      </c>
      <c r="V2" s="16">
        <v>40</v>
      </c>
      <c r="W2" s="16">
        <f t="shared" ref="W2:W6" si="4">0.2*E2</f>
        <v>1200</v>
      </c>
      <c r="X2" s="16">
        <f t="shared" ref="X2:X6" si="5">W2/V2</f>
        <v>30</v>
      </c>
      <c r="Y2" s="18" t="s">
        <v>2081</v>
      </c>
      <c r="Z2" s="10" t="s">
        <v>35</v>
      </c>
      <c r="AA2" s="10" t="s">
        <v>35</v>
      </c>
      <c r="AB2" s="10" t="s">
        <v>2083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61</v>
      </c>
      <c r="AH2" s="10" t="s">
        <v>92</v>
      </c>
    </row>
    <row r="3" spans="1:34" x14ac:dyDescent="0.3">
      <c r="A3" s="75" t="s">
        <v>2083</v>
      </c>
      <c r="B3" s="19" t="s">
        <v>2086</v>
      </c>
      <c r="C3" s="19" t="s">
        <v>2087</v>
      </c>
      <c r="D3" s="20">
        <v>45296</v>
      </c>
      <c r="E3" s="21">
        <v>165000</v>
      </c>
      <c r="F3" s="19" t="s">
        <v>32</v>
      </c>
      <c r="G3" s="19" t="s">
        <v>33</v>
      </c>
      <c r="H3" s="21">
        <v>165000</v>
      </c>
      <c r="I3" s="21">
        <v>53600</v>
      </c>
      <c r="J3" s="22">
        <f t="shared" si="0"/>
        <v>32.484848484848484</v>
      </c>
      <c r="K3" s="21">
        <v>149785</v>
      </c>
      <c r="L3" s="21">
        <f>H3-138814</f>
        <v>26186</v>
      </c>
      <c r="M3" s="21">
        <v>10971</v>
      </c>
      <c r="N3" s="67">
        <f t="shared" ref="N3:N6" si="6">M3/E3</f>
        <v>6.6490909090909087E-2</v>
      </c>
      <c r="O3" s="23">
        <v>51.99</v>
      </c>
      <c r="P3" s="24">
        <v>146</v>
      </c>
      <c r="Q3" s="25">
        <v>0.16800000000000001</v>
      </c>
      <c r="R3" s="25">
        <v>0.16800000000000001</v>
      </c>
      <c r="S3" s="21">
        <f t="shared" si="1"/>
        <v>503.67378341988842</v>
      </c>
      <c r="T3" s="21">
        <f t="shared" si="2"/>
        <v>155869.0476190476</v>
      </c>
      <c r="U3" s="26">
        <f t="shared" si="3"/>
        <v>3.5782609646246009</v>
      </c>
      <c r="V3" s="25">
        <v>50</v>
      </c>
      <c r="W3" s="25">
        <f t="shared" si="4"/>
        <v>33000</v>
      </c>
      <c r="X3" s="25">
        <f t="shared" si="5"/>
        <v>660</v>
      </c>
      <c r="Y3" s="27" t="s">
        <v>2081</v>
      </c>
      <c r="Z3" s="19" t="s">
        <v>35</v>
      </c>
      <c r="AA3" s="19" t="s">
        <v>35</v>
      </c>
      <c r="AB3" s="19" t="s">
        <v>2083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2083</v>
      </c>
      <c r="B4" s="10" t="s">
        <v>2095</v>
      </c>
      <c r="C4" s="10" t="s">
        <v>2096</v>
      </c>
      <c r="D4" s="11">
        <v>45309</v>
      </c>
      <c r="E4" s="12">
        <v>160000</v>
      </c>
      <c r="F4" s="10" t="s">
        <v>32</v>
      </c>
      <c r="G4" s="10" t="s">
        <v>33</v>
      </c>
      <c r="H4" s="12">
        <v>160000</v>
      </c>
      <c r="I4" s="12">
        <v>48000</v>
      </c>
      <c r="J4" s="13">
        <f t="shared" si="0"/>
        <v>30</v>
      </c>
      <c r="K4" s="12">
        <v>131901</v>
      </c>
      <c r="L4" s="12">
        <f>H4-113867</f>
        <v>46133</v>
      </c>
      <c r="M4" s="12">
        <v>18034</v>
      </c>
      <c r="N4" s="66">
        <f t="shared" si="6"/>
        <v>0.11271249999999999</v>
      </c>
      <c r="O4" s="14">
        <v>85.47</v>
      </c>
      <c r="P4" s="15">
        <v>136.5</v>
      </c>
      <c r="Q4" s="16">
        <v>0.26600000000000001</v>
      </c>
      <c r="R4" s="16">
        <v>0.26600000000000001</v>
      </c>
      <c r="S4" s="12">
        <f t="shared" si="1"/>
        <v>539.75663975663974</v>
      </c>
      <c r="T4" s="12">
        <f t="shared" si="2"/>
        <v>173432.33082706766</v>
      </c>
      <c r="U4" s="17">
        <f t="shared" si="3"/>
        <v>3.9814584671044</v>
      </c>
      <c r="V4" s="16">
        <v>85</v>
      </c>
      <c r="W4" s="16">
        <f t="shared" si="4"/>
        <v>32000</v>
      </c>
      <c r="X4" s="16">
        <f t="shared" si="5"/>
        <v>376.47058823529414</v>
      </c>
      <c r="Y4" s="18" t="s">
        <v>2081</v>
      </c>
      <c r="Z4" s="10" t="s">
        <v>35</v>
      </c>
      <c r="AA4" s="10" t="s">
        <v>35</v>
      </c>
      <c r="AB4" s="10" t="s">
        <v>2083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2083</v>
      </c>
      <c r="B5" s="19" t="s">
        <v>2084</v>
      </c>
      <c r="C5" s="19" t="s">
        <v>2085</v>
      </c>
      <c r="D5" s="20">
        <v>45119</v>
      </c>
      <c r="E5" s="21">
        <v>170000</v>
      </c>
      <c r="F5" s="19" t="s">
        <v>32</v>
      </c>
      <c r="G5" s="19" t="s">
        <v>33</v>
      </c>
      <c r="H5" s="21">
        <v>170000</v>
      </c>
      <c r="I5" s="21">
        <v>54900</v>
      </c>
      <c r="J5" s="22">
        <f t="shared" si="0"/>
        <v>32.294117647058826</v>
      </c>
      <c r="K5" s="21">
        <v>143895</v>
      </c>
      <c r="L5" s="21">
        <f>H5-132961</f>
        <v>37039</v>
      </c>
      <c r="M5" s="21">
        <v>10934</v>
      </c>
      <c r="N5" s="67">
        <f t="shared" si="6"/>
        <v>6.4317647058823535E-2</v>
      </c>
      <c r="O5" s="23">
        <v>51.81</v>
      </c>
      <c r="P5" s="24">
        <v>145</v>
      </c>
      <c r="Q5" s="25">
        <v>0.16600000000000001</v>
      </c>
      <c r="R5" s="25">
        <v>0.16600000000000001</v>
      </c>
      <c r="S5" s="21">
        <f t="shared" si="1"/>
        <v>714.90059834008878</v>
      </c>
      <c r="T5" s="21">
        <f t="shared" si="2"/>
        <v>223126.50602409636</v>
      </c>
      <c r="U5" s="26">
        <f t="shared" si="3"/>
        <v>5.122279752619292</v>
      </c>
      <c r="V5" s="25">
        <v>50</v>
      </c>
      <c r="W5" s="25">
        <f t="shared" si="4"/>
        <v>34000</v>
      </c>
      <c r="X5" s="25">
        <f t="shared" si="5"/>
        <v>680</v>
      </c>
      <c r="Y5" s="27" t="s">
        <v>2081</v>
      </c>
      <c r="Z5" s="19" t="s">
        <v>35</v>
      </c>
      <c r="AA5" s="19" t="s">
        <v>35</v>
      </c>
      <c r="AB5" s="19" t="s">
        <v>2083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ht="15" thickBot="1" x14ac:dyDescent="0.35">
      <c r="A6" s="75" t="s">
        <v>2083</v>
      </c>
      <c r="B6" s="19" t="s">
        <v>2093</v>
      </c>
      <c r="C6" s="19" t="s">
        <v>2094</v>
      </c>
      <c r="D6" s="20">
        <v>45373</v>
      </c>
      <c r="E6" s="21">
        <v>183000</v>
      </c>
      <c r="F6" s="19" t="s">
        <v>32</v>
      </c>
      <c r="G6" s="19" t="s">
        <v>33</v>
      </c>
      <c r="H6" s="21">
        <v>183000</v>
      </c>
      <c r="I6" s="21">
        <v>56300</v>
      </c>
      <c r="J6" s="22">
        <f t="shared" si="0"/>
        <v>30.765027322404372</v>
      </c>
      <c r="K6" s="21">
        <v>156422</v>
      </c>
      <c r="L6" s="21">
        <f>H6-145560</f>
        <v>37440</v>
      </c>
      <c r="M6" s="21">
        <v>10862</v>
      </c>
      <c r="N6" s="67">
        <f t="shared" si="6"/>
        <v>5.93551912568306E-2</v>
      </c>
      <c r="O6" s="23">
        <v>51.47</v>
      </c>
      <c r="P6" s="24">
        <v>110</v>
      </c>
      <c r="Q6" s="25">
        <v>0.14399999999999999</v>
      </c>
      <c r="R6" s="25">
        <v>0.14399999999999999</v>
      </c>
      <c r="S6" s="21">
        <f t="shared" si="1"/>
        <v>727.41402758888671</v>
      </c>
      <c r="T6" s="21">
        <f t="shared" si="2"/>
        <v>260000.00000000003</v>
      </c>
      <c r="U6" s="26">
        <f t="shared" si="3"/>
        <v>5.968778696051424</v>
      </c>
      <c r="V6" s="25">
        <v>57.03</v>
      </c>
      <c r="W6" s="25">
        <f t="shared" si="4"/>
        <v>36600</v>
      </c>
      <c r="X6" s="25">
        <f t="shared" si="5"/>
        <v>641.76749079431875</v>
      </c>
      <c r="Y6" s="27" t="s">
        <v>2081</v>
      </c>
      <c r="Z6" s="19" t="s">
        <v>35</v>
      </c>
      <c r="AA6" s="19" t="s">
        <v>35</v>
      </c>
      <c r="AB6" s="19" t="s">
        <v>2083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ht="15" thickTop="1" x14ac:dyDescent="0.3">
      <c r="A7" s="76"/>
      <c r="B7" s="37"/>
      <c r="C7" s="37"/>
      <c r="D7" s="38" t="s">
        <v>2876</v>
      </c>
      <c r="E7" s="39">
        <f>+SUM(E2:E6)</f>
        <v>684000</v>
      </c>
      <c r="F7" s="37"/>
      <c r="G7" s="37"/>
      <c r="H7" s="39">
        <f>+SUM(H2:H6)</f>
        <v>684000</v>
      </c>
      <c r="I7" s="39">
        <f>+SUM(I2:I6)</f>
        <v>216700</v>
      </c>
      <c r="J7" s="40"/>
      <c r="K7" s="39">
        <f>+SUM(K2:K6)</f>
        <v>590750</v>
      </c>
      <c r="L7" s="39">
        <f>+SUM(L2:L6)</f>
        <v>152798</v>
      </c>
      <c r="M7" s="39">
        <f>+SUM(M2:M6)</f>
        <v>59548</v>
      </c>
      <c r="N7" s="81">
        <f>AVERAGE(N2:N6)</f>
        <v>7.5719061851640804E-2</v>
      </c>
      <c r="O7" s="41">
        <f>+SUM(O2:O6)</f>
        <v>282.19</v>
      </c>
      <c r="P7" s="42"/>
      <c r="Q7" s="43">
        <f>+SUM(Q2:Q6)</f>
        <v>0.87700000000000011</v>
      </c>
      <c r="R7" s="43">
        <f>+SUM(R2:R6)</f>
        <v>0.87700000000000011</v>
      </c>
      <c r="S7" s="39"/>
      <c r="T7" s="39"/>
      <c r="U7" s="44"/>
      <c r="V7" s="43"/>
      <c r="W7" s="82">
        <f>AVERAGE(W2:W6)</f>
        <v>27360</v>
      </c>
      <c r="X7" s="83">
        <f>AVERAGE(X2:X6)</f>
        <v>477.64761580592256</v>
      </c>
      <c r="Y7" s="45"/>
      <c r="Z7" s="37"/>
      <c r="AA7" s="37"/>
      <c r="AB7" s="37"/>
      <c r="AC7" s="37"/>
      <c r="AD7" s="37"/>
      <c r="AE7" s="37"/>
      <c r="AF7" s="37"/>
      <c r="AG7" s="37"/>
      <c r="AH7" s="37"/>
    </row>
    <row r="8" spans="1:34" x14ac:dyDescent="0.3">
      <c r="A8" s="77"/>
      <c r="B8" s="28"/>
      <c r="C8" s="28"/>
      <c r="D8" s="29"/>
      <c r="E8" s="30"/>
      <c r="F8" s="28"/>
      <c r="G8" s="28"/>
      <c r="H8" s="30"/>
      <c r="I8" s="30" t="s">
        <v>2877</v>
      </c>
      <c r="J8" s="31">
        <f>I7/H7*100</f>
        <v>31.681286549707604</v>
      </c>
      <c r="K8" s="30"/>
      <c r="L8" s="30"/>
      <c r="M8" s="30" t="s">
        <v>2879</v>
      </c>
      <c r="N8" s="79"/>
      <c r="O8" s="32"/>
      <c r="P8" s="33"/>
      <c r="Q8" s="34" t="s">
        <v>2879</v>
      </c>
      <c r="R8" s="34"/>
      <c r="S8" s="30"/>
      <c r="T8" s="30" t="s">
        <v>2879</v>
      </c>
      <c r="U8" s="35"/>
      <c r="V8" s="34"/>
      <c r="W8" s="63"/>
      <c r="X8" s="68"/>
      <c r="Y8" s="36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3">
      <c r="A9" s="78"/>
      <c r="B9" s="46"/>
      <c r="C9" s="46"/>
      <c r="D9" s="47"/>
      <c r="E9" s="48"/>
      <c r="F9" s="46"/>
      <c r="G9" s="46"/>
      <c r="H9" s="48"/>
      <c r="I9" s="48" t="s">
        <v>2878</v>
      </c>
      <c r="J9" s="49">
        <f>STDEV(J2:J6)</f>
        <v>15.068673079692291</v>
      </c>
      <c r="K9" s="48"/>
      <c r="L9" s="48"/>
      <c r="M9" s="48" t="s">
        <v>2880</v>
      </c>
      <c r="N9" s="80"/>
      <c r="O9" s="54">
        <f>L7/O7</f>
        <v>541.47205783337472</v>
      </c>
      <c r="P9" s="50"/>
      <c r="Q9" s="51" t="s">
        <v>2881</v>
      </c>
      <c r="R9" s="51">
        <f>L7/Q7</f>
        <v>174228.05017103761</v>
      </c>
      <c r="S9" s="48"/>
      <c r="T9" s="48" t="s">
        <v>2882</v>
      </c>
      <c r="U9" s="52">
        <f>L7/Q7/43560</f>
        <v>3.9997256696748762</v>
      </c>
      <c r="V9" s="51"/>
      <c r="W9" s="64"/>
      <c r="X9" s="69"/>
      <c r="Y9" s="53"/>
      <c r="Z9" s="46"/>
      <c r="AA9" s="46"/>
      <c r="AB9" s="46"/>
      <c r="AC9" s="46"/>
      <c r="AD9" s="46"/>
      <c r="AE9" s="46"/>
      <c r="AF9" s="46"/>
      <c r="AG9" s="46"/>
      <c r="AH9" s="46"/>
    </row>
    <row r="10" spans="1:34" x14ac:dyDescent="0.3">
      <c r="E10" s="94" t="s">
        <v>3099</v>
      </c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L15" s="95"/>
    </row>
    <row r="16" spans="1:34" x14ac:dyDescent="0.3">
      <c r="E16" s="383" t="s">
        <v>3100</v>
      </c>
      <c r="F16" s="383"/>
      <c r="G16" s="383"/>
      <c r="H16" s="383"/>
      <c r="I16" s="383"/>
      <c r="L16" s="95"/>
    </row>
    <row r="17" spans="1:34" x14ac:dyDescent="0.3">
      <c r="E17" s="96"/>
      <c r="F17" s="96"/>
      <c r="G17" s="96"/>
      <c r="H17" s="96"/>
      <c r="I17" s="96"/>
      <c r="L17" s="95"/>
    </row>
    <row r="18" spans="1:34" x14ac:dyDescent="0.3">
      <c r="A18" s="55" t="s">
        <v>3092</v>
      </c>
      <c r="E18" s="96"/>
      <c r="F18" s="96"/>
      <c r="G18" s="96"/>
      <c r="H18" s="96"/>
      <c r="I18" s="96"/>
      <c r="L18" s="95"/>
    </row>
    <row r="19" spans="1:34" x14ac:dyDescent="0.3">
      <c r="A19" s="74" t="s">
        <v>2083</v>
      </c>
      <c r="B19" s="10" t="s">
        <v>2097</v>
      </c>
      <c r="C19" s="10" t="s">
        <v>2098</v>
      </c>
      <c r="D19" s="11">
        <v>45442</v>
      </c>
      <c r="E19" s="12">
        <v>100000</v>
      </c>
      <c r="F19" s="10" t="s">
        <v>32</v>
      </c>
      <c r="G19" s="10" t="s">
        <v>33</v>
      </c>
      <c r="H19" s="12">
        <v>100000</v>
      </c>
      <c r="I19" s="12">
        <v>70400</v>
      </c>
      <c r="J19" s="13">
        <f t="shared" ref="J19:J24" si="7">I19/H19*100</f>
        <v>70.399999999999991</v>
      </c>
      <c r="K19" s="12">
        <v>161635</v>
      </c>
      <c r="L19" s="12">
        <f>H19-153148</f>
        <v>-53148</v>
      </c>
      <c r="M19" s="12">
        <v>8487</v>
      </c>
      <c r="N19" s="66">
        <f t="shared" ref="N19:N24" si="8">M19/E19</f>
        <v>8.4870000000000001E-2</v>
      </c>
      <c r="O19" s="14">
        <v>40.22</v>
      </c>
      <c r="P19" s="15">
        <v>136.5</v>
      </c>
      <c r="Q19" s="16">
        <v>0.125</v>
      </c>
      <c r="R19" s="16">
        <v>0.125</v>
      </c>
      <c r="S19" s="12">
        <f t="shared" ref="S19:S24" si="9">L19/O19</f>
        <v>-1321.4321233217306</v>
      </c>
      <c r="T19" s="12">
        <f t="shared" ref="T19:T24" si="10">L19/Q19</f>
        <v>-425184</v>
      </c>
      <c r="U19" s="17">
        <f t="shared" ref="U19:U24" si="11">L19/Q19/43560</f>
        <v>-9.7608815426997246</v>
      </c>
      <c r="V19" s="16">
        <v>40</v>
      </c>
      <c r="W19" s="16">
        <f t="shared" ref="W19:W24" si="12">0.2*E19</f>
        <v>20000</v>
      </c>
      <c r="X19" s="16">
        <f t="shared" ref="X19:X24" si="13">W19/V19</f>
        <v>500</v>
      </c>
      <c r="Y19" s="18" t="s">
        <v>2081</v>
      </c>
      <c r="Z19" s="10" t="s">
        <v>35</v>
      </c>
      <c r="AA19" s="10" t="s">
        <v>35</v>
      </c>
      <c r="AB19" s="10" t="s">
        <v>2083</v>
      </c>
      <c r="AC19" s="10">
        <v>0</v>
      </c>
      <c r="AD19" s="10">
        <v>1</v>
      </c>
      <c r="AE19" s="10" t="s">
        <v>37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5" t="s">
        <v>2083</v>
      </c>
      <c r="B20" s="19" t="s">
        <v>2099</v>
      </c>
      <c r="C20" s="19" t="s">
        <v>2100</v>
      </c>
      <c r="D20" s="20">
        <v>45243</v>
      </c>
      <c r="E20" s="21">
        <v>120000</v>
      </c>
      <c r="F20" s="19" t="s">
        <v>32</v>
      </c>
      <c r="G20" s="19" t="s">
        <v>33</v>
      </c>
      <c r="H20" s="21">
        <v>120000</v>
      </c>
      <c r="I20" s="21">
        <v>61100</v>
      </c>
      <c r="J20" s="22">
        <f t="shared" si="7"/>
        <v>50.916666666666664</v>
      </c>
      <c r="K20" s="21">
        <v>171558</v>
      </c>
      <c r="L20" s="21">
        <f>H20-162811</f>
        <v>-42811</v>
      </c>
      <c r="M20" s="21">
        <v>8747</v>
      </c>
      <c r="N20" s="67">
        <f t="shared" si="8"/>
        <v>7.289166666666666E-2</v>
      </c>
      <c r="O20" s="23">
        <v>41.45</v>
      </c>
      <c r="P20" s="24">
        <v>145</v>
      </c>
      <c r="Q20" s="25">
        <v>0.13300000000000001</v>
      </c>
      <c r="R20" s="25">
        <v>0.13300000000000001</v>
      </c>
      <c r="S20" s="21">
        <f t="shared" si="9"/>
        <v>-1032.8347406513872</v>
      </c>
      <c r="T20" s="21">
        <f t="shared" si="10"/>
        <v>-321887.21804511279</v>
      </c>
      <c r="U20" s="26">
        <f t="shared" si="11"/>
        <v>-7.389513729226648</v>
      </c>
      <c r="V20" s="25">
        <v>40</v>
      </c>
      <c r="W20" s="25">
        <f t="shared" si="12"/>
        <v>24000</v>
      </c>
      <c r="X20" s="25">
        <f t="shared" si="13"/>
        <v>600</v>
      </c>
      <c r="Y20" s="27" t="s">
        <v>2081</v>
      </c>
      <c r="Z20" s="19" t="s">
        <v>35</v>
      </c>
      <c r="AA20" s="19" t="s">
        <v>35</v>
      </c>
      <c r="AB20" s="19" t="s">
        <v>2083</v>
      </c>
      <c r="AC20" s="19">
        <v>0</v>
      </c>
      <c r="AD20" s="19">
        <v>1</v>
      </c>
      <c r="AE20" s="19" t="s">
        <v>42</v>
      </c>
      <c r="AF20" s="19" t="s">
        <v>43</v>
      </c>
      <c r="AG20" s="19" t="s">
        <v>38</v>
      </c>
      <c r="AH20" s="19" t="s">
        <v>92</v>
      </c>
    </row>
    <row r="21" spans="1:34" x14ac:dyDescent="0.3">
      <c r="A21" s="74" t="s">
        <v>2083</v>
      </c>
      <c r="B21" s="10" t="s">
        <v>2079</v>
      </c>
      <c r="C21" s="10" t="s">
        <v>2080</v>
      </c>
      <c r="D21" s="11">
        <v>45169</v>
      </c>
      <c r="E21" s="12">
        <v>105000</v>
      </c>
      <c r="F21" s="10" t="s">
        <v>32</v>
      </c>
      <c r="G21" s="10" t="s">
        <v>66</v>
      </c>
      <c r="H21" s="12">
        <v>105000</v>
      </c>
      <c r="I21" s="12">
        <v>58600</v>
      </c>
      <c r="J21" s="13">
        <f t="shared" si="7"/>
        <v>55.80952380952381</v>
      </c>
      <c r="K21" s="12">
        <v>164902</v>
      </c>
      <c r="L21" s="12">
        <f>H21-146267</f>
        <v>-41267</v>
      </c>
      <c r="M21" s="12">
        <v>18635</v>
      </c>
      <c r="N21" s="66">
        <f t="shared" si="8"/>
        <v>0.17747619047619048</v>
      </c>
      <c r="O21" s="14">
        <v>88.31</v>
      </c>
      <c r="P21" s="15">
        <v>260</v>
      </c>
      <c r="Q21" s="16">
        <v>0.26800000000000002</v>
      </c>
      <c r="R21" s="16">
        <v>0.14899999999999999</v>
      </c>
      <c r="S21" s="12">
        <f t="shared" si="9"/>
        <v>-467.29702185482955</v>
      </c>
      <c r="T21" s="12">
        <f t="shared" si="10"/>
        <v>-153981.34328358207</v>
      </c>
      <c r="U21" s="17">
        <f t="shared" si="11"/>
        <v>-3.5349252360785601</v>
      </c>
      <c r="V21" s="16">
        <v>90</v>
      </c>
      <c r="W21" s="16">
        <f t="shared" si="12"/>
        <v>21000</v>
      </c>
      <c r="X21" s="16">
        <f t="shared" si="13"/>
        <v>233.33333333333334</v>
      </c>
      <c r="Y21" s="18" t="s">
        <v>2081</v>
      </c>
      <c r="Z21" s="10" t="s">
        <v>35</v>
      </c>
      <c r="AA21" s="10" t="s">
        <v>2082</v>
      </c>
      <c r="AB21" s="10" t="s">
        <v>2083</v>
      </c>
      <c r="AC21" s="10">
        <v>0</v>
      </c>
      <c r="AD21" s="10">
        <v>1</v>
      </c>
      <c r="AE21" s="10" t="s">
        <v>42</v>
      </c>
      <c r="AF21" s="10" t="s">
        <v>43</v>
      </c>
      <c r="AG21" s="10" t="s">
        <v>38</v>
      </c>
      <c r="AH21" s="10" t="s">
        <v>92</v>
      </c>
    </row>
    <row r="22" spans="1:34" x14ac:dyDescent="0.3">
      <c r="A22" s="75" t="s">
        <v>2083</v>
      </c>
      <c r="B22" s="19" t="s">
        <v>2101</v>
      </c>
      <c r="C22" s="19" t="s">
        <v>2102</v>
      </c>
      <c r="D22" s="20">
        <v>45513</v>
      </c>
      <c r="E22" s="21">
        <v>175000</v>
      </c>
      <c r="F22" s="19" t="s">
        <v>32</v>
      </c>
      <c r="G22" s="19" t="s">
        <v>33</v>
      </c>
      <c r="H22" s="21">
        <v>175000</v>
      </c>
      <c r="I22" s="21">
        <v>89900</v>
      </c>
      <c r="J22" s="22">
        <f t="shared" si="7"/>
        <v>51.371428571428567</v>
      </c>
      <c r="K22" s="21">
        <v>209318</v>
      </c>
      <c r="L22" s="21">
        <f>H22-192338</f>
        <v>-17338</v>
      </c>
      <c r="M22" s="21">
        <v>16980</v>
      </c>
      <c r="N22" s="67">
        <f t="shared" si="8"/>
        <v>9.7028571428571422E-2</v>
      </c>
      <c r="O22" s="23">
        <v>80.47</v>
      </c>
      <c r="P22" s="24">
        <v>136.6</v>
      </c>
      <c r="Q22" s="25">
        <v>0.251</v>
      </c>
      <c r="R22" s="25">
        <v>0.251</v>
      </c>
      <c r="S22" s="21">
        <f t="shared" si="9"/>
        <v>-215.45917733316764</v>
      </c>
      <c r="T22" s="21">
        <f t="shared" si="10"/>
        <v>-69075.697211155377</v>
      </c>
      <c r="U22" s="26">
        <f t="shared" si="11"/>
        <v>-1.5857598074186265</v>
      </c>
      <c r="V22" s="25">
        <v>80</v>
      </c>
      <c r="W22" s="25">
        <f t="shared" si="12"/>
        <v>35000</v>
      </c>
      <c r="X22" s="25">
        <f t="shared" si="13"/>
        <v>437.5</v>
      </c>
      <c r="Y22" s="27" t="s">
        <v>2081</v>
      </c>
      <c r="Z22" s="19" t="s">
        <v>35</v>
      </c>
      <c r="AA22" s="19" t="s">
        <v>35</v>
      </c>
      <c r="AB22" s="19" t="s">
        <v>2083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5" t="s">
        <v>2083</v>
      </c>
      <c r="B23" s="19" t="s">
        <v>2091</v>
      </c>
      <c r="C23" s="19" t="s">
        <v>2092</v>
      </c>
      <c r="D23" s="20">
        <v>45702</v>
      </c>
      <c r="E23" s="21">
        <v>125000</v>
      </c>
      <c r="F23" s="19" t="s">
        <v>81</v>
      </c>
      <c r="G23" s="19" t="s">
        <v>33</v>
      </c>
      <c r="H23" s="21">
        <v>125000</v>
      </c>
      <c r="I23" s="21">
        <v>61300</v>
      </c>
      <c r="J23" s="22">
        <f t="shared" si="7"/>
        <v>49.04</v>
      </c>
      <c r="K23" s="21">
        <v>136731</v>
      </c>
      <c r="L23" s="21">
        <f>H23-128244</f>
        <v>-3244</v>
      </c>
      <c r="M23" s="21">
        <v>8487</v>
      </c>
      <c r="N23" s="67">
        <f t="shared" si="8"/>
        <v>6.7895999999999998E-2</v>
      </c>
      <c r="O23" s="23">
        <v>40.22</v>
      </c>
      <c r="P23" s="24">
        <v>136.5</v>
      </c>
      <c r="Q23" s="25">
        <v>0.125</v>
      </c>
      <c r="R23" s="25">
        <v>0.125</v>
      </c>
      <c r="S23" s="21">
        <f t="shared" si="9"/>
        <v>-80.656389855793137</v>
      </c>
      <c r="T23" s="21">
        <f t="shared" si="10"/>
        <v>-25952</v>
      </c>
      <c r="U23" s="26">
        <f t="shared" si="11"/>
        <v>-0.59577594123048672</v>
      </c>
      <c r="V23" s="25">
        <v>40</v>
      </c>
      <c r="W23" s="25">
        <f t="shared" si="12"/>
        <v>25000</v>
      </c>
      <c r="X23" s="25">
        <f t="shared" si="13"/>
        <v>625</v>
      </c>
      <c r="Y23" s="27" t="s">
        <v>2081</v>
      </c>
      <c r="Z23" s="19" t="s">
        <v>35</v>
      </c>
      <c r="AA23" s="19" t="s">
        <v>35</v>
      </c>
      <c r="AB23" s="19" t="s">
        <v>2083</v>
      </c>
      <c r="AC23" s="19">
        <v>0</v>
      </c>
      <c r="AD23" s="19">
        <v>1</v>
      </c>
      <c r="AE23" s="19" t="s">
        <v>37</v>
      </c>
      <c r="AF23" s="19" t="s">
        <v>35</v>
      </c>
      <c r="AG23" s="19" t="s">
        <v>38</v>
      </c>
      <c r="AH23" s="19" t="s">
        <v>92</v>
      </c>
    </row>
    <row r="24" spans="1:34" x14ac:dyDescent="0.3">
      <c r="A24" s="74" t="s">
        <v>2083</v>
      </c>
      <c r="B24" s="10" t="s">
        <v>2089</v>
      </c>
      <c r="C24" s="10" t="s">
        <v>2090</v>
      </c>
      <c r="D24" s="11">
        <v>45051</v>
      </c>
      <c r="E24" s="12">
        <v>122000</v>
      </c>
      <c r="F24" s="10" t="s">
        <v>32</v>
      </c>
      <c r="G24" s="10" t="s">
        <v>33</v>
      </c>
      <c r="H24" s="12">
        <v>122000</v>
      </c>
      <c r="I24" s="12">
        <v>47100</v>
      </c>
      <c r="J24" s="13">
        <f t="shared" si="7"/>
        <v>38.606557377049178</v>
      </c>
      <c r="K24" s="12">
        <v>130999</v>
      </c>
      <c r="L24" s="12">
        <f>H24-122252</f>
        <v>-252</v>
      </c>
      <c r="M24" s="12">
        <v>8747</v>
      </c>
      <c r="N24" s="66">
        <f t="shared" si="8"/>
        <v>7.1696721311475406E-2</v>
      </c>
      <c r="O24" s="14">
        <v>41.45</v>
      </c>
      <c r="P24" s="15">
        <v>145</v>
      </c>
      <c r="Q24" s="16">
        <v>0.13300000000000001</v>
      </c>
      <c r="R24" s="16">
        <v>0.13300000000000001</v>
      </c>
      <c r="S24" s="12">
        <f t="shared" si="9"/>
        <v>-6.079613992762364</v>
      </c>
      <c r="T24" s="12">
        <f t="shared" si="10"/>
        <v>-1894.7368421052631</v>
      </c>
      <c r="U24" s="17">
        <f t="shared" si="11"/>
        <v>-4.3497172683775551E-2</v>
      </c>
      <c r="V24" s="16">
        <v>40</v>
      </c>
      <c r="W24" s="16">
        <f t="shared" si="12"/>
        <v>24400</v>
      </c>
      <c r="X24" s="16">
        <f t="shared" si="13"/>
        <v>610</v>
      </c>
      <c r="Y24" s="18" t="s">
        <v>2081</v>
      </c>
      <c r="Z24" s="10" t="s">
        <v>35</v>
      </c>
      <c r="AA24" s="10" t="s">
        <v>35</v>
      </c>
      <c r="AB24" s="10" t="s">
        <v>2083</v>
      </c>
      <c r="AC24" s="10">
        <v>0</v>
      </c>
      <c r="AD24" s="10">
        <v>1</v>
      </c>
      <c r="AE24" s="10" t="s">
        <v>42</v>
      </c>
      <c r="AF24" s="10" t="s">
        <v>43</v>
      </c>
      <c r="AG24" s="10" t="s">
        <v>38</v>
      </c>
      <c r="AH24" s="10" t="s">
        <v>92</v>
      </c>
    </row>
  </sheetData>
  <sortState xmlns:xlrd2="http://schemas.microsoft.com/office/spreadsheetml/2017/richdata2" ref="A2:AH7">
    <sortCondition ref="S2:S7"/>
  </sortState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6">
    <tabColor rgb="FF00B050"/>
  </sheetPr>
  <dimension ref="A1:AH15"/>
  <sheetViews>
    <sheetView workbookViewId="0">
      <selection activeCell="D7" sqref="D7:N17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4.3320312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2107</v>
      </c>
      <c r="B2" s="10" t="s">
        <v>2135</v>
      </c>
      <c r="C2" s="10" t="s">
        <v>2136</v>
      </c>
      <c r="D2" s="11">
        <v>45125</v>
      </c>
      <c r="E2" s="12">
        <v>315000</v>
      </c>
      <c r="F2" s="10" t="s">
        <v>32</v>
      </c>
      <c r="G2" s="10" t="s">
        <v>33</v>
      </c>
      <c r="H2" s="12">
        <v>315000</v>
      </c>
      <c r="I2" s="12">
        <v>143900</v>
      </c>
      <c r="J2" s="13">
        <f>I2/H2*100</f>
        <v>45.682539682539684</v>
      </c>
      <c r="K2" s="12">
        <v>328916</v>
      </c>
      <c r="L2" s="12">
        <f>H2-305333</f>
        <v>9667</v>
      </c>
      <c r="M2" s="12">
        <v>23583</v>
      </c>
      <c r="N2" s="66">
        <f>M2/E2</f>
        <v>7.4866666666666665E-2</v>
      </c>
      <c r="O2" s="14">
        <v>67.38</v>
      </c>
      <c r="P2" s="15">
        <v>133.01</v>
      </c>
      <c r="Q2" s="16">
        <v>0.21</v>
      </c>
      <c r="R2" s="16">
        <v>0.21</v>
      </c>
      <c r="S2" s="12">
        <f>L2/O2</f>
        <v>143.46987236568717</v>
      </c>
      <c r="T2" s="12">
        <f>L2/Q2</f>
        <v>46033.333333333336</v>
      </c>
      <c r="U2" s="17">
        <f>L2/Q2/43560</f>
        <v>1.0567799204162842</v>
      </c>
      <c r="V2" s="16">
        <v>70.099999999999994</v>
      </c>
      <c r="W2" s="16">
        <f>0.2*E2</f>
        <v>63000</v>
      </c>
      <c r="X2" s="16">
        <f>W2/V2</f>
        <v>898.71611982881609</v>
      </c>
      <c r="Y2" s="18" t="s">
        <v>2073</v>
      </c>
      <c r="Z2" s="10" t="s">
        <v>35</v>
      </c>
      <c r="AA2" s="10" t="s">
        <v>35</v>
      </c>
      <c r="AB2" s="10" t="s">
        <v>2107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ht="15" thickBot="1" x14ac:dyDescent="0.35">
      <c r="A3" s="74" t="s">
        <v>2107</v>
      </c>
      <c r="B3" s="10" t="s">
        <v>2105</v>
      </c>
      <c r="C3" s="10" t="s">
        <v>2106</v>
      </c>
      <c r="D3" s="11">
        <v>45539</v>
      </c>
      <c r="E3" s="12">
        <v>341000</v>
      </c>
      <c r="F3" s="10" t="s">
        <v>32</v>
      </c>
      <c r="G3" s="10" t="s">
        <v>33</v>
      </c>
      <c r="H3" s="12">
        <v>341000</v>
      </c>
      <c r="I3" s="12">
        <v>158200</v>
      </c>
      <c r="J3" s="13">
        <f>I3/H3*100</f>
        <v>46.392961876832842</v>
      </c>
      <c r="K3" s="12">
        <v>340557</v>
      </c>
      <c r="L3" s="12">
        <f>H3-318011</f>
        <v>22989</v>
      </c>
      <c r="M3" s="12">
        <v>22546</v>
      </c>
      <c r="N3" s="66">
        <f>M3/E3</f>
        <v>6.6117302052785917E-2</v>
      </c>
      <c r="O3" s="14">
        <v>64.41</v>
      </c>
      <c r="P3" s="15">
        <v>137.5</v>
      </c>
      <c r="Q3" s="16">
        <v>0.20499999999999999</v>
      </c>
      <c r="R3" s="16">
        <v>0.20499999999999999</v>
      </c>
      <c r="S3" s="12">
        <f>L3/O3</f>
        <v>356.9166278528179</v>
      </c>
      <c r="T3" s="12">
        <f>L3/Q3</f>
        <v>112141.46341463416</v>
      </c>
      <c r="U3" s="17">
        <f>L3/Q3/43560</f>
        <v>2.5744137606665327</v>
      </c>
      <c r="V3" s="16">
        <v>65</v>
      </c>
      <c r="W3" s="16">
        <f>0.2*E3</f>
        <v>68200</v>
      </c>
      <c r="X3" s="16">
        <f>W3/V3</f>
        <v>1049.2307692307693</v>
      </c>
      <c r="Y3" s="18" t="s">
        <v>2073</v>
      </c>
      <c r="Z3" s="10" t="s">
        <v>35</v>
      </c>
      <c r="AA3" s="10" t="s">
        <v>35</v>
      </c>
      <c r="AB3" s="10" t="s">
        <v>2107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656000</v>
      </c>
      <c r="F4" s="37"/>
      <c r="G4" s="37"/>
      <c r="H4" s="39">
        <f>+SUM(H2:H3)</f>
        <v>656000</v>
      </c>
      <c r="I4" s="39">
        <f>+SUM(I2:I3)</f>
        <v>302100</v>
      </c>
      <c r="J4" s="40"/>
      <c r="K4" s="39">
        <f>+SUM(K2:K3)</f>
        <v>669473</v>
      </c>
      <c r="L4" s="39">
        <f>+SUM(L2:L3)</f>
        <v>32656</v>
      </c>
      <c r="M4" s="39">
        <f>+SUM(M2:M3)</f>
        <v>46129</v>
      </c>
      <c r="N4" s="81">
        <f>AVERAGE(N2:N3)</f>
        <v>7.0491984359726284E-2</v>
      </c>
      <c r="O4" s="41">
        <f>+SUM(O2:O3)</f>
        <v>131.79</v>
      </c>
      <c r="P4" s="42"/>
      <c r="Q4" s="43">
        <f>+SUM(Q2:Q3)</f>
        <v>0.41499999999999998</v>
      </c>
      <c r="R4" s="43">
        <f>+SUM(R2:R3)</f>
        <v>0.41499999999999998</v>
      </c>
      <c r="S4" s="39"/>
      <c r="T4" s="39"/>
      <c r="U4" s="44"/>
      <c r="V4" s="43"/>
      <c r="W4" s="82">
        <f>AVERAGE(W2:W3)</f>
        <v>65600</v>
      </c>
      <c r="X4" s="83">
        <f>AVERAGE(X2:X3)</f>
        <v>973.97344452979269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46.051829268292686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0.50234435109011955</v>
      </c>
      <c r="K6" s="48"/>
      <c r="L6" s="48"/>
      <c r="M6" s="48" t="s">
        <v>2880</v>
      </c>
      <c r="N6" s="80"/>
      <c r="O6" s="54">
        <f>L4/O4</f>
        <v>247.78814781091131</v>
      </c>
      <c r="P6" s="50"/>
      <c r="Q6" s="51" t="s">
        <v>2881</v>
      </c>
      <c r="R6" s="51">
        <f>L4/Q4</f>
        <v>78689.156626506025</v>
      </c>
      <c r="S6" s="48"/>
      <c r="T6" s="48" t="s">
        <v>2882</v>
      </c>
      <c r="U6" s="52">
        <f>L4/Q4/43560</f>
        <v>1.8064544680097803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s="171" customFormat="1" x14ac:dyDescent="0.3">
      <c r="A7" s="170"/>
      <c r="E7" s="94" t="s">
        <v>3099</v>
      </c>
      <c r="F7"/>
      <c r="G7"/>
      <c r="H7"/>
      <c r="I7"/>
      <c r="J7"/>
      <c r="K7"/>
      <c r="L7" s="95"/>
      <c r="N7" s="170"/>
      <c r="W7" s="173"/>
      <c r="X7" s="170"/>
    </row>
    <row r="8" spans="1:34" s="171" customFormat="1" x14ac:dyDescent="0.3">
      <c r="A8" s="170"/>
      <c r="E8" s="383" t="s">
        <v>3163</v>
      </c>
      <c r="F8" s="383"/>
      <c r="G8" s="383"/>
      <c r="H8" s="383"/>
      <c r="I8" s="383"/>
      <c r="J8" s="383"/>
      <c r="K8" s="383"/>
      <c r="L8" s="383"/>
      <c r="N8" s="170"/>
      <c r="W8" s="173"/>
      <c r="X8" s="170"/>
    </row>
    <row r="9" spans="1:34" s="171" customFormat="1" x14ac:dyDescent="0.3">
      <c r="A9" s="170"/>
      <c r="E9" s="383" t="s">
        <v>3164</v>
      </c>
      <c r="F9" s="383"/>
      <c r="G9" s="383"/>
      <c r="H9" s="383"/>
      <c r="I9" s="383"/>
      <c r="J9" s="383"/>
      <c r="K9" s="383"/>
      <c r="L9" s="383"/>
      <c r="N9" s="170"/>
      <c r="W9" s="173"/>
      <c r="X9" s="170"/>
    </row>
    <row r="10" spans="1:34" s="171" customFormat="1" x14ac:dyDescent="0.3">
      <c r="A10" s="170"/>
      <c r="E10" s="383" t="s">
        <v>3165</v>
      </c>
      <c r="F10" s="383"/>
      <c r="G10" s="383"/>
      <c r="H10" s="383"/>
      <c r="I10" s="383"/>
      <c r="J10" s="383"/>
      <c r="K10" s="383"/>
      <c r="L10" s="383"/>
      <c r="N10" s="170"/>
      <c r="W10" s="173"/>
      <c r="X10" s="170"/>
    </row>
    <row r="11" spans="1:34" s="171" customFormat="1" x14ac:dyDescent="0.3">
      <c r="A11" s="170"/>
      <c r="E11" s="383" t="s">
        <v>3166</v>
      </c>
      <c r="F11" s="383"/>
      <c r="G11" s="383"/>
      <c r="H11" s="383"/>
      <c r="I11" s="383"/>
      <c r="J11" s="96"/>
      <c r="K11" s="96"/>
      <c r="L11" s="96"/>
      <c r="N11" s="170"/>
      <c r="W11" s="173"/>
      <c r="X11" s="170"/>
    </row>
    <row r="12" spans="1:34" s="171" customFormat="1" x14ac:dyDescent="0.3">
      <c r="A12" s="170"/>
      <c r="E12" s="383" t="s">
        <v>3167</v>
      </c>
      <c r="F12" s="383"/>
      <c r="G12" s="383"/>
      <c r="H12" s="383"/>
      <c r="I12" s="383"/>
      <c r="J12"/>
      <c r="K12"/>
      <c r="L12" s="95"/>
      <c r="N12" s="170"/>
      <c r="W12" s="173"/>
      <c r="X12" s="170"/>
    </row>
    <row r="13" spans="1:34" s="171" customFormat="1" x14ac:dyDescent="0.3">
      <c r="A13" s="170"/>
      <c r="E13" s="383" t="s">
        <v>3100</v>
      </c>
      <c r="F13" s="383"/>
      <c r="G13" s="383"/>
      <c r="H13" s="383"/>
      <c r="I13" s="383"/>
      <c r="J13"/>
      <c r="K13"/>
      <c r="L13" s="95"/>
      <c r="N13" s="170"/>
      <c r="W13" s="173"/>
      <c r="X13" s="170"/>
    </row>
    <row r="14" spans="1:34" s="171" customFormat="1" x14ac:dyDescent="0.3">
      <c r="A14" s="170"/>
      <c r="E14" s="174"/>
      <c r="F14" s="174"/>
      <c r="G14" s="174"/>
      <c r="H14" s="174"/>
      <c r="I14" s="174"/>
      <c r="L14" s="172"/>
      <c r="N14" s="170"/>
      <c r="W14" s="173"/>
      <c r="X14" s="170"/>
    </row>
    <row r="15" spans="1:34" s="171" customFormat="1" x14ac:dyDescent="0.3">
      <c r="A15" s="170" t="s">
        <v>3092</v>
      </c>
      <c r="E15" s="174"/>
      <c r="F15" s="174"/>
      <c r="G15" s="174"/>
      <c r="H15" s="174"/>
      <c r="I15" s="174"/>
      <c r="L15" s="172"/>
      <c r="N15" s="170"/>
      <c r="W15" s="173"/>
      <c r="X15" s="170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>
    <tabColor rgb="FFFF0000"/>
  </sheetPr>
  <dimension ref="A1:AH16"/>
  <sheetViews>
    <sheetView workbookViewId="0">
      <selection activeCell="C8" sqref="C8:M20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332031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2241</v>
      </c>
      <c r="B2" s="10" t="s">
        <v>2238</v>
      </c>
      <c r="C2" s="10" t="s">
        <v>2239</v>
      </c>
      <c r="D2" s="11">
        <v>45552</v>
      </c>
      <c r="E2" s="12">
        <v>85000</v>
      </c>
      <c r="F2" s="10" t="s">
        <v>81</v>
      </c>
      <c r="G2" s="10" t="s">
        <v>33</v>
      </c>
      <c r="H2" s="12">
        <v>85000</v>
      </c>
      <c r="I2" s="12">
        <v>66800</v>
      </c>
      <c r="J2" s="13">
        <f>I2/H2*100</f>
        <v>78.588235294117652</v>
      </c>
      <c r="K2" s="12">
        <v>149022</v>
      </c>
      <c r="L2" s="12">
        <f>H2-134013</f>
        <v>-49013</v>
      </c>
      <c r="M2" s="12">
        <v>15009</v>
      </c>
      <c r="N2" s="66">
        <f>M2/E2</f>
        <v>0.17657647058823531</v>
      </c>
      <c r="O2" s="14">
        <v>75.040000000000006</v>
      </c>
      <c r="P2" s="15">
        <v>110</v>
      </c>
      <c r="Q2" s="16">
        <v>0.20200000000000001</v>
      </c>
      <c r="R2" s="16">
        <v>0.20200000000000001</v>
      </c>
      <c r="S2" s="12">
        <f>L2/O2</f>
        <v>-653.1583155650319</v>
      </c>
      <c r="T2" s="12">
        <f>L2/Q2</f>
        <v>-242638.61386138611</v>
      </c>
      <c r="U2" s="17">
        <f>L2/Q2/43560</f>
        <v>-5.5702161125203427</v>
      </c>
      <c r="V2" s="16">
        <v>80</v>
      </c>
      <c r="W2" s="16">
        <f>0.2*E2</f>
        <v>17000</v>
      </c>
      <c r="X2" s="16">
        <f>W2/V2</f>
        <v>212.5</v>
      </c>
      <c r="Y2" s="18" t="s">
        <v>2240</v>
      </c>
      <c r="Z2" s="10" t="s">
        <v>35</v>
      </c>
      <c r="AA2" s="10" t="s">
        <v>35</v>
      </c>
      <c r="AB2" s="10" t="s">
        <v>2241</v>
      </c>
      <c r="AC2" s="10">
        <v>0</v>
      </c>
      <c r="AD2" s="10">
        <v>1</v>
      </c>
      <c r="AE2" s="10" t="s">
        <v>42</v>
      </c>
      <c r="AF2" s="10" t="s">
        <v>35</v>
      </c>
      <c r="AG2" s="10" t="s">
        <v>38</v>
      </c>
      <c r="AH2" s="10" t="s">
        <v>92</v>
      </c>
    </row>
    <row r="3" spans="1:34" x14ac:dyDescent="0.3">
      <c r="A3" s="74" t="s">
        <v>2241</v>
      </c>
      <c r="B3" s="10" t="s">
        <v>2242</v>
      </c>
      <c r="C3" s="10" t="s">
        <v>2243</v>
      </c>
      <c r="D3" s="11">
        <v>45666</v>
      </c>
      <c r="E3" s="12">
        <v>220000</v>
      </c>
      <c r="F3" s="10" t="s">
        <v>32</v>
      </c>
      <c r="G3" s="10" t="s">
        <v>33</v>
      </c>
      <c r="H3" s="12">
        <v>220000</v>
      </c>
      <c r="I3" s="12">
        <v>113900</v>
      </c>
      <c r="J3" s="13">
        <f>I3/H3*100</f>
        <v>51.772727272727273</v>
      </c>
      <c r="K3" s="12">
        <v>246173</v>
      </c>
      <c r="L3" s="12">
        <f>H3-237113</f>
        <v>-17113</v>
      </c>
      <c r="M3" s="12">
        <v>9060</v>
      </c>
      <c r="N3" s="66">
        <f>M3/E3</f>
        <v>4.1181818181818181E-2</v>
      </c>
      <c r="O3" s="14">
        <v>45.3</v>
      </c>
      <c r="P3" s="15">
        <v>110</v>
      </c>
      <c r="Q3" s="16">
        <v>0.12</v>
      </c>
      <c r="R3" s="16">
        <v>0.12</v>
      </c>
      <c r="S3" s="12">
        <f>L3/O3</f>
        <v>-377.77041942604859</v>
      </c>
      <c r="T3" s="12">
        <f>L3/Q3</f>
        <v>-142608.33333333334</v>
      </c>
      <c r="U3" s="17">
        <f>L3/Q3/43560</f>
        <v>-3.2738368533823081</v>
      </c>
      <c r="V3" s="16">
        <v>50</v>
      </c>
      <c r="W3" s="16">
        <f>0.2*E3</f>
        <v>44000</v>
      </c>
      <c r="X3" s="16">
        <f>W3/V3</f>
        <v>880</v>
      </c>
      <c r="Y3" s="18" t="s">
        <v>2240</v>
      </c>
      <c r="Z3" s="10" t="s">
        <v>35</v>
      </c>
      <c r="AA3" s="10" t="s">
        <v>35</v>
      </c>
      <c r="AB3" s="10" t="s">
        <v>2241</v>
      </c>
      <c r="AC3" s="10">
        <v>0</v>
      </c>
      <c r="AD3" s="10">
        <v>1</v>
      </c>
      <c r="AE3" s="10" t="s">
        <v>42</v>
      </c>
      <c r="AF3" s="10" t="s">
        <v>35</v>
      </c>
      <c r="AG3" s="10" t="s">
        <v>38</v>
      </c>
      <c r="AH3" s="10" t="s">
        <v>92</v>
      </c>
    </row>
    <row r="4" spans="1:34" ht="15" thickBot="1" x14ac:dyDescent="0.35">
      <c r="A4" s="75" t="s">
        <v>2241</v>
      </c>
      <c r="B4" s="19" t="s">
        <v>2244</v>
      </c>
      <c r="C4" s="19" t="s">
        <v>2245</v>
      </c>
      <c r="D4" s="20">
        <v>45212</v>
      </c>
      <c r="E4" s="21">
        <v>200000</v>
      </c>
      <c r="F4" s="19" t="s">
        <v>32</v>
      </c>
      <c r="G4" s="19" t="s">
        <v>33</v>
      </c>
      <c r="H4" s="21">
        <v>200000</v>
      </c>
      <c r="I4" s="21">
        <v>38000</v>
      </c>
      <c r="J4" s="22">
        <f>I4/H4*100</f>
        <v>19</v>
      </c>
      <c r="K4" s="21">
        <v>187739</v>
      </c>
      <c r="L4" s="21">
        <f>H4-164258</f>
        <v>35742</v>
      </c>
      <c r="M4" s="21">
        <v>23481</v>
      </c>
      <c r="N4" s="67">
        <f>M4/E4</f>
        <v>0.117405</v>
      </c>
      <c r="O4" s="23">
        <v>117.4</v>
      </c>
      <c r="P4" s="24">
        <v>163.83000000000001</v>
      </c>
      <c r="Q4" s="25">
        <v>0.29499999999999998</v>
      </c>
      <c r="R4" s="25">
        <v>0.29499999999999998</v>
      </c>
      <c r="S4" s="21">
        <f>L4/O4</f>
        <v>304.44633730834749</v>
      </c>
      <c r="T4" s="21">
        <f>L4/Q4</f>
        <v>121159.32203389831</v>
      </c>
      <c r="U4" s="26">
        <f>L4/Q4/43560</f>
        <v>2.7814353083998693</v>
      </c>
      <c r="V4" s="25">
        <v>150.69999999999999</v>
      </c>
      <c r="W4" s="25">
        <f>0.2*E4</f>
        <v>40000</v>
      </c>
      <c r="X4" s="25">
        <f>W4/V4</f>
        <v>265.42800265428002</v>
      </c>
      <c r="Y4" s="27" t="s">
        <v>2240</v>
      </c>
      <c r="Z4" s="19" t="s">
        <v>35</v>
      </c>
      <c r="AA4" s="19" t="s">
        <v>35</v>
      </c>
      <c r="AB4" s="19" t="s">
        <v>2241</v>
      </c>
      <c r="AC4" s="19">
        <v>0</v>
      </c>
      <c r="AD4" s="19">
        <v>1</v>
      </c>
      <c r="AE4" s="19" t="s">
        <v>1099</v>
      </c>
      <c r="AF4" s="19" t="s">
        <v>43</v>
      </c>
      <c r="AG4" s="19" t="s">
        <v>38</v>
      </c>
      <c r="AH4" s="19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505000</v>
      </c>
      <c r="F5" s="37"/>
      <c r="G5" s="37"/>
      <c r="H5" s="39">
        <f>+SUM(H2:H4)</f>
        <v>505000</v>
      </c>
      <c r="I5" s="39">
        <f>+SUM(I2:I4)</f>
        <v>218700</v>
      </c>
      <c r="J5" s="40"/>
      <c r="K5" s="39">
        <f>+SUM(K2:K4)</f>
        <v>582934</v>
      </c>
      <c r="L5" s="39">
        <f>+SUM(L2:L4)</f>
        <v>-30384</v>
      </c>
      <c r="M5" s="39">
        <f>+SUM(M2:M4)</f>
        <v>47550</v>
      </c>
      <c r="N5" s="81">
        <f>AVERAGE(N2:N4)</f>
        <v>0.11172109625668449</v>
      </c>
      <c r="O5" s="41">
        <f>+SUM(O2:O4)</f>
        <v>237.74</v>
      </c>
      <c r="P5" s="42"/>
      <c r="Q5" s="43">
        <f>+SUM(Q2:Q4)</f>
        <v>0.61699999999999999</v>
      </c>
      <c r="R5" s="43">
        <f>+SUM(R2:R4)</f>
        <v>0.61699999999999999</v>
      </c>
      <c r="S5" s="39"/>
      <c r="T5" s="39"/>
      <c r="U5" s="44"/>
      <c r="V5" s="43"/>
      <c r="W5" s="82">
        <f>AVERAGE(W2:W4)</f>
        <v>33666.666666666664</v>
      </c>
      <c r="X5" s="83">
        <f>AVERAGE(X2:X4)</f>
        <v>452.64266755142671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43.306930693069305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29.843706507975114</v>
      </c>
      <c r="K7" s="48"/>
      <c r="L7" s="48"/>
      <c r="M7" s="48" t="s">
        <v>2880</v>
      </c>
      <c r="N7" s="80"/>
      <c r="O7" s="54">
        <f>L5/O5</f>
        <v>-127.80348279633212</v>
      </c>
      <c r="P7" s="50"/>
      <c r="Q7" s="51" t="s">
        <v>2881</v>
      </c>
      <c r="R7" s="51">
        <f>L5/Q5</f>
        <v>-49244.732576985414</v>
      </c>
      <c r="S7" s="48"/>
      <c r="T7" s="48" t="s">
        <v>2882</v>
      </c>
      <c r="U7" s="52">
        <f>L5/Q5/43560</f>
        <v>-1.1305035026856156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>
    <tabColor rgb="FFFF0000"/>
  </sheetPr>
  <dimension ref="A1:AH18"/>
  <sheetViews>
    <sheetView workbookViewId="0">
      <selection activeCell="C10" sqref="C10:L2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3320312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30.8867187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35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2229</v>
      </c>
      <c r="B2" s="10" t="s">
        <v>2230</v>
      </c>
      <c r="C2" s="10" t="s">
        <v>2231</v>
      </c>
      <c r="D2" s="11">
        <v>45447</v>
      </c>
      <c r="E2" s="12">
        <v>172000</v>
      </c>
      <c r="F2" s="10" t="s">
        <v>32</v>
      </c>
      <c r="G2" s="10" t="s">
        <v>33</v>
      </c>
      <c r="H2" s="12">
        <v>172000</v>
      </c>
      <c r="I2" s="12">
        <v>74000</v>
      </c>
      <c r="J2" s="13">
        <f>I2/H2*100</f>
        <v>43.02325581395349</v>
      </c>
      <c r="K2" s="12">
        <v>162406</v>
      </c>
      <c r="L2" s="12">
        <f>H2-153469</f>
        <v>18531</v>
      </c>
      <c r="M2" s="12">
        <v>8937</v>
      </c>
      <c r="N2" s="66">
        <f>M2/E2</f>
        <v>5.1959302325581394E-2</v>
      </c>
      <c r="O2" s="14">
        <v>41.56</v>
      </c>
      <c r="P2" s="15">
        <v>135</v>
      </c>
      <c r="Q2" s="16">
        <v>0.124</v>
      </c>
      <c r="R2" s="16">
        <v>0.124</v>
      </c>
      <c r="S2" s="12">
        <f>L2/O2</f>
        <v>445.88546679499518</v>
      </c>
      <c r="T2" s="12">
        <f>L2/Q2</f>
        <v>149443.54838709679</v>
      </c>
      <c r="U2" s="17">
        <f>L2/Q2/43560</f>
        <v>3.4307517995201282</v>
      </c>
      <c r="V2" s="16">
        <v>40</v>
      </c>
      <c r="W2" s="16">
        <f>0.2*E2</f>
        <v>34400</v>
      </c>
      <c r="X2" s="16">
        <f>W2/V2</f>
        <v>860</v>
      </c>
      <c r="Y2" s="18" t="s">
        <v>2227</v>
      </c>
      <c r="Z2" s="10" t="s">
        <v>35</v>
      </c>
      <c r="AA2" s="10" t="s">
        <v>35</v>
      </c>
      <c r="AB2" s="10" t="s">
        <v>2229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2229</v>
      </c>
      <c r="B3" s="19" t="s">
        <v>2225</v>
      </c>
      <c r="C3" s="19" t="s">
        <v>2226</v>
      </c>
      <c r="D3" s="20">
        <v>45464</v>
      </c>
      <c r="E3" s="21">
        <v>193000</v>
      </c>
      <c r="F3" s="19" t="s">
        <v>32</v>
      </c>
      <c r="G3" s="19" t="s">
        <v>66</v>
      </c>
      <c r="H3" s="21">
        <v>193000</v>
      </c>
      <c r="I3" s="21">
        <v>66500</v>
      </c>
      <c r="J3" s="22">
        <f>I3/H3*100</f>
        <v>34.4559585492228</v>
      </c>
      <c r="K3" s="21">
        <v>146414</v>
      </c>
      <c r="L3" s="21">
        <f>H3-126752</f>
        <v>66248</v>
      </c>
      <c r="M3" s="21">
        <v>19662</v>
      </c>
      <c r="N3" s="67">
        <f>M3/E3</f>
        <v>0.10187564766839378</v>
      </c>
      <c r="O3" s="23">
        <v>91.45</v>
      </c>
      <c r="P3" s="24">
        <v>405</v>
      </c>
      <c r="Q3" s="25">
        <v>0.27200000000000002</v>
      </c>
      <c r="R3" s="25">
        <v>0.13600000000000001</v>
      </c>
      <c r="S3" s="21">
        <f>L3/O3</f>
        <v>724.41771459814106</v>
      </c>
      <c r="T3" s="21">
        <f>L3/Q3</f>
        <v>243558.82352941175</v>
      </c>
      <c r="U3" s="26">
        <f>L3/Q3/43560</f>
        <v>5.5913412196834651</v>
      </c>
      <c r="V3" s="25">
        <v>88</v>
      </c>
      <c r="W3" s="25">
        <f>0.2*E3</f>
        <v>38600</v>
      </c>
      <c r="X3" s="25">
        <f>W3/V3</f>
        <v>438.63636363636363</v>
      </c>
      <c r="Y3" s="27" t="s">
        <v>2227</v>
      </c>
      <c r="Z3" s="19" t="s">
        <v>35</v>
      </c>
      <c r="AA3" s="19" t="s">
        <v>2228</v>
      </c>
      <c r="AB3" s="19" t="s">
        <v>2229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2229</v>
      </c>
      <c r="B4" s="19" t="s">
        <v>2236</v>
      </c>
      <c r="C4" s="19" t="s">
        <v>2237</v>
      </c>
      <c r="D4" s="20">
        <v>45154</v>
      </c>
      <c r="E4" s="21">
        <v>185000</v>
      </c>
      <c r="F4" s="19" t="s">
        <v>32</v>
      </c>
      <c r="G4" s="19" t="s">
        <v>33</v>
      </c>
      <c r="H4" s="21">
        <v>185000</v>
      </c>
      <c r="I4" s="21">
        <v>54300</v>
      </c>
      <c r="J4" s="22">
        <f>I4/H4*100</f>
        <v>29.351351351351351</v>
      </c>
      <c r="K4" s="21">
        <v>138192</v>
      </c>
      <c r="L4" s="21">
        <f>H4-124690</f>
        <v>60310</v>
      </c>
      <c r="M4" s="21">
        <v>13502</v>
      </c>
      <c r="N4" s="67">
        <f>M4/E4</f>
        <v>7.2983783783783784E-2</v>
      </c>
      <c r="O4" s="23">
        <v>62.79</v>
      </c>
      <c r="P4" s="24">
        <v>279.45</v>
      </c>
      <c r="Q4" s="25">
        <v>0.26900000000000002</v>
      </c>
      <c r="R4" s="25">
        <v>0.26900000000000002</v>
      </c>
      <c r="S4" s="21">
        <f>L4/O4</f>
        <v>960.50326485109099</v>
      </c>
      <c r="T4" s="21">
        <f>L4/Q4</f>
        <v>224200.74349442378</v>
      </c>
      <c r="U4" s="26">
        <f>L4/Q4/43560</f>
        <v>5.1469408515707942</v>
      </c>
      <c r="V4" s="25">
        <v>42</v>
      </c>
      <c r="W4" s="25">
        <f>0.2*E4</f>
        <v>37000</v>
      </c>
      <c r="X4" s="25">
        <f>W4/V4</f>
        <v>880.95238095238096</v>
      </c>
      <c r="Y4" s="27" t="s">
        <v>2227</v>
      </c>
      <c r="Z4" s="19" t="s">
        <v>35</v>
      </c>
      <c r="AA4" s="19" t="s">
        <v>35</v>
      </c>
      <c r="AB4" s="19" t="s">
        <v>2229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2229</v>
      </c>
      <c r="B5" s="10" t="s">
        <v>2232</v>
      </c>
      <c r="C5" s="10" t="s">
        <v>2233</v>
      </c>
      <c r="D5" s="11">
        <v>45133</v>
      </c>
      <c r="E5" s="12">
        <v>182000</v>
      </c>
      <c r="F5" s="10" t="s">
        <v>32</v>
      </c>
      <c r="G5" s="10" t="s">
        <v>33</v>
      </c>
      <c r="H5" s="12">
        <v>182000</v>
      </c>
      <c r="I5" s="12">
        <v>55500</v>
      </c>
      <c r="J5" s="13">
        <f>I5/H5*100</f>
        <v>30.494505494505496</v>
      </c>
      <c r="K5" s="12">
        <v>143702</v>
      </c>
      <c r="L5" s="12">
        <f>H5-134094</f>
        <v>47906</v>
      </c>
      <c r="M5" s="12">
        <v>9608</v>
      </c>
      <c r="N5" s="66">
        <f>M5/E5</f>
        <v>5.2791208791208792E-2</v>
      </c>
      <c r="O5" s="14">
        <v>44.68</v>
      </c>
      <c r="P5" s="15">
        <v>135</v>
      </c>
      <c r="Q5" s="16">
        <v>0.13300000000000001</v>
      </c>
      <c r="R5" s="16">
        <v>0.13300000000000001</v>
      </c>
      <c r="S5" s="12">
        <f>L5/O5</f>
        <v>1072.202327663384</v>
      </c>
      <c r="T5" s="12">
        <f>L5/Q5</f>
        <v>360195.48872180452</v>
      </c>
      <c r="U5" s="17">
        <f>L5/Q5/43560</f>
        <v>8.2689506134482205</v>
      </c>
      <c r="V5" s="16">
        <v>43</v>
      </c>
      <c r="W5" s="16">
        <f>0.2*E5</f>
        <v>36400</v>
      </c>
      <c r="X5" s="16">
        <f>W5/V5</f>
        <v>846.51162790697674</v>
      </c>
      <c r="Y5" s="18" t="s">
        <v>2227</v>
      </c>
      <c r="Z5" s="10" t="s">
        <v>35</v>
      </c>
      <c r="AA5" s="10" t="s">
        <v>35</v>
      </c>
      <c r="AB5" s="10" t="s">
        <v>2229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ht="15" thickBot="1" x14ac:dyDescent="0.35">
      <c r="A6" s="75" t="s">
        <v>2229</v>
      </c>
      <c r="B6" s="19" t="s">
        <v>2234</v>
      </c>
      <c r="C6" s="19" t="s">
        <v>2235</v>
      </c>
      <c r="D6" s="20">
        <v>45159</v>
      </c>
      <c r="E6" s="21">
        <v>175000</v>
      </c>
      <c r="F6" s="19" t="s">
        <v>32</v>
      </c>
      <c r="G6" s="19" t="s">
        <v>33</v>
      </c>
      <c r="H6" s="21">
        <v>175000</v>
      </c>
      <c r="I6" s="21">
        <v>45600</v>
      </c>
      <c r="J6" s="22">
        <f>I6/H6*100</f>
        <v>26.057142857142857</v>
      </c>
      <c r="K6" s="21">
        <v>116740</v>
      </c>
      <c r="L6" s="21">
        <f>H6-107970</f>
        <v>67030</v>
      </c>
      <c r="M6" s="21">
        <v>8770</v>
      </c>
      <c r="N6" s="67">
        <f>M6/E6</f>
        <v>5.0114285714285715E-2</v>
      </c>
      <c r="O6" s="23">
        <v>40.79</v>
      </c>
      <c r="P6" s="24">
        <v>130</v>
      </c>
      <c r="Q6" s="25">
        <v>0.11899999999999999</v>
      </c>
      <c r="R6" s="25">
        <v>0.11899999999999999</v>
      </c>
      <c r="S6" s="21">
        <f>L6/O6</f>
        <v>1643.2949252267713</v>
      </c>
      <c r="T6" s="21">
        <f>L6/Q6</f>
        <v>563277.31092436973</v>
      </c>
      <c r="U6" s="26">
        <f>L6/Q6/43560</f>
        <v>12.931067743901968</v>
      </c>
      <c r="V6" s="25">
        <v>40</v>
      </c>
      <c r="W6" s="25">
        <f>0.2*E6</f>
        <v>35000</v>
      </c>
      <c r="X6" s="25">
        <f>W6/V6</f>
        <v>875</v>
      </c>
      <c r="Y6" s="27" t="s">
        <v>2227</v>
      </c>
      <c r="Z6" s="19" t="s">
        <v>35</v>
      </c>
      <c r="AA6" s="19" t="s">
        <v>35</v>
      </c>
      <c r="AB6" s="19" t="s">
        <v>2229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ht="15" thickTop="1" x14ac:dyDescent="0.3">
      <c r="A7" s="76"/>
      <c r="B7" s="37"/>
      <c r="C7" s="37"/>
      <c r="D7" s="38" t="s">
        <v>2876</v>
      </c>
      <c r="E7" s="39">
        <f>+SUM(E2:E6)</f>
        <v>907000</v>
      </c>
      <c r="F7" s="37"/>
      <c r="G7" s="37"/>
      <c r="H7" s="39">
        <f>+SUM(H2:H6)</f>
        <v>907000</v>
      </c>
      <c r="I7" s="39">
        <f>+SUM(I2:I6)</f>
        <v>295900</v>
      </c>
      <c r="J7" s="40"/>
      <c r="K7" s="39">
        <f>+SUM(K2:K6)</f>
        <v>707454</v>
      </c>
      <c r="L7" s="39">
        <f>+SUM(L2:L6)</f>
        <v>260025</v>
      </c>
      <c r="M7" s="39">
        <f>+SUM(M2:M6)</f>
        <v>60479</v>
      </c>
      <c r="N7" s="81">
        <f>AVERAGE(N2:N6)</f>
        <v>6.5944845656650694E-2</v>
      </c>
      <c r="O7" s="41">
        <f>+SUM(O2:O6)</f>
        <v>281.27</v>
      </c>
      <c r="P7" s="42"/>
      <c r="Q7" s="43">
        <f>+SUM(Q2:Q6)</f>
        <v>0.91700000000000004</v>
      </c>
      <c r="R7" s="43">
        <f>+SUM(R2:R6)</f>
        <v>0.78100000000000003</v>
      </c>
      <c r="S7" s="39"/>
      <c r="T7" s="39"/>
      <c r="U7" s="44"/>
      <c r="V7" s="43"/>
      <c r="W7" s="82">
        <f>AVERAGE(W2:W6)</f>
        <v>36280</v>
      </c>
      <c r="X7" s="83">
        <f>AVERAGE(X2:X6)</f>
        <v>780.22007449914429</v>
      </c>
      <c r="Y7" s="45"/>
      <c r="Z7" s="37"/>
      <c r="AA7" s="37"/>
      <c r="AB7" s="37"/>
      <c r="AC7" s="37"/>
      <c r="AD7" s="37"/>
      <c r="AE7" s="37"/>
      <c r="AF7" s="37"/>
      <c r="AG7" s="37"/>
      <c r="AH7" s="37"/>
    </row>
    <row r="8" spans="1:34" x14ac:dyDescent="0.3">
      <c r="A8" s="77"/>
      <c r="B8" s="28"/>
      <c r="C8" s="28"/>
      <c r="D8" s="29"/>
      <c r="E8" s="30"/>
      <c r="F8" s="28"/>
      <c r="G8" s="28"/>
      <c r="H8" s="30"/>
      <c r="I8" s="30" t="s">
        <v>2877</v>
      </c>
      <c r="J8" s="31">
        <f>I7/H7*100</f>
        <v>32.624035281146632</v>
      </c>
      <c r="K8" s="30"/>
      <c r="L8" s="30"/>
      <c r="M8" s="30" t="s">
        <v>2879</v>
      </c>
      <c r="N8" s="79"/>
      <c r="O8" s="32"/>
      <c r="P8" s="33"/>
      <c r="Q8" s="34" t="s">
        <v>2879</v>
      </c>
      <c r="R8" s="34"/>
      <c r="S8" s="30"/>
      <c r="T8" s="30" t="s">
        <v>2879</v>
      </c>
      <c r="U8" s="35"/>
      <c r="V8" s="34"/>
      <c r="W8" s="63"/>
      <c r="X8" s="68"/>
      <c r="Y8" s="36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3">
      <c r="A9" s="78"/>
      <c r="B9" s="46"/>
      <c r="C9" s="46"/>
      <c r="D9" s="47"/>
      <c r="E9" s="48"/>
      <c r="F9" s="46"/>
      <c r="G9" s="46"/>
      <c r="H9" s="48"/>
      <c r="I9" s="48" t="s">
        <v>2878</v>
      </c>
      <c r="J9" s="49">
        <f>STDEV(J2:J6)</f>
        <v>6.5164298340414906</v>
      </c>
      <c r="K9" s="48"/>
      <c r="L9" s="48"/>
      <c r="M9" s="48" t="s">
        <v>2880</v>
      </c>
      <c r="N9" s="80"/>
      <c r="O9" s="54">
        <f>L7/O7</f>
        <v>924.46759341557936</v>
      </c>
      <c r="P9" s="50"/>
      <c r="Q9" s="51" t="s">
        <v>2881</v>
      </c>
      <c r="R9" s="51">
        <f>L7/Q7</f>
        <v>283560.52344601962</v>
      </c>
      <c r="S9" s="48"/>
      <c r="T9" s="48" t="s">
        <v>2882</v>
      </c>
      <c r="U9" s="52">
        <f>L7/Q7/43560</f>
        <v>6.509653889945354</v>
      </c>
      <c r="V9" s="51"/>
      <c r="W9" s="64"/>
      <c r="X9" s="69"/>
      <c r="Y9" s="53"/>
      <c r="Z9" s="46"/>
      <c r="AA9" s="46"/>
      <c r="AB9" s="46"/>
      <c r="AC9" s="46"/>
      <c r="AD9" s="46"/>
      <c r="AE9" s="46"/>
      <c r="AF9" s="46"/>
      <c r="AG9" s="46"/>
      <c r="AH9" s="46"/>
    </row>
    <row r="10" spans="1:34" x14ac:dyDescent="0.3">
      <c r="E10" s="94" t="s">
        <v>3099</v>
      </c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L15" s="95"/>
    </row>
    <row r="16" spans="1:34" x14ac:dyDescent="0.3">
      <c r="E16" s="383" t="s">
        <v>3100</v>
      </c>
      <c r="F16" s="383"/>
      <c r="G16" s="383"/>
      <c r="H16" s="383"/>
      <c r="I16" s="383"/>
      <c r="L16" s="95"/>
    </row>
    <row r="17" spans="1:12" x14ac:dyDescent="0.3">
      <c r="E17" s="96"/>
      <c r="F17" s="96"/>
      <c r="G17" s="96"/>
      <c r="H17" s="96"/>
      <c r="I17" s="96"/>
      <c r="L17" s="95"/>
    </row>
    <row r="18" spans="1:12" x14ac:dyDescent="0.3">
      <c r="A18" s="55" t="s">
        <v>3092</v>
      </c>
      <c r="E18" s="96"/>
      <c r="F18" s="96"/>
      <c r="G18" s="96"/>
      <c r="H18" s="96"/>
      <c r="I18" s="96"/>
      <c r="L18" s="95"/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>
    <tabColor rgb="FF00B050"/>
  </sheetPr>
  <dimension ref="A1:AH15"/>
  <sheetViews>
    <sheetView workbookViewId="0">
      <selection activeCell="E7" sqref="E7:Q2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4414062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2131</v>
      </c>
      <c r="B2" s="19" t="s">
        <v>2128</v>
      </c>
      <c r="C2" s="19" t="s">
        <v>2129</v>
      </c>
      <c r="D2" s="20">
        <v>45358</v>
      </c>
      <c r="E2" s="21">
        <v>280000</v>
      </c>
      <c r="F2" s="19" t="s">
        <v>32</v>
      </c>
      <c r="G2" s="19" t="s">
        <v>33</v>
      </c>
      <c r="H2" s="21">
        <v>280000</v>
      </c>
      <c r="I2" s="21">
        <v>138100</v>
      </c>
      <c r="J2" s="22">
        <f>I2/H2*100</f>
        <v>49.321428571428569</v>
      </c>
      <c r="K2" s="21">
        <v>378390</v>
      </c>
      <c r="L2" s="21">
        <f>H2-351361</f>
        <v>-71361</v>
      </c>
      <c r="M2" s="21">
        <v>27029</v>
      </c>
      <c r="N2" s="67">
        <f>M2/E2</f>
        <v>9.6532142857142858E-2</v>
      </c>
      <c r="O2" s="23">
        <v>142.25</v>
      </c>
      <c r="P2" s="24">
        <v>172.8</v>
      </c>
      <c r="Q2" s="25">
        <v>0.55600000000000005</v>
      </c>
      <c r="R2" s="25">
        <v>0.55600000000000005</v>
      </c>
      <c r="S2" s="21">
        <f>L2/O2</f>
        <v>-501.65905096660811</v>
      </c>
      <c r="T2" s="21">
        <f>L2/Q2</f>
        <v>-128347.12230215826</v>
      </c>
      <c r="U2" s="26">
        <f>L2/Q2/43560</f>
        <v>-2.9464444972947259</v>
      </c>
      <c r="V2" s="25">
        <v>90</v>
      </c>
      <c r="W2" s="25">
        <f>0.2*E2</f>
        <v>56000</v>
      </c>
      <c r="X2" s="25">
        <f>W2/V2</f>
        <v>622.22222222222217</v>
      </c>
      <c r="Y2" s="27" t="s">
        <v>2130</v>
      </c>
      <c r="Z2" s="19" t="s">
        <v>35</v>
      </c>
      <c r="AA2" s="19" t="s">
        <v>35</v>
      </c>
      <c r="AB2" s="19" t="s">
        <v>2131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4" t="s">
        <v>2131</v>
      </c>
      <c r="B3" s="10" t="s">
        <v>2132</v>
      </c>
      <c r="C3" s="10" t="s">
        <v>2133</v>
      </c>
      <c r="D3" s="11">
        <v>45733</v>
      </c>
      <c r="E3" s="12">
        <v>309900</v>
      </c>
      <c r="F3" s="10" t="s">
        <v>32</v>
      </c>
      <c r="G3" s="10" t="s">
        <v>33</v>
      </c>
      <c r="H3" s="12">
        <v>309900</v>
      </c>
      <c r="I3" s="12">
        <v>166200</v>
      </c>
      <c r="J3" s="13">
        <f>I3/H3*100</f>
        <v>53.630203291384312</v>
      </c>
      <c r="K3" s="12">
        <v>372403</v>
      </c>
      <c r="L3" s="12">
        <f>H3-354733</f>
        <v>-44833</v>
      </c>
      <c r="M3" s="12">
        <v>17670</v>
      </c>
      <c r="N3" s="66">
        <f>M3/E3</f>
        <v>5.7018393030009683E-2</v>
      </c>
      <c r="O3" s="14">
        <v>93</v>
      </c>
      <c r="P3" s="15">
        <v>130</v>
      </c>
      <c r="Q3" s="16">
        <v>0.27800000000000002</v>
      </c>
      <c r="R3" s="16">
        <v>0.27800000000000002</v>
      </c>
      <c r="S3" s="12">
        <f>L3/O3</f>
        <v>-482.07526881720429</v>
      </c>
      <c r="T3" s="12">
        <f>L3/Q3</f>
        <v>-161269.78417266186</v>
      </c>
      <c r="U3" s="17">
        <f>L3/Q3/43560</f>
        <v>-3.7022448157176737</v>
      </c>
      <c r="V3" s="16">
        <v>93</v>
      </c>
      <c r="W3" s="16">
        <f>0.2*E3</f>
        <v>61980</v>
      </c>
      <c r="X3" s="16">
        <f>W3/V3</f>
        <v>666.45161290322585</v>
      </c>
      <c r="Y3" s="18" t="s">
        <v>2130</v>
      </c>
      <c r="Z3" s="10" t="s">
        <v>35</v>
      </c>
      <c r="AA3" s="10" t="s">
        <v>35</v>
      </c>
      <c r="AB3" s="10" t="s">
        <v>2131</v>
      </c>
      <c r="AC3" s="10">
        <v>0</v>
      </c>
      <c r="AD3" s="10">
        <v>1</v>
      </c>
      <c r="AE3" s="10" t="s">
        <v>2134</v>
      </c>
      <c r="AF3" s="10" t="s">
        <v>35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589900</v>
      </c>
      <c r="F4" s="37"/>
      <c r="G4" s="37"/>
      <c r="H4" s="39">
        <f>+SUM(H2:H3)</f>
        <v>589900</v>
      </c>
      <c r="I4" s="39">
        <f>+SUM(I2:I3)</f>
        <v>304300</v>
      </c>
      <c r="J4" s="40"/>
      <c r="K4" s="39">
        <f>+SUM(K2:K3)</f>
        <v>750793</v>
      </c>
      <c r="L4" s="39">
        <f>+SUM(L2:L3)</f>
        <v>-116194</v>
      </c>
      <c r="M4" s="39">
        <f>+SUM(M2:M3)</f>
        <v>44699</v>
      </c>
      <c r="N4" s="81">
        <f>AVERAGE(N2:N3)</f>
        <v>7.6775267943576267E-2</v>
      </c>
      <c r="O4" s="41">
        <f>+SUM(O2:O3)</f>
        <v>235.25</v>
      </c>
      <c r="P4" s="42"/>
      <c r="Q4" s="43">
        <f>+SUM(Q2:Q3)</f>
        <v>0.83400000000000007</v>
      </c>
      <c r="R4" s="43">
        <f>+SUM(R2:R3)</f>
        <v>0.83400000000000007</v>
      </c>
      <c r="S4" s="39"/>
      <c r="T4" s="39"/>
      <c r="U4" s="44"/>
      <c r="V4" s="43"/>
      <c r="W4" s="82">
        <f>AVERAGE(W2:W3)</f>
        <v>58990</v>
      </c>
      <c r="X4" s="83">
        <f>AVERAGE(X2:X3)</f>
        <v>644.33691756272401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51.585014409221898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3.0467638230858727</v>
      </c>
      <c r="K6" s="48"/>
      <c r="L6" s="48"/>
      <c r="M6" s="48" t="s">
        <v>2880</v>
      </c>
      <c r="N6" s="80"/>
      <c r="O6" s="54">
        <f>L4/O4</f>
        <v>-493.91710945802339</v>
      </c>
      <c r="P6" s="50"/>
      <c r="Q6" s="51" t="s">
        <v>2881</v>
      </c>
      <c r="R6" s="51">
        <f>L4/Q4</f>
        <v>-139321.34292565947</v>
      </c>
      <c r="S6" s="48"/>
      <c r="T6" s="48" t="s">
        <v>2882</v>
      </c>
      <c r="U6" s="52">
        <f>L4/Q4/43560</f>
        <v>-3.1983779367690421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0">
    <tabColor rgb="FF00B050"/>
  </sheetPr>
  <dimension ref="A1:AH28"/>
  <sheetViews>
    <sheetView workbookViewId="0">
      <selection activeCell="C12" sqref="C12:L1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" bestFit="1" customWidth="1" collapsed="1"/>
    <col min="4" max="4" width="10.6640625" bestFit="1" customWidth="1" collapsed="1"/>
    <col min="5" max="5" width="13.4414062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1921</v>
      </c>
      <c r="B2" s="19" t="s">
        <v>1926</v>
      </c>
      <c r="C2" s="19" t="s">
        <v>1927</v>
      </c>
      <c r="D2" s="20">
        <v>45229</v>
      </c>
      <c r="E2" s="21">
        <v>235000</v>
      </c>
      <c r="F2" s="19" t="s">
        <v>32</v>
      </c>
      <c r="G2" s="19" t="s">
        <v>33</v>
      </c>
      <c r="H2" s="21">
        <v>235000</v>
      </c>
      <c r="I2" s="21">
        <v>94000</v>
      </c>
      <c r="J2" s="22">
        <f t="shared" ref="J2:J8" si="0">I2/H2*100</f>
        <v>40</v>
      </c>
      <c r="K2" s="21">
        <v>240627</v>
      </c>
      <c r="L2" s="21">
        <f>H2-227503</f>
        <v>7497</v>
      </c>
      <c r="M2" s="21">
        <v>13124</v>
      </c>
      <c r="N2" s="67">
        <f t="shared" ref="N2:N8" si="1">M2/E2</f>
        <v>5.58468085106383E-2</v>
      </c>
      <c r="O2" s="23">
        <v>68.349999999999994</v>
      </c>
      <c r="P2" s="24">
        <v>234.17</v>
      </c>
      <c r="Q2" s="25">
        <v>0.36</v>
      </c>
      <c r="R2" s="25">
        <v>0.36</v>
      </c>
      <c r="S2" s="21">
        <f t="shared" ref="S2:S8" si="2">L2/O2</f>
        <v>109.68544257498172</v>
      </c>
      <c r="T2" s="21">
        <f t="shared" ref="T2:T8" si="3">L2/Q2</f>
        <v>20825</v>
      </c>
      <c r="U2" s="26">
        <f t="shared" ref="U2:U8" si="4">L2/Q2/43560</f>
        <v>0.47807621671258033</v>
      </c>
      <c r="V2" s="25">
        <v>67</v>
      </c>
      <c r="W2" s="25">
        <f t="shared" ref="W2:W8" si="5">0.2*E2</f>
        <v>47000</v>
      </c>
      <c r="X2" s="25">
        <f t="shared" ref="X2:X8" si="6">W2/V2</f>
        <v>701.49253731343288</v>
      </c>
      <c r="Y2" s="27" t="s">
        <v>1915</v>
      </c>
      <c r="Z2" s="19" t="s">
        <v>35</v>
      </c>
      <c r="AA2" s="19" t="s">
        <v>35</v>
      </c>
      <c r="AB2" s="19" t="s">
        <v>1921</v>
      </c>
      <c r="AC2" s="19">
        <v>0</v>
      </c>
      <c r="AD2" s="19">
        <v>1</v>
      </c>
      <c r="AE2" s="19" t="s">
        <v>1928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1921</v>
      </c>
      <c r="B3" s="19" t="s">
        <v>1919</v>
      </c>
      <c r="C3" s="19" t="s">
        <v>1920</v>
      </c>
      <c r="D3" s="20">
        <v>45595</v>
      </c>
      <c r="E3" s="21">
        <v>174900</v>
      </c>
      <c r="F3" s="19" t="s">
        <v>32</v>
      </c>
      <c r="G3" s="19" t="s">
        <v>33</v>
      </c>
      <c r="H3" s="21">
        <v>174900</v>
      </c>
      <c r="I3" s="21">
        <v>75200</v>
      </c>
      <c r="J3" s="22">
        <f t="shared" si="0"/>
        <v>42.995997712978848</v>
      </c>
      <c r="K3" s="21">
        <v>176641</v>
      </c>
      <c r="L3" s="21">
        <f>H3-164498</f>
        <v>10402</v>
      </c>
      <c r="M3" s="21">
        <v>12143</v>
      </c>
      <c r="N3" s="67">
        <f t="shared" si="1"/>
        <v>6.9428244711263576E-2</v>
      </c>
      <c r="O3" s="23">
        <v>63.24</v>
      </c>
      <c r="P3" s="24">
        <v>250</v>
      </c>
      <c r="Q3" s="25">
        <v>0.34399999999999997</v>
      </c>
      <c r="R3" s="25">
        <v>0.34399999999999997</v>
      </c>
      <c r="S3" s="21">
        <f t="shared" si="2"/>
        <v>164.48450347881086</v>
      </c>
      <c r="T3" s="21">
        <f t="shared" si="3"/>
        <v>30238.372093023259</v>
      </c>
      <c r="U3" s="26">
        <f t="shared" si="4"/>
        <v>0.6941775044312043</v>
      </c>
      <c r="V3" s="25">
        <v>60</v>
      </c>
      <c r="W3" s="25">
        <f t="shared" si="5"/>
        <v>34980</v>
      </c>
      <c r="X3" s="25">
        <f t="shared" si="6"/>
        <v>583</v>
      </c>
      <c r="Y3" s="27" t="s">
        <v>1915</v>
      </c>
      <c r="Z3" s="19" t="s">
        <v>35</v>
      </c>
      <c r="AA3" s="19" t="s">
        <v>35</v>
      </c>
      <c r="AB3" s="19" t="s">
        <v>1921</v>
      </c>
      <c r="AC3" s="19">
        <v>0</v>
      </c>
      <c r="AD3" s="19">
        <v>1</v>
      </c>
      <c r="AE3" s="19" t="s">
        <v>37</v>
      </c>
      <c r="AF3" s="19" t="s">
        <v>35</v>
      </c>
      <c r="AG3" s="19" t="s">
        <v>38</v>
      </c>
      <c r="AH3" s="19" t="s">
        <v>92</v>
      </c>
    </row>
    <row r="4" spans="1:34" x14ac:dyDescent="0.3">
      <c r="A4" s="74" t="s">
        <v>1921</v>
      </c>
      <c r="B4" s="10" t="s">
        <v>1931</v>
      </c>
      <c r="C4" s="10" t="s">
        <v>1932</v>
      </c>
      <c r="D4" s="11">
        <v>45454</v>
      </c>
      <c r="E4" s="12">
        <v>160000</v>
      </c>
      <c r="F4" s="10" t="s">
        <v>32</v>
      </c>
      <c r="G4" s="10" t="s">
        <v>33</v>
      </c>
      <c r="H4" s="12">
        <v>160000</v>
      </c>
      <c r="I4" s="12">
        <v>68000</v>
      </c>
      <c r="J4" s="13">
        <f t="shared" si="0"/>
        <v>42.5</v>
      </c>
      <c r="K4" s="12">
        <v>157195</v>
      </c>
      <c r="L4" s="12">
        <f>H4-133628</f>
        <v>26372</v>
      </c>
      <c r="M4" s="12">
        <v>23567</v>
      </c>
      <c r="N4" s="66">
        <f t="shared" si="1"/>
        <v>0.14729375</v>
      </c>
      <c r="O4" s="14">
        <v>122.74</v>
      </c>
      <c r="P4" s="15">
        <v>227.88</v>
      </c>
      <c r="Q4" s="16">
        <v>0.63500000000000001</v>
      </c>
      <c r="R4" s="16">
        <v>0.63500000000000001</v>
      </c>
      <c r="S4" s="12">
        <f t="shared" si="2"/>
        <v>214.86068111455108</v>
      </c>
      <c r="T4" s="12">
        <f t="shared" si="3"/>
        <v>41530.708661417324</v>
      </c>
      <c r="U4" s="17">
        <f t="shared" si="4"/>
        <v>0.95341388111610015</v>
      </c>
      <c r="V4" s="16">
        <v>122.95</v>
      </c>
      <c r="W4" s="16">
        <f t="shared" si="5"/>
        <v>32000</v>
      </c>
      <c r="X4" s="16">
        <f t="shared" si="6"/>
        <v>260.26840178934526</v>
      </c>
      <c r="Y4" s="18" t="s">
        <v>1915</v>
      </c>
      <c r="Z4" s="10" t="s">
        <v>35</v>
      </c>
      <c r="AA4" s="10" t="s">
        <v>35</v>
      </c>
      <c r="AB4" s="10" t="s">
        <v>1921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1921</v>
      </c>
      <c r="B5" s="10" t="s">
        <v>1924</v>
      </c>
      <c r="C5" s="10" t="s">
        <v>1925</v>
      </c>
      <c r="D5" s="11">
        <v>45279</v>
      </c>
      <c r="E5" s="12">
        <v>159000</v>
      </c>
      <c r="F5" s="10" t="s">
        <v>32</v>
      </c>
      <c r="G5" s="10" t="s">
        <v>33</v>
      </c>
      <c r="H5" s="12">
        <v>159000</v>
      </c>
      <c r="I5" s="12">
        <v>63000</v>
      </c>
      <c r="J5" s="13">
        <f t="shared" si="0"/>
        <v>39.622641509433961</v>
      </c>
      <c r="K5" s="12">
        <v>157382</v>
      </c>
      <c r="L5" s="12">
        <f>H5-146835</f>
        <v>12165</v>
      </c>
      <c r="M5" s="12">
        <v>10547</v>
      </c>
      <c r="N5" s="66">
        <f t="shared" si="1"/>
        <v>6.6333333333333327E-2</v>
      </c>
      <c r="O5" s="14">
        <v>54.92</v>
      </c>
      <c r="P5" s="15">
        <v>188.58</v>
      </c>
      <c r="Q5" s="16">
        <v>0.26</v>
      </c>
      <c r="R5" s="16">
        <v>0.26</v>
      </c>
      <c r="S5" s="12">
        <f t="shared" si="2"/>
        <v>221.50400582665694</v>
      </c>
      <c r="T5" s="12">
        <f t="shared" si="3"/>
        <v>46788.461538461539</v>
      </c>
      <c r="U5" s="17">
        <f t="shared" si="4"/>
        <v>1.0741152786607333</v>
      </c>
      <c r="V5" s="16">
        <v>60</v>
      </c>
      <c r="W5" s="16">
        <f t="shared" si="5"/>
        <v>31800</v>
      </c>
      <c r="X5" s="16">
        <f t="shared" si="6"/>
        <v>530</v>
      </c>
      <c r="Y5" s="18" t="s">
        <v>1915</v>
      </c>
      <c r="Z5" s="10" t="s">
        <v>35</v>
      </c>
      <c r="AA5" s="10" t="s">
        <v>35</v>
      </c>
      <c r="AB5" s="10" t="s">
        <v>1921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1916</v>
      </c>
      <c r="B6" s="10" t="s">
        <v>1913</v>
      </c>
      <c r="C6" s="10" t="s">
        <v>1914</v>
      </c>
      <c r="D6" s="11">
        <v>45204</v>
      </c>
      <c r="E6" s="12">
        <v>190000</v>
      </c>
      <c r="F6" s="10" t="s">
        <v>32</v>
      </c>
      <c r="G6" s="10" t="s">
        <v>33</v>
      </c>
      <c r="H6" s="12">
        <v>190000</v>
      </c>
      <c r="I6" s="12">
        <v>72700</v>
      </c>
      <c r="J6" s="13">
        <f t="shared" si="0"/>
        <v>38.263157894736842</v>
      </c>
      <c r="K6" s="12">
        <v>187088</v>
      </c>
      <c r="L6" s="12">
        <f>H6-172070</f>
        <v>17930</v>
      </c>
      <c r="M6" s="12">
        <v>15018</v>
      </c>
      <c r="N6" s="66">
        <f t="shared" si="1"/>
        <v>7.90421052631579E-2</v>
      </c>
      <c r="O6" s="14">
        <v>78.22</v>
      </c>
      <c r="P6" s="15">
        <v>300.25</v>
      </c>
      <c r="Q6" s="16">
        <v>0.51500000000000001</v>
      </c>
      <c r="R6" s="16">
        <v>0.51500000000000001</v>
      </c>
      <c r="S6" s="12">
        <f t="shared" si="2"/>
        <v>229.22526208130913</v>
      </c>
      <c r="T6" s="12">
        <f t="shared" si="3"/>
        <v>34815.533980582521</v>
      </c>
      <c r="U6" s="17">
        <f t="shared" si="4"/>
        <v>0.79925468274982825</v>
      </c>
      <c r="V6" s="16">
        <v>83.3</v>
      </c>
      <c r="W6" s="16">
        <f t="shared" si="5"/>
        <v>38000</v>
      </c>
      <c r="X6" s="16">
        <f t="shared" si="6"/>
        <v>456.18247298919567</v>
      </c>
      <c r="Y6" s="18" t="s">
        <v>1915</v>
      </c>
      <c r="Z6" s="10" t="s">
        <v>35</v>
      </c>
      <c r="AA6" s="10" t="s">
        <v>35</v>
      </c>
      <c r="AB6" s="10" t="s">
        <v>1916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1921</v>
      </c>
      <c r="B7" s="10" t="s">
        <v>1926</v>
      </c>
      <c r="C7" s="10" t="s">
        <v>1927</v>
      </c>
      <c r="D7" s="11">
        <v>45387</v>
      </c>
      <c r="E7" s="12">
        <v>245000</v>
      </c>
      <c r="F7" s="10" t="s">
        <v>32</v>
      </c>
      <c r="G7" s="10" t="s">
        <v>33</v>
      </c>
      <c r="H7" s="12">
        <v>245000</v>
      </c>
      <c r="I7" s="12">
        <v>103600</v>
      </c>
      <c r="J7" s="13">
        <f t="shared" si="0"/>
        <v>42.285714285714285</v>
      </c>
      <c r="K7" s="12">
        <v>240627</v>
      </c>
      <c r="L7" s="12">
        <f>H7-227503</f>
        <v>17497</v>
      </c>
      <c r="M7" s="12">
        <v>13124</v>
      </c>
      <c r="N7" s="66">
        <f t="shared" si="1"/>
        <v>5.3567346938775511E-2</v>
      </c>
      <c r="O7" s="14">
        <v>68.349999999999994</v>
      </c>
      <c r="P7" s="15">
        <v>234.17</v>
      </c>
      <c r="Q7" s="16">
        <v>0.36</v>
      </c>
      <c r="R7" s="16">
        <v>0.36</v>
      </c>
      <c r="S7" s="12">
        <f t="shared" si="2"/>
        <v>255.99122165325534</v>
      </c>
      <c r="T7" s="12">
        <f t="shared" si="3"/>
        <v>48602.777777777781</v>
      </c>
      <c r="U7" s="17">
        <f t="shared" si="4"/>
        <v>1.1157662483420059</v>
      </c>
      <c r="V7" s="16">
        <v>67</v>
      </c>
      <c r="W7" s="16">
        <f t="shared" si="5"/>
        <v>49000</v>
      </c>
      <c r="X7" s="16">
        <f t="shared" si="6"/>
        <v>731.3432835820895</v>
      </c>
      <c r="Y7" s="18" t="s">
        <v>1915</v>
      </c>
      <c r="Z7" s="10" t="s">
        <v>35</v>
      </c>
      <c r="AA7" s="10" t="s">
        <v>35</v>
      </c>
      <c r="AB7" s="10" t="s">
        <v>1921</v>
      </c>
      <c r="AC7" s="10">
        <v>0</v>
      </c>
      <c r="AD7" s="10">
        <v>1</v>
      </c>
      <c r="AE7" s="10" t="s">
        <v>1928</v>
      </c>
      <c r="AF7" s="10" t="s">
        <v>43</v>
      </c>
      <c r="AG7" s="10" t="s">
        <v>38</v>
      </c>
      <c r="AH7" s="10" t="s">
        <v>92</v>
      </c>
    </row>
    <row r="8" spans="1:34" ht="15" thickBot="1" x14ac:dyDescent="0.35">
      <c r="A8" s="75" t="s">
        <v>1921</v>
      </c>
      <c r="B8" s="19" t="s">
        <v>1929</v>
      </c>
      <c r="C8" s="19" t="s">
        <v>1930</v>
      </c>
      <c r="D8" s="20">
        <v>45722</v>
      </c>
      <c r="E8" s="21">
        <v>260000</v>
      </c>
      <c r="F8" s="19" t="s">
        <v>32</v>
      </c>
      <c r="G8" s="19" t="s">
        <v>33</v>
      </c>
      <c r="H8" s="21">
        <v>260000</v>
      </c>
      <c r="I8" s="21">
        <v>106600</v>
      </c>
      <c r="J8" s="22">
        <f t="shared" si="0"/>
        <v>41</v>
      </c>
      <c r="K8" s="21">
        <v>240284</v>
      </c>
      <c r="L8" s="21">
        <f>H8-227163</f>
        <v>32837</v>
      </c>
      <c r="M8" s="21">
        <v>13121</v>
      </c>
      <c r="N8" s="67">
        <f t="shared" si="1"/>
        <v>5.0465384615384613E-2</v>
      </c>
      <c r="O8" s="23">
        <v>68.34</v>
      </c>
      <c r="P8" s="24">
        <v>234.09</v>
      </c>
      <c r="Q8" s="25">
        <v>0.36</v>
      </c>
      <c r="R8" s="25">
        <v>0.36</v>
      </c>
      <c r="S8" s="21">
        <f t="shared" si="2"/>
        <v>480.49458589405907</v>
      </c>
      <c r="T8" s="21">
        <f t="shared" si="3"/>
        <v>91213.888888888891</v>
      </c>
      <c r="U8" s="26">
        <f t="shared" si="4"/>
        <v>2.0939827568615446</v>
      </c>
      <c r="V8" s="25">
        <v>67</v>
      </c>
      <c r="W8" s="25">
        <f t="shared" si="5"/>
        <v>52000</v>
      </c>
      <c r="X8" s="25">
        <f t="shared" si="6"/>
        <v>776.11940298507466</v>
      </c>
      <c r="Y8" s="27" t="s">
        <v>1915</v>
      </c>
      <c r="Z8" s="19" t="s">
        <v>35</v>
      </c>
      <c r="AA8" s="19" t="s">
        <v>35</v>
      </c>
      <c r="AB8" s="19" t="s">
        <v>1921</v>
      </c>
      <c r="AC8" s="19">
        <v>0</v>
      </c>
      <c r="AD8" s="19">
        <v>1</v>
      </c>
      <c r="AE8" s="19" t="s">
        <v>42</v>
      </c>
      <c r="AF8" s="19" t="s">
        <v>35</v>
      </c>
      <c r="AG8" s="19" t="s">
        <v>38</v>
      </c>
      <c r="AH8" s="19" t="s">
        <v>92</v>
      </c>
    </row>
    <row r="9" spans="1:34" ht="15" thickTop="1" x14ac:dyDescent="0.3">
      <c r="A9" s="76"/>
      <c r="B9" s="37"/>
      <c r="C9" s="37"/>
      <c r="D9" s="38" t="s">
        <v>2876</v>
      </c>
      <c r="E9" s="39">
        <f>+SUM(E2:E8)</f>
        <v>1423900</v>
      </c>
      <c r="F9" s="37"/>
      <c r="G9" s="37"/>
      <c r="H9" s="39">
        <f>+SUM(H2:H8)</f>
        <v>1423900</v>
      </c>
      <c r="I9" s="39">
        <f>+SUM(I2:I8)</f>
        <v>583100</v>
      </c>
      <c r="J9" s="40"/>
      <c r="K9" s="39">
        <f>+SUM(K2:K8)</f>
        <v>1399844</v>
      </c>
      <c r="L9" s="39">
        <f>+SUM(L2:L8)</f>
        <v>124700</v>
      </c>
      <c r="M9" s="39">
        <f>+SUM(M2:M8)</f>
        <v>100644</v>
      </c>
      <c r="N9" s="81">
        <f>AVERAGE(N2:N8)</f>
        <v>7.4568139053221905E-2</v>
      </c>
      <c r="O9" s="41">
        <f>+SUM(O2:O8)</f>
        <v>524.16000000000008</v>
      </c>
      <c r="P9" s="42"/>
      <c r="Q9" s="43">
        <f>+SUM(Q2:Q8)</f>
        <v>2.8339999999999996</v>
      </c>
      <c r="R9" s="43">
        <f>+SUM(R2:R8)</f>
        <v>2.8339999999999996</v>
      </c>
      <c r="S9" s="39"/>
      <c r="T9" s="39"/>
      <c r="U9" s="44"/>
      <c r="V9" s="43"/>
      <c r="W9" s="82">
        <f>AVERAGE(W2:W8)</f>
        <v>40682.857142857145</v>
      </c>
      <c r="X9" s="83">
        <f>AVERAGE(X2:X8)</f>
        <v>576.91515695130533</v>
      </c>
      <c r="Y9" s="45"/>
      <c r="Z9" s="37"/>
      <c r="AA9" s="37"/>
      <c r="AB9" s="37"/>
      <c r="AC9" s="37"/>
      <c r="AD9" s="37"/>
      <c r="AE9" s="37"/>
      <c r="AF9" s="37"/>
      <c r="AG9" s="37"/>
      <c r="AH9" s="37"/>
    </row>
    <row r="10" spans="1:34" x14ac:dyDescent="0.3">
      <c r="A10" s="77"/>
      <c r="B10" s="28"/>
      <c r="C10" s="28"/>
      <c r="D10" s="29"/>
      <c r="E10" s="30"/>
      <c r="F10" s="28"/>
      <c r="G10" s="28"/>
      <c r="H10" s="30"/>
      <c r="I10" s="30" t="s">
        <v>2877</v>
      </c>
      <c r="J10" s="31">
        <f>I9/H9*100</f>
        <v>40.950909473979912</v>
      </c>
      <c r="K10" s="30"/>
      <c r="L10" s="30"/>
      <c r="M10" s="30" t="s">
        <v>2879</v>
      </c>
      <c r="N10" s="79"/>
      <c r="O10" s="32"/>
      <c r="P10" s="33"/>
      <c r="Q10" s="34" t="s">
        <v>2879</v>
      </c>
      <c r="R10" s="34"/>
      <c r="S10" s="30"/>
      <c r="T10" s="30" t="s">
        <v>2879</v>
      </c>
      <c r="U10" s="35"/>
      <c r="V10" s="34"/>
      <c r="W10" s="63"/>
      <c r="X10" s="68"/>
      <c r="Y10" s="36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3">
      <c r="A11" s="78"/>
      <c r="B11" s="46"/>
      <c r="C11" s="46"/>
      <c r="D11" s="47"/>
      <c r="E11" s="48"/>
      <c r="F11" s="46"/>
      <c r="G11" s="46"/>
      <c r="H11" s="48"/>
      <c r="I11" s="48" t="s">
        <v>2878</v>
      </c>
      <c r="J11" s="49">
        <f>STDEV(J2:J8)</f>
        <v>1.7444529490471463</v>
      </c>
      <c r="K11" s="48"/>
      <c r="L11" s="48"/>
      <c r="M11" s="48" t="s">
        <v>2880</v>
      </c>
      <c r="N11" s="80"/>
      <c r="O11" s="54">
        <f>L9/O9</f>
        <v>237.90445665445662</v>
      </c>
      <c r="P11" s="50"/>
      <c r="Q11" s="51" t="s">
        <v>2881</v>
      </c>
      <c r="R11" s="51">
        <f>L9/Q9</f>
        <v>44001.411432604102</v>
      </c>
      <c r="S11" s="48"/>
      <c r="T11" s="48" t="s">
        <v>2882</v>
      </c>
      <c r="U11" s="52">
        <f>L9/Q9/43560</f>
        <v>1.0101334121350805</v>
      </c>
      <c r="V11" s="51"/>
      <c r="W11" s="64"/>
      <c r="X11" s="69"/>
      <c r="Y11" s="53"/>
      <c r="Z11" s="46"/>
      <c r="AA11" s="46"/>
      <c r="AB11" s="46"/>
      <c r="AC11" s="46"/>
      <c r="AD11" s="46"/>
      <c r="AE11" s="46"/>
      <c r="AF11" s="46"/>
      <c r="AG11" s="46"/>
      <c r="AH11" s="46"/>
    </row>
    <row r="12" spans="1:34" x14ac:dyDescent="0.3">
      <c r="E12" s="94" t="s">
        <v>3099</v>
      </c>
      <c r="L12" s="95"/>
    </row>
    <row r="13" spans="1:34" x14ac:dyDescent="0.3">
      <c r="E13" s="383" t="s">
        <v>3163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3164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3165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3166</v>
      </c>
      <c r="F16" s="383"/>
      <c r="G16" s="383"/>
      <c r="H16" s="383"/>
      <c r="I16" s="383"/>
      <c r="J16" s="96"/>
      <c r="K16" s="96"/>
      <c r="L16" s="96"/>
    </row>
    <row r="17" spans="1:34" x14ac:dyDescent="0.3">
      <c r="E17" s="383" t="s">
        <v>3167</v>
      </c>
      <c r="F17" s="383"/>
      <c r="G17" s="383"/>
      <c r="H17" s="383"/>
      <c r="I17" s="383"/>
      <c r="L17" s="95"/>
    </row>
    <row r="18" spans="1:34" x14ac:dyDescent="0.3">
      <c r="E18" s="383" t="s">
        <v>3100</v>
      </c>
      <c r="F18" s="383"/>
      <c r="G18" s="383"/>
      <c r="H18" s="383"/>
      <c r="I18" s="383"/>
      <c r="L18" s="95"/>
    </row>
    <row r="19" spans="1:34" x14ac:dyDescent="0.3">
      <c r="E19" s="96"/>
      <c r="F19" s="96"/>
      <c r="G19" s="96"/>
      <c r="H19" s="96"/>
      <c r="I19" s="96"/>
      <c r="L19" s="95"/>
    </row>
    <row r="20" spans="1:34" x14ac:dyDescent="0.3">
      <c r="A20" s="55" t="s">
        <v>3092</v>
      </c>
      <c r="E20" s="96"/>
      <c r="F20" s="96"/>
      <c r="G20" s="96"/>
      <c r="H20" s="96"/>
      <c r="I20" s="96"/>
      <c r="L20" s="95"/>
    </row>
    <row r="21" spans="1:34" x14ac:dyDescent="0.3">
      <c r="A21" s="74" t="s">
        <v>1916</v>
      </c>
      <c r="B21" s="10" t="s">
        <v>1917</v>
      </c>
      <c r="C21" s="10" t="s">
        <v>1918</v>
      </c>
      <c r="D21" s="11">
        <v>45679</v>
      </c>
      <c r="E21" s="12">
        <v>255000</v>
      </c>
      <c r="F21" s="10" t="s">
        <v>32</v>
      </c>
      <c r="G21" s="10" t="s">
        <v>33</v>
      </c>
      <c r="H21" s="12">
        <v>255000</v>
      </c>
      <c r="I21" s="12">
        <v>138100</v>
      </c>
      <c r="J21" s="13">
        <f>I21/H21*100</f>
        <v>54.156862745098046</v>
      </c>
      <c r="K21" s="12">
        <v>313327</v>
      </c>
      <c r="L21" s="12">
        <f>H21-300548</f>
        <v>-45548</v>
      </c>
      <c r="M21" s="12">
        <v>12779</v>
      </c>
      <c r="N21" s="66">
        <f>M21/E21</f>
        <v>5.0113725490196076E-2</v>
      </c>
      <c r="O21" s="14">
        <v>66.55</v>
      </c>
      <c r="P21" s="15">
        <v>300</v>
      </c>
      <c r="Q21" s="16">
        <v>0.45500000000000002</v>
      </c>
      <c r="R21" s="16">
        <v>0.45500000000000002</v>
      </c>
      <c r="S21" s="12">
        <f>L21/O21</f>
        <v>-684.41773102930131</v>
      </c>
      <c r="T21" s="12">
        <f>L21/Q21</f>
        <v>-100105.4945054945</v>
      </c>
      <c r="U21" s="17">
        <f>L21/Q21/43560</f>
        <v>-2.2981059344695707</v>
      </c>
      <c r="V21" s="16">
        <v>66</v>
      </c>
      <c r="W21" s="16">
        <f>0.2*E21</f>
        <v>51000</v>
      </c>
      <c r="X21" s="16">
        <f>W21/V21</f>
        <v>772.72727272727275</v>
      </c>
      <c r="Y21" s="18" t="s">
        <v>1915</v>
      </c>
      <c r="Z21" s="10" t="s">
        <v>35</v>
      </c>
      <c r="AA21" s="10" t="s">
        <v>35</v>
      </c>
      <c r="AB21" s="10" t="s">
        <v>1916</v>
      </c>
      <c r="AC21" s="10">
        <v>0</v>
      </c>
      <c r="AD21" s="10">
        <v>1</v>
      </c>
      <c r="AE21" s="10" t="s">
        <v>42</v>
      </c>
      <c r="AF21" s="10" t="s">
        <v>35</v>
      </c>
      <c r="AG21" s="10" t="s">
        <v>38</v>
      </c>
      <c r="AH21" s="10" t="s">
        <v>92</v>
      </c>
    </row>
    <row r="22" spans="1:34" x14ac:dyDescent="0.3">
      <c r="A22" s="75" t="s">
        <v>1921</v>
      </c>
      <c r="B22" s="19" t="s">
        <v>1922</v>
      </c>
      <c r="C22" s="19" t="s">
        <v>1923</v>
      </c>
      <c r="D22" s="20">
        <v>45391</v>
      </c>
      <c r="E22" s="21">
        <v>335000</v>
      </c>
      <c r="F22" s="19" t="s">
        <v>32</v>
      </c>
      <c r="G22" s="19" t="s">
        <v>33</v>
      </c>
      <c r="H22" s="21">
        <v>335000</v>
      </c>
      <c r="I22" s="21">
        <v>163800</v>
      </c>
      <c r="J22" s="22">
        <f>I22/H22*100</f>
        <v>48.895522388059703</v>
      </c>
      <c r="K22" s="21">
        <v>374447</v>
      </c>
      <c r="L22" s="21">
        <f>H22-361328</f>
        <v>-26328</v>
      </c>
      <c r="M22" s="21">
        <v>13119</v>
      </c>
      <c r="N22" s="67">
        <f>M22/E22</f>
        <v>3.9161194029850743E-2</v>
      </c>
      <c r="O22" s="23">
        <v>68.319999999999993</v>
      </c>
      <c r="P22" s="24">
        <v>179.14</v>
      </c>
      <c r="Q22" s="25">
        <v>0.31</v>
      </c>
      <c r="R22" s="25">
        <v>0.31</v>
      </c>
      <c r="S22" s="21">
        <f>L22/O22</f>
        <v>-385.36299765807968</v>
      </c>
      <c r="T22" s="21">
        <f>L22/Q22</f>
        <v>-84929.032258064515</v>
      </c>
      <c r="U22" s="26">
        <f>L22/Q22/43560</f>
        <v>-1.94970230160846</v>
      </c>
      <c r="V22" s="25">
        <v>78.84</v>
      </c>
      <c r="W22" s="25">
        <f>0.2*E22</f>
        <v>67000</v>
      </c>
      <c r="X22" s="25">
        <f>W22/V22</f>
        <v>849.82242516489089</v>
      </c>
      <c r="Y22" s="27" t="s">
        <v>1915</v>
      </c>
      <c r="Z22" s="19" t="s">
        <v>35</v>
      </c>
      <c r="AA22" s="19" t="s">
        <v>35</v>
      </c>
      <c r="AB22" s="19" t="s">
        <v>1921</v>
      </c>
      <c r="AC22" s="19">
        <v>0</v>
      </c>
      <c r="AD22" s="19">
        <v>1</v>
      </c>
      <c r="AE22" s="19" t="s">
        <v>1825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4" t="s">
        <v>2017</v>
      </c>
      <c r="B23" s="10" t="s">
        <v>2018</v>
      </c>
      <c r="C23" s="10" t="s">
        <v>2019</v>
      </c>
      <c r="D23" s="11">
        <v>45336</v>
      </c>
      <c r="E23" s="12">
        <v>140000</v>
      </c>
      <c r="F23" s="10" t="s">
        <v>32</v>
      </c>
      <c r="G23" s="10" t="s">
        <v>33</v>
      </c>
      <c r="H23" s="12">
        <v>140000</v>
      </c>
      <c r="I23" s="12">
        <v>65100</v>
      </c>
      <c r="J23" s="13">
        <f>I23/H23*100</f>
        <v>46.5</v>
      </c>
      <c r="K23" s="12">
        <v>182602</v>
      </c>
      <c r="L23" s="12">
        <f>H23-171379</f>
        <v>-31379</v>
      </c>
      <c r="M23" s="12">
        <v>11223</v>
      </c>
      <c r="N23" s="66">
        <f>M23/E23</f>
        <v>8.0164285714285716E-2</v>
      </c>
      <c r="O23" s="14">
        <v>85.01</v>
      </c>
      <c r="P23" s="15">
        <v>116.34</v>
      </c>
      <c r="Q23" s="16">
        <v>0.21</v>
      </c>
      <c r="R23" s="16">
        <v>0.21</v>
      </c>
      <c r="S23" s="12">
        <f>L23/O23</f>
        <v>-369.12127984942947</v>
      </c>
      <c r="T23" s="12">
        <f>L23/Q23</f>
        <v>-149423.80952380953</v>
      </c>
      <c r="U23" s="17">
        <f>L23/Q23/43560</f>
        <v>-3.430298657571385</v>
      </c>
      <c r="V23" s="16">
        <v>79.53</v>
      </c>
      <c r="W23" s="16">
        <f>0.2*E23</f>
        <v>28000</v>
      </c>
      <c r="X23" s="16">
        <f>W23/V23</f>
        <v>352.06840186093297</v>
      </c>
      <c r="Y23" s="18" t="s">
        <v>2016</v>
      </c>
      <c r="Z23" s="10" t="s">
        <v>35</v>
      </c>
      <c r="AA23" s="10" t="s">
        <v>35</v>
      </c>
      <c r="AB23" s="10" t="s">
        <v>2017</v>
      </c>
      <c r="AC23" s="10">
        <v>0</v>
      </c>
      <c r="AD23" s="10">
        <v>1</v>
      </c>
      <c r="AE23" s="10" t="s">
        <v>205</v>
      </c>
      <c r="AF23" s="10" t="s">
        <v>43</v>
      </c>
      <c r="AG23" s="10" t="s">
        <v>38</v>
      </c>
      <c r="AH23" s="10" t="s">
        <v>1830</v>
      </c>
    </row>
    <row r="24" spans="1:34" x14ac:dyDescent="0.3">
      <c r="A24" s="75" t="s">
        <v>2017</v>
      </c>
      <c r="B24" s="19" t="s">
        <v>2020</v>
      </c>
      <c r="C24" s="19" t="s">
        <v>2021</v>
      </c>
      <c r="D24" s="20">
        <v>45048</v>
      </c>
      <c r="E24" s="21">
        <v>163000</v>
      </c>
      <c r="F24" s="19" t="s">
        <v>32</v>
      </c>
      <c r="G24" s="19" t="s">
        <v>33</v>
      </c>
      <c r="H24" s="21">
        <v>163000</v>
      </c>
      <c r="I24" s="21">
        <v>75200</v>
      </c>
      <c r="J24" s="22">
        <f>I24/H24*100</f>
        <v>46.134969325153378</v>
      </c>
      <c r="K24" s="21">
        <v>200244</v>
      </c>
      <c r="L24" s="21">
        <f>H24-190106</f>
        <v>-27106</v>
      </c>
      <c r="M24" s="21">
        <v>10138</v>
      </c>
      <c r="N24" s="67">
        <f>M24/E24</f>
        <v>6.2196319018404909E-2</v>
      </c>
      <c r="O24" s="23">
        <v>76.8</v>
      </c>
      <c r="P24" s="24">
        <v>112.79</v>
      </c>
      <c r="Q24" s="25">
        <v>0.25</v>
      </c>
      <c r="R24" s="25">
        <v>0.221</v>
      </c>
      <c r="S24" s="21">
        <f>L24/O24</f>
        <v>-352.94270833333337</v>
      </c>
      <c r="T24" s="21">
        <f>L24/Q24</f>
        <v>-108424</v>
      </c>
      <c r="U24" s="26">
        <f>L24/Q24/43560</f>
        <v>-2.4890725436179983</v>
      </c>
      <c r="V24" s="25">
        <v>46.48</v>
      </c>
      <c r="W24" s="25">
        <f>0.2*E24</f>
        <v>32600</v>
      </c>
      <c r="X24" s="25">
        <f>W24/V24</f>
        <v>701.37693631669538</v>
      </c>
      <c r="Y24" s="27" t="s">
        <v>2016</v>
      </c>
      <c r="Z24" s="19" t="s">
        <v>35</v>
      </c>
      <c r="AA24" s="19" t="s">
        <v>35</v>
      </c>
      <c r="AB24" s="19" t="s">
        <v>2017</v>
      </c>
      <c r="AC24" s="19">
        <v>0</v>
      </c>
      <c r="AD24" s="19">
        <v>1</v>
      </c>
      <c r="AE24" s="19" t="s">
        <v>42</v>
      </c>
      <c r="AF24" s="19" t="s">
        <v>43</v>
      </c>
      <c r="AG24" s="19" t="s">
        <v>38</v>
      </c>
      <c r="AH24" s="19" t="s">
        <v>1830</v>
      </c>
    </row>
    <row r="25" spans="1:34" x14ac:dyDescent="0.3">
      <c r="A25" s="74" t="s">
        <v>2017</v>
      </c>
      <c r="B25" s="10" t="s">
        <v>2014</v>
      </c>
      <c r="C25" s="10" t="s">
        <v>2015</v>
      </c>
      <c r="D25" s="11">
        <v>45715</v>
      </c>
      <c r="E25" s="12">
        <v>120000</v>
      </c>
      <c r="F25" s="10" t="s">
        <v>32</v>
      </c>
      <c r="G25" s="10" t="s">
        <v>33</v>
      </c>
      <c r="H25" s="12">
        <v>120000</v>
      </c>
      <c r="I25" s="12">
        <v>65700</v>
      </c>
      <c r="J25" s="13">
        <f>I25/H25*100</f>
        <v>54.75</v>
      </c>
      <c r="K25" s="12">
        <v>150136</v>
      </c>
      <c r="L25" s="12">
        <f>H25-139922</f>
        <v>-19922</v>
      </c>
      <c r="M25" s="12">
        <v>10214</v>
      </c>
      <c r="N25" s="66">
        <f>M25/E25</f>
        <v>8.511666666666666E-2</v>
      </c>
      <c r="O25" s="14">
        <v>77.38</v>
      </c>
      <c r="P25" s="15">
        <v>131.07</v>
      </c>
      <c r="Q25" s="16">
        <v>0.20300000000000001</v>
      </c>
      <c r="R25" s="16">
        <v>0.20300000000000001</v>
      </c>
      <c r="S25" s="12">
        <f>L25/O25</f>
        <v>-257.45670715947273</v>
      </c>
      <c r="T25" s="12">
        <f>L25/Q25</f>
        <v>-98137.931034482754</v>
      </c>
      <c r="U25" s="17">
        <f>L25/Q25/43560</f>
        <v>-2.2529368924353248</v>
      </c>
      <c r="V25" s="16">
        <v>67.59</v>
      </c>
      <c r="W25" s="16">
        <f>0.2*E25</f>
        <v>24000</v>
      </c>
      <c r="X25" s="16">
        <f>W25/V25</f>
        <v>355.0821127385708</v>
      </c>
      <c r="Y25" s="18" t="s">
        <v>2016</v>
      </c>
      <c r="Z25" s="10" t="s">
        <v>35</v>
      </c>
      <c r="AA25" s="10" t="s">
        <v>35</v>
      </c>
      <c r="AB25" s="10" t="s">
        <v>2017</v>
      </c>
      <c r="AC25" s="10">
        <v>0</v>
      </c>
      <c r="AD25" s="10">
        <v>1</v>
      </c>
      <c r="AE25" s="10" t="s">
        <v>42</v>
      </c>
      <c r="AF25" s="10" t="s">
        <v>35</v>
      </c>
      <c r="AG25" s="10" t="s">
        <v>38</v>
      </c>
      <c r="AH25" s="10" t="s">
        <v>1830</v>
      </c>
    </row>
    <row r="28" spans="1:34" x14ac:dyDescent="0.3">
      <c r="A28" s="92" t="s">
        <v>3103</v>
      </c>
    </row>
  </sheetData>
  <sortState xmlns:xlrd2="http://schemas.microsoft.com/office/spreadsheetml/2017/richdata2" ref="A2:AH13">
    <sortCondition ref="S2:S13"/>
  </sortState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1">
    <tabColor rgb="FF00B050"/>
  </sheetPr>
  <dimension ref="A1:AH20"/>
  <sheetViews>
    <sheetView workbookViewId="0">
      <selection activeCell="D9" sqref="D9:N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6640625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2271</v>
      </c>
      <c r="B2" s="10" t="s">
        <v>2282</v>
      </c>
      <c r="C2" s="10" t="s">
        <v>2283</v>
      </c>
      <c r="D2" s="11">
        <v>45457</v>
      </c>
      <c r="E2" s="12">
        <v>155000</v>
      </c>
      <c r="F2" s="10" t="s">
        <v>32</v>
      </c>
      <c r="G2" s="10" t="s">
        <v>33</v>
      </c>
      <c r="H2" s="12">
        <v>155000</v>
      </c>
      <c r="I2" s="12">
        <v>59400</v>
      </c>
      <c r="J2" s="13">
        <f t="shared" ref="J2:J5" si="0">I2/H2*100</f>
        <v>38.322580645161288</v>
      </c>
      <c r="K2" s="12">
        <v>144373</v>
      </c>
      <c r="L2" s="12">
        <f>H2-124679</f>
        <v>30321</v>
      </c>
      <c r="M2" s="12">
        <v>19694</v>
      </c>
      <c r="N2" s="66">
        <f t="shared" ref="N2:N5" si="1">M2/E2</f>
        <v>0.12705806451612903</v>
      </c>
      <c r="O2" s="14">
        <v>92.89</v>
      </c>
      <c r="P2" s="15">
        <v>116.5</v>
      </c>
      <c r="Q2" s="16">
        <v>0.26700000000000002</v>
      </c>
      <c r="R2" s="16">
        <v>0.26700000000000002</v>
      </c>
      <c r="S2" s="12">
        <f t="shared" ref="S2:S5" si="2">L2/O2</f>
        <v>326.41834427817849</v>
      </c>
      <c r="T2" s="12">
        <f t="shared" ref="T2:T5" si="3">L2/Q2</f>
        <v>113561.79775280898</v>
      </c>
      <c r="U2" s="17">
        <f t="shared" ref="U2:U5" si="4">L2/Q2/43560</f>
        <v>2.6070201504317949</v>
      </c>
      <c r="V2" s="16">
        <v>100</v>
      </c>
      <c r="W2" s="16">
        <f t="shared" ref="W2:W5" si="5">0.2*E2</f>
        <v>31000</v>
      </c>
      <c r="X2" s="16">
        <f t="shared" ref="X2:X5" si="6">W2/V2</f>
        <v>310</v>
      </c>
      <c r="Y2" s="18" t="s">
        <v>2270</v>
      </c>
      <c r="Z2" s="10" t="s">
        <v>35</v>
      </c>
      <c r="AA2" s="10" t="s">
        <v>35</v>
      </c>
      <c r="AB2" s="10" t="s">
        <v>2271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2271</v>
      </c>
      <c r="B3" s="10" t="s">
        <v>2280</v>
      </c>
      <c r="C3" s="10" t="s">
        <v>2281</v>
      </c>
      <c r="D3" s="11">
        <v>45100</v>
      </c>
      <c r="E3" s="12">
        <v>230000</v>
      </c>
      <c r="F3" s="10" t="s">
        <v>32</v>
      </c>
      <c r="G3" s="10" t="s">
        <v>33</v>
      </c>
      <c r="H3" s="12">
        <v>230000</v>
      </c>
      <c r="I3" s="12">
        <v>85000</v>
      </c>
      <c r="J3" s="13">
        <f t="shared" si="0"/>
        <v>36.95652173913043</v>
      </c>
      <c r="K3" s="12">
        <v>219602</v>
      </c>
      <c r="L3" s="12">
        <f>H3-206422</f>
        <v>23578</v>
      </c>
      <c r="M3" s="12">
        <v>13180</v>
      </c>
      <c r="N3" s="66">
        <f t="shared" si="1"/>
        <v>5.7304347826086954E-2</v>
      </c>
      <c r="O3" s="14">
        <v>62.16</v>
      </c>
      <c r="P3" s="15">
        <v>123.5</v>
      </c>
      <c r="Q3" s="16">
        <v>0.184</v>
      </c>
      <c r="R3" s="16">
        <v>0.184</v>
      </c>
      <c r="S3" s="12">
        <f t="shared" si="2"/>
        <v>379.31145431145433</v>
      </c>
      <c r="T3" s="12">
        <f t="shared" si="3"/>
        <v>128141.3043478261</v>
      </c>
      <c r="U3" s="17">
        <f t="shared" si="4"/>
        <v>2.9417195672136387</v>
      </c>
      <c r="V3" s="16">
        <v>65</v>
      </c>
      <c r="W3" s="16">
        <f t="shared" si="5"/>
        <v>46000</v>
      </c>
      <c r="X3" s="16">
        <f t="shared" si="6"/>
        <v>707.69230769230774</v>
      </c>
      <c r="Y3" s="18" t="s">
        <v>2270</v>
      </c>
      <c r="Z3" s="10" t="s">
        <v>35</v>
      </c>
      <c r="AA3" s="10" t="s">
        <v>35</v>
      </c>
      <c r="AB3" s="10" t="s">
        <v>2271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2271</v>
      </c>
      <c r="B4" s="10" t="s">
        <v>2272</v>
      </c>
      <c r="C4" s="10" t="s">
        <v>2273</v>
      </c>
      <c r="D4" s="11">
        <v>45366</v>
      </c>
      <c r="E4" s="12">
        <v>239900</v>
      </c>
      <c r="F4" s="10" t="s">
        <v>32</v>
      </c>
      <c r="G4" s="10" t="s">
        <v>33</v>
      </c>
      <c r="H4" s="12">
        <v>239900</v>
      </c>
      <c r="I4" s="12">
        <v>79000</v>
      </c>
      <c r="J4" s="13">
        <f t="shared" si="0"/>
        <v>32.930387661525636</v>
      </c>
      <c r="K4" s="12">
        <v>205246</v>
      </c>
      <c r="L4" s="12">
        <f>H4-193253</f>
        <v>46647</v>
      </c>
      <c r="M4" s="12">
        <v>11993</v>
      </c>
      <c r="N4" s="66">
        <f t="shared" si="1"/>
        <v>4.9991663192997082E-2</v>
      </c>
      <c r="O4" s="14">
        <v>56.56</v>
      </c>
      <c r="P4" s="15">
        <v>120</v>
      </c>
      <c r="Q4" s="16">
        <v>0.16500000000000001</v>
      </c>
      <c r="R4" s="16">
        <v>0.16500000000000001</v>
      </c>
      <c r="S4" s="12">
        <f t="shared" si="2"/>
        <v>824.73479490806221</v>
      </c>
      <c r="T4" s="12">
        <f t="shared" si="3"/>
        <v>282709.09090909088</v>
      </c>
      <c r="U4" s="17">
        <f t="shared" si="4"/>
        <v>6.4901076884547955</v>
      </c>
      <c r="V4" s="16">
        <v>60</v>
      </c>
      <c r="W4" s="16">
        <f t="shared" si="5"/>
        <v>47980</v>
      </c>
      <c r="X4" s="16">
        <f t="shared" si="6"/>
        <v>799.66666666666663</v>
      </c>
      <c r="Y4" s="18" t="s">
        <v>2270</v>
      </c>
      <c r="Z4" s="10" t="s">
        <v>35</v>
      </c>
      <c r="AA4" s="10" t="s">
        <v>35</v>
      </c>
      <c r="AB4" s="10" t="s">
        <v>2271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ht="15" thickBot="1" x14ac:dyDescent="0.35">
      <c r="A5" s="75" t="s">
        <v>2271</v>
      </c>
      <c r="B5" s="19" t="s">
        <v>2268</v>
      </c>
      <c r="C5" s="19" t="s">
        <v>2269</v>
      </c>
      <c r="D5" s="20">
        <v>45496</v>
      </c>
      <c r="E5" s="21">
        <v>260000</v>
      </c>
      <c r="F5" s="19" t="s">
        <v>32</v>
      </c>
      <c r="G5" s="19" t="s">
        <v>33</v>
      </c>
      <c r="H5" s="21">
        <v>260000</v>
      </c>
      <c r="I5" s="21">
        <v>95300</v>
      </c>
      <c r="J5" s="22">
        <f t="shared" si="0"/>
        <v>36.653846153846153</v>
      </c>
      <c r="K5" s="21">
        <v>216814</v>
      </c>
      <c r="L5" s="21">
        <f>H5-203075</f>
        <v>56925</v>
      </c>
      <c r="M5" s="21">
        <v>13739</v>
      </c>
      <c r="N5" s="67">
        <f t="shared" si="1"/>
        <v>5.2842307692307695E-2</v>
      </c>
      <c r="O5" s="23">
        <v>64.8</v>
      </c>
      <c r="P5" s="24">
        <v>134.19</v>
      </c>
      <c r="Q5" s="25">
        <v>0.2</v>
      </c>
      <c r="R5" s="25">
        <v>0.2</v>
      </c>
      <c r="S5" s="21">
        <f t="shared" si="2"/>
        <v>878.47222222222229</v>
      </c>
      <c r="T5" s="21">
        <f t="shared" si="3"/>
        <v>284625</v>
      </c>
      <c r="U5" s="26">
        <f t="shared" si="4"/>
        <v>6.5340909090909092</v>
      </c>
      <c r="V5" s="25">
        <v>65</v>
      </c>
      <c r="W5" s="25">
        <f t="shared" si="5"/>
        <v>52000</v>
      </c>
      <c r="X5" s="25">
        <f t="shared" si="6"/>
        <v>800</v>
      </c>
      <c r="Y5" s="27" t="s">
        <v>2270</v>
      </c>
      <c r="Z5" s="19" t="s">
        <v>35</v>
      </c>
      <c r="AA5" s="19" t="s">
        <v>35</v>
      </c>
      <c r="AB5" s="19" t="s">
        <v>2271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884900</v>
      </c>
      <c r="F6" s="37"/>
      <c r="G6" s="37"/>
      <c r="H6" s="39">
        <f>+SUM(H2:H5)</f>
        <v>884900</v>
      </c>
      <c r="I6" s="39">
        <f>+SUM(I2:I5)</f>
        <v>318700</v>
      </c>
      <c r="J6" s="40"/>
      <c r="K6" s="39">
        <f>+SUM(K2:K5)</f>
        <v>786035</v>
      </c>
      <c r="L6" s="39">
        <f>+SUM(L2:L5)</f>
        <v>157471</v>
      </c>
      <c r="M6" s="39">
        <f>+SUM(M2:M5)</f>
        <v>58606</v>
      </c>
      <c r="N6" s="81">
        <f>AVERAGE(N2:N5)</f>
        <v>7.1799095806880195E-2</v>
      </c>
      <c r="O6" s="41">
        <f>+SUM(O2:O5)</f>
        <v>276.41000000000003</v>
      </c>
      <c r="P6" s="42"/>
      <c r="Q6" s="43">
        <f>+SUM(Q2:Q5)</f>
        <v>0.81600000000000006</v>
      </c>
      <c r="R6" s="43">
        <f>+SUM(R2:R5)</f>
        <v>0.81600000000000006</v>
      </c>
      <c r="S6" s="39"/>
      <c r="T6" s="39"/>
      <c r="U6" s="44"/>
      <c r="V6" s="43"/>
      <c r="W6" s="82">
        <f>AVERAGE(W2:W5)</f>
        <v>44245</v>
      </c>
      <c r="X6" s="83">
        <f>AVERAGE(X2:X5)</f>
        <v>654.33974358974365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36.015368968244999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2.3074525667719974</v>
      </c>
      <c r="K8" s="48"/>
      <c r="L8" s="48"/>
      <c r="M8" s="48" t="s">
        <v>2880</v>
      </c>
      <c r="N8" s="80"/>
      <c r="O8" s="54">
        <f>L6/O6</f>
        <v>569.70080677254793</v>
      </c>
      <c r="P8" s="50"/>
      <c r="Q8" s="51" t="s">
        <v>2881</v>
      </c>
      <c r="R8" s="51">
        <f>L6/Q6</f>
        <v>192979.16666666666</v>
      </c>
      <c r="S8" s="48"/>
      <c r="T8" s="48" t="s">
        <v>2882</v>
      </c>
      <c r="U8" s="52">
        <f>L6/Q6/43560</f>
        <v>4.430192072237527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5" t="s">
        <v>2271</v>
      </c>
      <c r="B18" s="19" t="s">
        <v>2278</v>
      </c>
      <c r="C18" s="19" t="s">
        <v>2279</v>
      </c>
      <c r="D18" s="20">
        <v>45358</v>
      </c>
      <c r="E18" s="21">
        <v>144000</v>
      </c>
      <c r="F18" s="19" t="s">
        <v>32</v>
      </c>
      <c r="G18" s="19" t="s">
        <v>33</v>
      </c>
      <c r="H18" s="21">
        <v>144000</v>
      </c>
      <c r="I18" s="21">
        <v>55900</v>
      </c>
      <c r="J18" s="22">
        <f t="shared" ref="J18:J20" si="7">I18/H18*100</f>
        <v>38.819444444444443</v>
      </c>
      <c r="K18" s="21">
        <v>149613</v>
      </c>
      <c r="L18" s="21">
        <f>H18-139044</f>
        <v>4956</v>
      </c>
      <c r="M18" s="21">
        <v>10569</v>
      </c>
      <c r="N18" s="67">
        <f t="shared" ref="N18:N20" si="8">M18/E18</f>
        <v>7.3395833333333327E-2</v>
      </c>
      <c r="O18" s="23">
        <v>49.85</v>
      </c>
      <c r="P18" s="24">
        <v>134.21</v>
      </c>
      <c r="Q18" s="25">
        <v>0.154</v>
      </c>
      <c r="R18" s="25">
        <v>0.154</v>
      </c>
      <c r="S18" s="21">
        <f t="shared" ref="S18:S20" si="9">L18/O18</f>
        <v>99.418254764292882</v>
      </c>
      <c r="T18" s="21">
        <f t="shared" ref="T18:T20" si="10">L18/Q18</f>
        <v>32181.818181818184</v>
      </c>
      <c r="U18" s="26">
        <f t="shared" ref="U18:U20" si="11">L18/Q18/43560</f>
        <v>0.73879288755321815</v>
      </c>
      <c r="V18" s="25">
        <v>50</v>
      </c>
      <c r="W18" s="25">
        <f t="shared" ref="W18:W20" si="12">0.2*E18</f>
        <v>28800</v>
      </c>
      <c r="X18" s="25">
        <f t="shared" ref="X18:X20" si="13">W18/V18</f>
        <v>576</v>
      </c>
      <c r="Y18" s="27" t="s">
        <v>2270</v>
      </c>
      <c r="Z18" s="19" t="s">
        <v>35</v>
      </c>
      <c r="AA18" s="19" t="s">
        <v>35</v>
      </c>
      <c r="AB18" s="19" t="s">
        <v>2271</v>
      </c>
      <c r="AC18" s="19">
        <v>0</v>
      </c>
      <c r="AD18" s="19">
        <v>1</v>
      </c>
      <c r="AE18" s="19" t="s">
        <v>37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2271</v>
      </c>
      <c r="B19" s="10" t="s">
        <v>2274</v>
      </c>
      <c r="C19" s="10" t="s">
        <v>2275</v>
      </c>
      <c r="D19" s="11">
        <v>45429</v>
      </c>
      <c r="E19" s="12">
        <v>185000</v>
      </c>
      <c r="F19" s="10" t="s">
        <v>32</v>
      </c>
      <c r="G19" s="10" t="s">
        <v>33</v>
      </c>
      <c r="H19" s="12">
        <v>185000</v>
      </c>
      <c r="I19" s="12">
        <v>83000</v>
      </c>
      <c r="J19" s="13">
        <f t="shared" si="7"/>
        <v>44.86486486486487</v>
      </c>
      <c r="K19" s="12">
        <v>189062</v>
      </c>
      <c r="L19" s="12">
        <f>H19-177069</f>
        <v>7931</v>
      </c>
      <c r="M19" s="12">
        <v>11993</v>
      </c>
      <c r="N19" s="66">
        <f t="shared" si="8"/>
        <v>6.4827027027027029E-2</v>
      </c>
      <c r="O19" s="14">
        <v>56.56</v>
      </c>
      <c r="P19" s="15">
        <v>120</v>
      </c>
      <c r="Q19" s="16">
        <v>0.16500000000000001</v>
      </c>
      <c r="R19" s="16">
        <v>0.16500000000000001</v>
      </c>
      <c r="S19" s="12">
        <f t="shared" si="9"/>
        <v>140.2227722772277</v>
      </c>
      <c r="T19" s="12">
        <f t="shared" si="10"/>
        <v>48066.666666666664</v>
      </c>
      <c r="U19" s="17">
        <f t="shared" si="11"/>
        <v>1.103458830731558</v>
      </c>
      <c r="V19" s="16">
        <v>60</v>
      </c>
      <c r="W19" s="16">
        <f t="shared" si="12"/>
        <v>37000</v>
      </c>
      <c r="X19" s="16">
        <f t="shared" si="13"/>
        <v>616.66666666666663</v>
      </c>
      <c r="Y19" s="18" t="s">
        <v>2270</v>
      </c>
      <c r="Z19" s="10" t="s">
        <v>35</v>
      </c>
      <c r="AA19" s="10" t="s">
        <v>35</v>
      </c>
      <c r="AB19" s="10" t="s">
        <v>2271</v>
      </c>
      <c r="AC19" s="10">
        <v>0</v>
      </c>
      <c r="AD19" s="10">
        <v>1</v>
      </c>
      <c r="AE19" s="10" t="s">
        <v>42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5" t="s">
        <v>2271</v>
      </c>
      <c r="B20" s="19" t="s">
        <v>2276</v>
      </c>
      <c r="C20" s="19" t="s">
        <v>2277</v>
      </c>
      <c r="D20" s="20">
        <v>45071</v>
      </c>
      <c r="E20" s="21">
        <v>168000</v>
      </c>
      <c r="F20" s="19" t="s">
        <v>32</v>
      </c>
      <c r="G20" s="19" t="s">
        <v>33</v>
      </c>
      <c r="H20" s="21">
        <v>168000</v>
      </c>
      <c r="I20" s="21">
        <v>60000</v>
      </c>
      <c r="J20" s="22">
        <f t="shared" si="7"/>
        <v>35.714285714285715</v>
      </c>
      <c r="K20" s="21">
        <v>167197</v>
      </c>
      <c r="L20" s="21">
        <f>H20-154494</f>
        <v>13506</v>
      </c>
      <c r="M20" s="21">
        <v>12703</v>
      </c>
      <c r="N20" s="67">
        <f t="shared" si="8"/>
        <v>7.5613095238095243E-2</v>
      </c>
      <c r="O20" s="23">
        <v>59.91</v>
      </c>
      <c r="P20" s="24">
        <v>134.63999999999999</v>
      </c>
      <c r="Q20" s="25">
        <v>0.185</v>
      </c>
      <c r="R20" s="25">
        <v>0.185</v>
      </c>
      <c r="S20" s="21">
        <f t="shared" si="9"/>
        <v>225.43815723585379</v>
      </c>
      <c r="T20" s="21">
        <f t="shared" si="10"/>
        <v>73005.4054054054</v>
      </c>
      <c r="U20" s="26">
        <f t="shared" si="11"/>
        <v>1.6759734941553122</v>
      </c>
      <c r="V20" s="25">
        <v>60</v>
      </c>
      <c r="W20" s="25">
        <f t="shared" si="12"/>
        <v>33600</v>
      </c>
      <c r="X20" s="25">
        <f t="shared" si="13"/>
        <v>560</v>
      </c>
      <c r="Y20" s="27" t="s">
        <v>2270</v>
      </c>
      <c r="Z20" s="19" t="s">
        <v>35</v>
      </c>
      <c r="AA20" s="19" t="s">
        <v>35</v>
      </c>
      <c r="AB20" s="19" t="s">
        <v>2271</v>
      </c>
      <c r="AC20" s="19">
        <v>0</v>
      </c>
      <c r="AD20" s="19">
        <v>1</v>
      </c>
      <c r="AE20" s="19" t="s">
        <v>42</v>
      </c>
      <c r="AF20" s="19" t="s">
        <v>43</v>
      </c>
      <c r="AG20" s="19" t="s">
        <v>38</v>
      </c>
      <c r="AH20" s="19" t="s">
        <v>92</v>
      </c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2">
    <tabColor rgb="FF00B050"/>
  </sheetPr>
  <dimension ref="A1:AH16"/>
  <sheetViews>
    <sheetView workbookViewId="0">
      <selection activeCell="C8" sqref="C8:N20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2263</v>
      </c>
      <c r="B2" s="19" t="s">
        <v>2266</v>
      </c>
      <c r="C2" s="19" t="s">
        <v>2267</v>
      </c>
      <c r="D2" s="20">
        <v>45667</v>
      </c>
      <c r="E2" s="21">
        <v>116000</v>
      </c>
      <c r="F2" s="19" t="s">
        <v>32</v>
      </c>
      <c r="G2" s="19" t="s">
        <v>33</v>
      </c>
      <c r="H2" s="21">
        <v>116000</v>
      </c>
      <c r="I2" s="21">
        <v>67100</v>
      </c>
      <c r="J2" s="22">
        <f>I2/H2*100</f>
        <v>57.84482758620689</v>
      </c>
      <c r="K2" s="21">
        <v>151786</v>
      </c>
      <c r="L2" s="21">
        <f>H2-140479</f>
        <v>-24479</v>
      </c>
      <c r="M2" s="21">
        <v>11307</v>
      </c>
      <c r="N2" s="67">
        <f>M2/E2</f>
        <v>9.7474137931034488E-2</v>
      </c>
      <c r="O2" s="23">
        <v>62.81</v>
      </c>
      <c r="P2" s="24">
        <v>150.58000000000001</v>
      </c>
      <c r="Q2" s="25">
        <v>0.30199999999999999</v>
      </c>
      <c r="R2" s="25">
        <v>0.30199999999999999</v>
      </c>
      <c r="S2" s="21">
        <f>L2/O2</f>
        <v>-389.73093456455979</v>
      </c>
      <c r="T2" s="21">
        <f>L2/Q2</f>
        <v>-81056.291390728482</v>
      </c>
      <c r="U2" s="26">
        <f>L2/Q2/43560</f>
        <v>-1.860796404745833</v>
      </c>
      <c r="V2" s="25">
        <v>75</v>
      </c>
      <c r="W2" s="25">
        <f>0.2*E2</f>
        <v>23200</v>
      </c>
      <c r="X2" s="25">
        <f>W2/V2</f>
        <v>309.33333333333331</v>
      </c>
      <c r="Y2" s="27" t="s">
        <v>2262</v>
      </c>
      <c r="Z2" s="19" t="s">
        <v>35</v>
      </c>
      <c r="AA2" s="19" t="s">
        <v>35</v>
      </c>
      <c r="AB2" s="19" t="s">
        <v>2263</v>
      </c>
      <c r="AC2" s="19">
        <v>0</v>
      </c>
      <c r="AD2" s="19">
        <v>1</v>
      </c>
      <c r="AE2" s="19" t="s">
        <v>42</v>
      </c>
      <c r="AF2" s="19" t="s">
        <v>35</v>
      </c>
      <c r="AG2" s="19" t="s">
        <v>38</v>
      </c>
      <c r="AH2" s="19" t="s">
        <v>92</v>
      </c>
    </row>
    <row r="3" spans="1:34" x14ac:dyDescent="0.3">
      <c r="A3" s="74" t="s">
        <v>2263</v>
      </c>
      <c r="B3" s="10" t="s">
        <v>2260</v>
      </c>
      <c r="C3" s="10" t="s">
        <v>2261</v>
      </c>
      <c r="D3" s="11">
        <v>45721</v>
      </c>
      <c r="E3" s="12">
        <v>139000</v>
      </c>
      <c r="F3" s="10" t="s">
        <v>32</v>
      </c>
      <c r="G3" s="10" t="s">
        <v>33</v>
      </c>
      <c r="H3" s="12">
        <v>139000</v>
      </c>
      <c r="I3" s="12">
        <v>88400</v>
      </c>
      <c r="J3" s="13">
        <f>I3/H3*100</f>
        <v>63.597122302158269</v>
      </c>
      <c r="K3" s="12">
        <v>191899</v>
      </c>
      <c r="L3" s="12">
        <f>H3-173730</f>
        <v>-34730</v>
      </c>
      <c r="M3" s="12">
        <v>18169</v>
      </c>
      <c r="N3" s="66">
        <f>M3/E3</f>
        <v>0.13071223021582734</v>
      </c>
      <c r="O3" s="14">
        <v>100.93</v>
      </c>
      <c r="P3" s="15">
        <v>270</v>
      </c>
      <c r="Q3" s="16">
        <v>0.62</v>
      </c>
      <c r="R3" s="16">
        <v>0.62</v>
      </c>
      <c r="S3" s="12">
        <f>L3/O3</f>
        <v>-344.0998711978599</v>
      </c>
      <c r="T3" s="12">
        <f>L3/Q3</f>
        <v>-56016.129032258068</v>
      </c>
      <c r="U3" s="17">
        <f>L3/Q3/43560</f>
        <v>-1.2859533753961907</v>
      </c>
      <c r="V3" s="16">
        <v>100</v>
      </c>
      <c r="W3" s="16">
        <f>0.2*E3</f>
        <v>27800</v>
      </c>
      <c r="X3" s="16">
        <f>W3/V3</f>
        <v>278</v>
      </c>
      <c r="Y3" s="18" t="s">
        <v>2262</v>
      </c>
      <c r="Z3" s="10" t="s">
        <v>35</v>
      </c>
      <c r="AA3" s="10" t="s">
        <v>35</v>
      </c>
      <c r="AB3" s="10" t="s">
        <v>2263</v>
      </c>
      <c r="AC3" s="10">
        <v>0</v>
      </c>
      <c r="AD3" s="10">
        <v>1</v>
      </c>
      <c r="AE3" s="10" t="s">
        <v>42</v>
      </c>
      <c r="AF3" s="10" t="s">
        <v>35</v>
      </c>
      <c r="AG3" s="10" t="s">
        <v>38</v>
      </c>
      <c r="AH3" s="10" t="s">
        <v>92</v>
      </c>
    </row>
    <row r="4" spans="1:34" ht="15" thickBot="1" x14ac:dyDescent="0.35">
      <c r="A4" s="74" t="s">
        <v>2263</v>
      </c>
      <c r="B4" s="10" t="s">
        <v>2264</v>
      </c>
      <c r="C4" s="10" t="s">
        <v>2265</v>
      </c>
      <c r="D4" s="11">
        <v>45653</v>
      </c>
      <c r="E4" s="12">
        <v>130000</v>
      </c>
      <c r="F4" s="10" t="s">
        <v>32</v>
      </c>
      <c r="G4" s="10" t="s">
        <v>33</v>
      </c>
      <c r="H4" s="12">
        <v>130000</v>
      </c>
      <c r="I4" s="12">
        <v>61100</v>
      </c>
      <c r="J4" s="13">
        <f>I4/H4*100</f>
        <v>47</v>
      </c>
      <c r="K4" s="12">
        <v>134611</v>
      </c>
      <c r="L4" s="12">
        <f>H4-123554</f>
        <v>6446</v>
      </c>
      <c r="M4" s="12">
        <v>11057</v>
      </c>
      <c r="N4" s="66">
        <f>M4/E4</f>
        <v>8.505384615384616E-2</v>
      </c>
      <c r="O4" s="14">
        <v>61.42</v>
      </c>
      <c r="P4" s="15">
        <v>100</v>
      </c>
      <c r="Q4" s="16">
        <v>0.23</v>
      </c>
      <c r="R4" s="16">
        <v>0.23</v>
      </c>
      <c r="S4" s="12">
        <f>L4/O4</f>
        <v>104.94952784109411</v>
      </c>
      <c r="T4" s="12">
        <f>L4/Q4</f>
        <v>28026.086956521736</v>
      </c>
      <c r="U4" s="17">
        <f>L4/Q4/43560</f>
        <v>0.64339042599912155</v>
      </c>
      <c r="V4" s="16">
        <v>100</v>
      </c>
      <c r="W4" s="16">
        <f>0.2*E4</f>
        <v>26000</v>
      </c>
      <c r="X4" s="16">
        <f>W4/V4</f>
        <v>260</v>
      </c>
      <c r="Y4" s="18" t="s">
        <v>2262</v>
      </c>
      <c r="Z4" s="10" t="s">
        <v>35</v>
      </c>
      <c r="AA4" s="10" t="s">
        <v>35</v>
      </c>
      <c r="AB4" s="10" t="s">
        <v>2263</v>
      </c>
      <c r="AC4" s="10">
        <v>0</v>
      </c>
      <c r="AD4" s="10">
        <v>1</v>
      </c>
      <c r="AE4" s="10" t="s">
        <v>42</v>
      </c>
      <c r="AF4" s="10" t="s">
        <v>35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385000</v>
      </c>
      <c r="F5" s="37"/>
      <c r="G5" s="37"/>
      <c r="H5" s="39">
        <f>+SUM(H2:H4)</f>
        <v>385000</v>
      </c>
      <c r="I5" s="39">
        <f>+SUM(I2:I4)</f>
        <v>216600</v>
      </c>
      <c r="J5" s="40"/>
      <c r="K5" s="39">
        <f>+SUM(K2:K4)</f>
        <v>478296</v>
      </c>
      <c r="L5" s="39">
        <f>+SUM(L2:L4)</f>
        <v>-52763</v>
      </c>
      <c r="M5" s="39">
        <f>+SUM(M2:M4)</f>
        <v>40533</v>
      </c>
      <c r="N5" s="81">
        <f>AVERAGE(N2:N4)</f>
        <v>0.10441340476690265</v>
      </c>
      <c r="O5" s="41">
        <f>+SUM(O2:O4)</f>
        <v>225.16000000000003</v>
      </c>
      <c r="P5" s="42"/>
      <c r="Q5" s="43">
        <f>+SUM(Q2:Q4)</f>
        <v>1.1519999999999999</v>
      </c>
      <c r="R5" s="43">
        <f>+SUM(R2:R4)</f>
        <v>1.1519999999999999</v>
      </c>
      <c r="S5" s="39"/>
      <c r="T5" s="39"/>
      <c r="U5" s="44"/>
      <c r="V5" s="43"/>
      <c r="W5" s="82">
        <f>AVERAGE(W2:W4)</f>
        <v>25666.666666666668</v>
      </c>
      <c r="X5" s="83">
        <f>AVERAGE(X2:X4)</f>
        <v>282.4444444444444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56.259740259740262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8.4277680772799215</v>
      </c>
      <c r="K7" s="48"/>
      <c r="L7" s="48"/>
      <c r="M7" s="48" t="s">
        <v>2880</v>
      </c>
      <c r="N7" s="80"/>
      <c r="O7" s="54">
        <f>L5/O5</f>
        <v>-234.33558358500619</v>
      </c>
      <c r="P7" s="50"/>
      <c r="Q7" s="51" t="s">
        <v>2881</v>
      </c>
      <c r="R7" s="51">
        <f>L5/Q5</f>
        <v>-45801.215277777781</v>
      </c>
      <c r="S7" s="48"/>
      <c r="T7" s="48" t="s">
        <v>2882</v>
      </c>
      <c r="U7" s="52">
        <f>L5/Q5/43560</f>
        <v>-1.0514512230894808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3">
    <tabColor rgb="FF00B050"/>
  </sheetPr>
  <dimension ref="A1:AH30"/>
  <sheetViews>
    <sheetView workbookViewId="0">
      <selection activeCell="D15" sqref="D15:L2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664062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2365</v>
      </c>
      <c r="B2" s="10" t="s">
        <v>2378</v>
      </c>
      <c r="C2" s="10" t="s">
        <v>2379</v>
      </c>
      <c r="D2" s="11">
        <v>45138</v>
      </c>
      <c r="E2" s="12">
        <v>130000</v>
      </c>
      <c r="F2" s="10" t="s">
        <v>32</v>
      </c>
      <c r="G2" s="10" t="s">
        <v>33</v>
      </c>
      <c r="H2" s="12">
        <v>130000</v>
      </c>
      <c r="I2" s="12">
        <v>27500</v>
      </c>
      <c r="J2" s="13">
        <f t="shared" ref="J2:J11" si="0">I2/H2*100</f>
        <v>21.153846153846153</v>
      </c>
      <c r="K2" s="12">
        <v>127128</v>
      </c>
      <c r="L2" s="12">
        <f>H2-110560</f>
        <v>19440</v>
      </c>
      <c r="M2" s="12">
        <v>16568</v>
      </c>
      <c r="N2" s="66">
        <f t="shared" ref="N2:N11" si="1">M2/E2</f>
        <v>0.12744615384615385</v>
      </c>
      <c r="O2" s="14">
        <v>110.45</v>
      </c>
      <c r="P2" s="15">
        <v>138.07</v>
      </c>
      <c r="Q2" s="16">
        <v>0.34200000000000003</v>
      </c>
      <c r="R2" s="16">
        <v>0.34200000000000003</v>
      </c>
      <c r="S2" s="12">
        <f t="shared" ref="S2:S11" si="2">L2/O2</f>
        <v>176.00724309642371</v>
      </c>
      <c r="T2" s="12">
        <f t="shared" ref="T2:T11" si="3">L2/Q2</f>
        <v>56842.105263157893</v>
      </c>
      <c r="U2" s="17">
        <f t="shared" ref="U2:U11" si="4">L2/Q2/43560</f>
        <v>1.3049151805132666</v>
      </c>
      <c r="V2" s="16">
        <v>108</v>
      </c>
      <c r="W2" s="16">
        <f t="shared" ref="W2:W11" si="5">0.2*E2</f>
        <v>26000</v>
      </c>
      <c r="X2" s="16">
        <f t="shared" ref="X2:X11" si="6">W2/V2</f>
        <v>240.74074074074073</v>
      </c>
      <c r="Y2" s="18" t="s">
        <v>2364</v>
      </c>
      <c r="Z2" s="10" t="s">
        <v>35</v>
      </c>
      <c r="AA2" s="10" t="s">
        <v>35</v>
      </c>
      <c r="AB2" s="10" t="s">
        <v>2365</v>
      </c>
      <c r="AC2" s="10">
        <v>0</v>
      </c>
      <c r="AD2" s="10">
        <v>1</v>
      </c>
      <c r="AE2" s="10" t="s">
        <v>2380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2365</v>
      </c>
      <c r="B3" s="10" t="s">
        <v>2386</v>
      </c>
      <c r="C3" s="10" t="s">
        <v>2387</v>
      </c>
      <c r="D3" s="11">
        <v>45134</v>
      </c>
      <c r="E3" s="12">
        <v>159750</v>
      </c>
      <c r="F3" s="10" t="s">
        <v>32</v>
      </c>
      <c r="G3" s="10" t="s">
        <v>33</v>
      </c>
      <c r="H3" s="12">
        <v>159750</v>
      </c>
      <c r="I3" s="12">
        <v>56800</v>
      </c>
      <c r="J3" s="13">
        <f t="shared" si="0"/>
        <v>35.555555555555557</v>
      </c>
      <c r="K3" s="12">
        <v>150105</v>
      </c>
      <c r="L3" s="12">
        <f>H3-141969</f>
        <v>17781</v>
      </c>
      <c r="M3" s="12">
        <v>8136</v>
      </c>
      <c r="N3" s="66">
        <f t="shared" si="1"/>
        <v>5.0929577464788732E-2</v>
      </c>
      <c r="O3" s="14">
        <v>54.23</v>
      </c>
      <c r="P3" s="15">
        <v>138.24</v>
      </c>
      <c r="Q3" s="16">
        <v>0.16800000000000001</v>
      </c>
      <c r="R3" s="16">
        <v>0.16800000000000001</v>
      </c>
      <c r="S3" s="12">
        <f t="shared" si="2"/>
        <v>327.88124654250419</v>
      </c>
      <c r="T3" s="12">
        <f t="shared" si="3"/>
        <v>105839.28571428571</v>
      </c>
      <c r="U3" s="17">
        <f t="shared" si="4"/>
        <v>2.4297356683720319</v>
      </c>
      <c r="V3" s="16">
        <v>53</v>
      </c>
      <c r="W3" s="16">
        <f t="shared" si="5"/>
        <v>31950</v>
      </c>
      <c r="X3" s="16">
        <f t="shared" si="6"/>
        <v>602.83018867924534</v>
      </c>
      <c r="Y3" s="18" t="s">
        <v>2364</v>
      </c>
      <c r="Z3" s="10" t="s">
        <v>35</v>
      </c>
      <c r="AA3" s="10" t="s">
        <v>35</v>
      </c>
      <c r="AB3" s="10" t="s">
        <v>2365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2365</v>
      </c>
      <c r="B4" s="10" t="s">
        <v>2362</v>
      </c>
      <c r="C4" s="10" t="s">
        <v>2363</v>
      </c>
      <c r="D4" s="11">
        <v>45433</v>
      </c>
      <c r="E4" s="12">
        <v>120600</v>
      </c>
      <c r="F4" s="10" t="s">
        <v>32</v>
      </c>
      <c r="G4" s="10" t="s">
        <v>33</v>
      </c>
      <c r="H4" s="12">
        <v>120600</v>
      </c>
      <c r="I4" s="12">
        <v>42300</v>
      </c>
      <c r="J4" s="13">
        <f t="shared" si="0"/>
        <v>35.074626865671647</v>
      </c>
      <c r="K4" s="12">
        <v>99291</v>
      </c>
      <c r="L4" s="12">
        <f>H4-91711</f>
        <v>28889</v>
      </c>
      <c r="M4" s="12">
        <v>7580</v>
      </c>
      <c r="N4" s="66">
        <f t="shared" si="1"/>
        <v>6.2852404643449419E-2</v>
      </c>
      <c r="O4" s="14">
        <v>50.53</v>
      </c>
      <c r="P4" s="15">
        <v>134.82</v>
      </c>
      <c r="Q4" s="16">
        <v>0.155</v>
      </c>
      <c r="R4" s="16">
        <v>0.155</v>
      </c>
      <c r="S4" s="12">
        <f t="shared" si="2"/>
        <v>571.71977043340587</v>
      </c>
      <c r="T4" s="12">
        <f t="shared" si="3"/>
        <v>186380.64516129033</v>
      </c>
      <c r="U4" s="17">
        <f t="shared" si="4"/>
        <v>4.278710862288575</v>
      </c>
      <c r="V4" s="16">
        <v>50</v>
      </c>
      <c r="W4" s="16">
        <f t="shared" si="5"/>
        <v>24120</v>
      </c>
      <c r="X4" s="16">
        <f t="shared" si="6"/>
        <v>482.4</v>
      </c>
      <c r="Y4" s="18" t="s">
        <v>2364</v>
      </c>
      <c r="Z4" s="10" t="s">
        <v>35</v>
      </c>
      <c r="AA4" s="10" t="s">
        <v>35</v>
      </c>
      <c r="AB4" s="10" t="s">
        <v>2365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2365</v>
      </c>
      <c r="B5" s="19" t="s">
        <v>2372</v>
      </c>
      <c r="C5" s="19" t="s">
        <v>2373</v>
      </c>
      <c r="D5" s="20">
        <v>45182</v>
      </c>
      <c r="E5" s="21">
        <v>189900</v>
      </c>
      <c r="F5" s="19" t="s">
        <v>32</v>
      </c>
      <c r="G5" s="19" t="s">
        <v>33</v>
      </c>
      <c r="H5" s="21">
        <v>189900</v>
      </c>
      <c r="I5" s="21">
        <v>53800</v>
      </c>
      <c r="J5" s="22">
        <f t="shared" si="0"/>
        <v>28.330700368615059</v>
      </c>
      <c r="K5" s="21">
        <v>140622</v>
      </c>
      <c r="L5" s="21">
        <f>H5-125413</f>
        <v>64487</v>
      </c>
      <c r="M5" s="21">
        <v>15209</v>
      </c>
      <c r="N5" s="67">
        <f t="shared" si="1"/>
        <v>8.0089520800421268E-2</v>
      </c>
      <c r="O5" s="23">
        <v>101.39</v>
      </c>
      <c r="P5" s="24">
        <v>135.69999999999999</v>
      </c>
      <c r="Q5" s="25">
        <v>0.312</v>
      </c>
      <c r="R5" s="25">
        <v>0.312</v>
      </c>
      <c r="S5" s="21">
        <f t="shared" si="2"/>
        <v>636.02919420061153</v>
      </c>
      <c r="T5" s="21">
        <f t="shared" si="3"/>
        <v>206689.10256410256</v>
      </c>
      <c r="U5" s="26">
        <f t="shared" si="4"/>
        <v>4.7449288926561657</v>
      </c>
      <c r="V5" s="25">
        <v>100</v>
      </c>
      <c r="W5" s="25">
        <f t="shared" si="5"/>
        <v>37980</v>
      </c>
      <c r="X5" s="25">
        <f t="shared" si="6"/>
        <v>379.8</v>
      </c>
      <c r="Y5" s="27" t="s">
        <v>2364</v>
      </c>
      <c r="Z5" s="19" t="s">
        <v>35</v>
      </c>
      <c r="AA5" s="19" t="s">
        <v>35</v>
      </c>
      <c r="AB5" s="19" t="s">
        <v>2365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2737</v>
      </c>
      <c r="B6" s="10" t="s">
        <v>2735</v>
      </c>
      <c r="C6" s="10" t="s">
        <v>2736</v>
      </c>
      <c r="D6" s="11">
        <v>45037</v>
      </c>
      <c r="E6" s="12">
        <v>225000</v>
      </c>
      <c r="F6" s="10" t="s">
        <v>32</v>
      </c>
      <c r="G6" s="10" t="s">
        <v>33</v>
      </c>
      <c r="H6" s="12">
        <v>225000</v>
      </c>
      <c r="I6" s="12">
        <v>69200</v>
      </c>
      <c r="J6" s="13">
        <f>I6/H6*100</f>
        <v>30.75555555555556</v>
      </c>
      <c r="K6" s="12">
        <v>183397</v>
      </c>
      <c r="L6" s="12">
        <f>H6-176197</f>
        <v>48803</v>
      </c>
      <c r="M6" s="12">
        <v>7200</v>
      </c>
      <c r="N6" s="66">
        <f>M6/E6</f>
        <v>3.2000000000000001E-2</v>
      </c>
      <c r="O6" s="14">
        <v>50</v>
      </c>
      <c r="P6" s="15">
        <v>135</v>
      </c>
      <c r="Q6" s="16">
        <v>0.155</v>
      </c>
      <c r="R6" s="16">
        <v>0.155</v>
      </c>
      <c r="S6" s="12">
        <f>L6/O6</f>
        <v>976.06</v>
      </c>
      <c r="T6" s="12">
        <f>L6/Q6</f>
        <v>314858.06451612903</v>
      </c>
      <c r="U6" s="17">
        <f>L6/Q6/43560</f>
        <v>7.2281465683225212</v>
      </c>
      <c r="V6" s="16">
        <v>50</v>
      </c>
      <c r="W6" s="16">
        <f>0.2*E6</f>
        <v>45000</v>
      </c>
      <c r="X6" s="16">
        <f>W6/V6</f>
        <v>900</v>
      </c>
      <c r="Y6" s="18" t="s">
        <v>2708</v>
      </c>
      <c r="Z6" s="10" t="s">
        <v>35</v>
      </c>
      <c r="AA6" s="10" t="s">
        <v>35</v>
      </c>
      <c r="AB6" s="10" t="s">
        <v>2737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2365</v>
      </c>
      <c r="B7" s="10" t="s">
        <v>2368</v>
      </c>
      <c r="C7" s="10" t="s">
        <v>2369</v>
      </c>
      <c r="D7" s="11">
        <v>45023</v>
      </c>
      <c r="E7" s="12">
        <v>115000</v>
      </c>
      <c r="F7" s="10" t="s">
        <v>32</v>
      </c>
      <c r="G7" s="10" t="s">
        <v>33</v>
      </c>
      <c r="H7" s="12">
        <v>115000</v>
      </c>
      <c r="I7" s="12">
        <v>34000</v>
      </c>
      <c r="J7" s="13">
        <f t="shared" si="0"/>
        <v>29.565217391304348</v>
      </c>
      <c r="K7" s="12">
        <v>89581</v>
      </c>
      <c r="L7" s="12">
        <f>H7-81996</f>
        <v>33004</v>
      </c>
      <c r="M7" s="12">
        <v>7585</v>
      </c>
      <c r="N7" s="66">
        <f t="shared" si="1"/>
        <v>6.5956521739130441E-2</v>
      </c>
      <c r="O7" s="14">
        <v>50.56</v>
      </c>
      <c r="P7" s="15">
        <v>135.01</v>
      </c>
      <c r="Q7" s="16">
        <v>0.155</v>
      </c>
      <c r="R7" s="16">
        <v>0.155</v>
      </c>
      <c r="S7" s="12">
        <f t="shared" si="2"/>
        <v>652.76898734177212</v>
      </c>
      <c r="T7" s="12">
        <f t="shared" si="3"/>
        <v>212929.03225806452</v>
      </c>
      <c r="U7" s="17">
        <f t="shared" si="4"/>
        <v>4.8881779673568531</v>
      </c>
      <c r="V7" s="16">
        <v>50</v>
      </c>
      <c r="W7" s="16">
        <f t="shared" si="5"/>
        <v>23000</v>
      </c>
      <c r="X7" s="16">
        <f t="shared" si="6"/>
        <v>460</v>
      </c>
      <c r="Y7" s="18" t="s">
        <v>2364</v>
      </c>
      <c r="Z7" s="10" t="s">
        <v>35</v>
      </c>
      <c r="AA7" s="10" t="s">
        <v>35</v>
      </c>
      <c r="AB7" s="10" t="s">
        <v>2365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2365</v>
      </c>
      <c r="B8" s="10" t="s">
        <v>2392</v>
      </c>
      <c r="C8" s="10" t="s">
        <v>2393</v>
      </c>
      <c r="D8" s="11">
        <v>45741</v>
      </c>
      <c r="E8" s="12">
        <v>245000</v>
      </c>
      <c r="F8" s="10" t="s">
        <v>32</v>
      </c>
      <c r="G8" s="10" t="s">
        <v>33</v>
      </c>
      <c r="H8" s="12">
        <v>245000</v>
      </c>
      <c r="I8" s="12">
        <v>76000</v>
      </c>
      <c r="J8" s="13">
        <f t="shared" si="0"/>
        <v>31.020408163265305</v>
      </c>
      <c r="K8" s="12">
        <v>176387</v>
      </c>
      <c r="L8" s="12">
        <f>H8-157010</f>
        <v>87990</v>
      </c>
      <c r="M8" s="12">
        <v>19377</v>
      </c>
      <c r="N8" s="66">
        <f t="shared" si="1"/>
        <v>7.9089795918367345E-2</v>
      </c>
      <c r="O8" s="14">
        <v>129.18</v>
      </c>
      <c r="P8" s="15">
        <v>163.69999999999999</v>
      </c>
      <c r="Q8" s="16">
        <v>0.436</v>
      </c>
      <c r="R8" s="16">
        <v>0.436</v>
      </c>
      <c r="S8" s="12">
        <f t="shared" si="2"/>
        <v>681.14259173246626</v>
      </c>
      <c r="T8" s="12">
        <f t="shared" si="3"/>
        <v>201811.92660550459</v>
      </c>
      <c r="U8" s="17">
        <f t="shared" si="4"/>
        <v>4.6329643389693436</v>
      </c>
      <c r="V8" s="16">
        <v>116</v>
      </c>
      <c r="W8" s="16">
        <f t="shared" si="5"/>
        <v>49000</v>
      </c>
      <c r="X8" s="16">
        <f t="shared" si="6"/>
        <v>422.41379310344826</v>
      </c>
      <c r="Y8" s="18" t="s">
        <v>2364</v>
      </c>
      <c r="Z8" s="10" t="s">
        <v>35</v>
      </c>
      <c r="AA8" s="10" t="s">
        <v>35</v>
      </c>
      <c r="AB8" s="10" t="s">
        <v>2365</v>
      </c>
      <c r="AC8" s="10">
        <v>0</v>
      </c>
      <c r="AD8" s="10">
        <v>1</v>
      </c>
      <c r="AE8" s="10" t="s">
        <v>42</v>
      </c>
      <c r="AF8" s="10" t="s">
        <v>35</v>
      </c>
      <c r="AG8" s="10" t="s">
        <v>38</v>
      </c>
      <c r="AH8" s="10" t="s">
        <v>92</v>
      </c>
    </row>
    <row r="9" spans="1:34" x14ac:dyDescent="0.3">
      <c r="A9" s="74" t="s">
        <v>2365</v>
      </c>
      <c r="B9" s="10" t="s">
        <v>2388</v>
      </c>
      <c r="C9" s="10" t="s">
        <v>2389</v>
      </c>
      <c r="D9" s="11">
        <v>45681</v>
      </c>
      <c r="E9" s="12">
        <v>170000</v>
      </c>
      <c r="F9" s="10" t="s">
        <v>32</v>
      </c>
      <c r="G9" s="10" t="s">
        <v>33</v>
      </c>
      <c r="H9" s="12">
        <v>170000</v>
      </c>
      <c r="I9" s="12">
        <v>62800</v>
      </c>
      <c r="J9" s="13">
        <f t="shared" si="0"/>
        <v>36.941176470588232</v>
      </c>
      <c r="K9" s="12">
        <v>142543</v>
      </c>
      <c r="L9" s="12">
        <f>H9-134965</f>
        <v>35035</v>
      </c>
      <c r="M9" s="12">
        <v>7578</v>
      </c>
      <c r="N9" s="66">
        <f t="shared" si="1"/>
        <v>4.4576470588235294E-2</v>
      </c>
      <c r="O9" s="14">
        <v>50.51</v>
      </c>
      <c r="P9" s="15">
        <v>134.75</v>
      </c>
      <c r="Q9" s="16">
        <v>0.155</v>
      </c>
      <c r="R9" s="16">
        <v>0.155</v>
      </c>
      <c r="S9" s="12">
        <f t="shared" si="2"/>
        <v>693.6250247475748</v>
      </c>
      <c r="T9" s="12">
        <f t="shared" si="3"/>
        <v>226032.25806451612</v>
      </c>
      <c r="U9" s="17">
        <f t="shared" si="4"/>
        <v>5.188986640599544</v>
      </c>
      <c r="V9" s="16">
        <v>50</v>
      </c>
      <c r="W9" s="16">
        <f t="shared" si="5"/>
        <v>34000</v>
      </c>
      <c r="X9" s="16">
        <f t="shared" si="6"/>
        <v>680</v>
      </c>
      <c r="Y9" s="18" t="s">
        <v>2364</v>
      </c>
      <c r="Z9" s="10" t="s">
        <v>35</v>
      </c>
      <c r="AA9" s="10" t="s">
        <v>35</v>
      </c>
      <c r="AB9" s="10" t="s">
        <v>2365</v>
      </c>
      <c r="AC9" s="10">
        <v>0</v>
      </c>
      <c r="AD9" s="10">
        <v>1</v>
      </c>
      <c r="AE9" s="10" t="s">
        <v>37</v>
      </c>
      <c r="AF9" s="10" t="s">
        <v>35</v>
      </c>
      <c r="AG9" s="10" t="s">
        <v>38</v>
      </c>
      <c r="AH9" s="10" t="s">
        <v>92</v>
      </c>
    </row>
    <row r="10" spans="1:34" x14ac:dyDescent="0.3">
      <c r="A10" s="75" t="s">
        <v>2365</v>
      </c>
      <c r="B10" s="19" t="s">
        <v>2362</v>
      </c>
      <c r="C10" s="19" t="s">
        <v>2363</v>
      </c>
      <c r="D10" s="20">
        <v>45555</v>
      </c>
      <c r="E10" s="21">
        <v>132000</v>
      </c>
      <c r="F10" s="19" t="s">
        <v>32</v>
      </c>
      <c r="G10" s="19" t="s">
        <v>33</v>
      </c>
      <c r="H10" s="21">
        <v>132000</v>
      </c>
      <c r="I10" s="21">
        <v>42300</v>
      </c>
      <c r="J10" s="22">
        <f t="shared" si="0"/>
        <v>32.045454545454547</v>
      </c>
      <c r="K10" s="21">
        <v>99291</v>
      </c>
      <c r="L10" s="21">
        <f>H10-91711</f>
        <v>40289</v>
      </c>
      <c r="M10" s="21">
        <v>7580</v>
      </c>
      <c r="N10" s="67">
        <f t="shared" si="1"/>
        <v>5.7424242424242426E-2</v>
      </c>
      <c r="O10" s="23">
        <v>50.53</v>
      </c>
      <c r="P10" s="24">
        <v>134.82</v>
      </c>
      <c r="Q10" s="25">
        <v>0.155</v>
      </c>
      <c r="R10" s="25">
        <v>0.155</v>
      </c>
      <c r="S10" s="21">
        <f t="shared" si="2"/>
        <v>797.3283198100138</v>
      </c>
      <c r="T10" s="21">
        <f t="shared" si="3"/>
        <v>259929.03225806452</v>
      </c>
      <c r="U10" s="26">
        <f t="shared" si="4"/>
        <v>5.9671495008738411</v>
      </c>
      <c r="V10" s="25">
        <v>50</v>
      </c>
      <c r="W10" s="25">
        <f t="shared" si="5"/>
        <v>26400</v>
      </c>
      <c r="X10" s="25">
        <f t="shared" si="6"/>
        <v>528</v>
      </c>
      <c r="Y10" s="27" t="s">
        <v>2364</v>
      </c>
      <c r="Z10" s="19" t="s">
        <v>35</v>
      </c>
      <c r="AA10" s="19" t="s">
        <v>35</v>
      </c>
      <c r="AB10" s="19" t="s">
        <v>2365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92</v>
      </c>
    </row>
    <row r="11" spans="1:34" ht="15" thickBot="1" x14ac:dyDescent="0.35">
      <c r="A11" s="74" t="s">
        <v>2365</v>
      </c>
      <c r="B11" s="10" t="s">
        <v>2370</v>
      </c>
      <c r="C11" s="10" t="s">
        <v>2371</v>
      </c>
      <c r="D11" s="11">
        <v>45309</v>
      </c>
      <c r="E11" s="12">
        <v>135000</v>
      </c>
      <c r="F11" s="10" t="s">
        <v>32</v>
      </c>
      <c r="G11" s="10" t="s">
        <v>33</v>
      </c>
      <c r="H11" s="12">
        <v>135000</v>
      </c>
      <c r="I11" s="12">
        <v>34900</v>
      </c>
      <c r="J11" s="13">
        <f t="shared" si="0"/>
        <v>25.851851851851855</v>
      </c>
      <c r="K11" s="12">
        <v>101713</v>
      </c>
      <c r="L11" s="12">
        <f>H11-94113</f>
        <v>40887</v>
      </c>
      <c r="M11" s="12">
        <v>7600</v>
      </c>
      <c r="N11" s="66">
        <f t="shared" si="1"/>
        <v>5.6296296296296296E-2</v>
      </c>
      <c r="O11" s="14">
        <v>50.66</v>
      </c>
      <c r="P11" s="15">
        <v>135.56</v>
      </c>
      <c r="Q11" s="16">
        <v>0.156</v>
      </c>
      <c r="R11" s="16">
        <v>0.156</v>
      </c>
      <c r="S11" s="12">
        <f t="shared" si="2"/>
        <v>807.0864587445717</v>
      </c>
      <c r="T11" s="12">
        <f t="shared" si="3"/>
        <v>262096.15384615384</v>
      </c>
      <c r="U11" s="17">
        <f t="shared" si="4"/>
        <v>6.0168997668997672</v>
      </c>
      <c r="V11" s="16">
        <v>50</v>
      </c>
      <c r="W11" s="16">
        <f t="shared" si="5"/>
        <v>27000</v>
      </c>
      <c r="X11" s="16">
        <f t="shared" si="6"/>
        <v>540</v>
      </c>
      <c r="Y11" s="18" t="s">
        <v>2364</v>
      </c>
      <c r="Z11" s="10" t="s">
        <v>35</v>
      </c>
      <c r="AA11" s="10" t="s">
        <v>35</v>
      </c>
      <c r="AB11" s="10" t="s">
        <v>2365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1622250</v>
      </c>
      <c r="F12" s="37"/>
      <c r="G12" s="37"/>
      <c r="H12" s="39">
        <f>+SUM(H2:H11)</f>
        <v>1622250</v>
      </c>
      <c r="I12" s="39">
        <f>+SUM(I2:I11)</f>
        <v>499600</v>
      </c>
      <c r="J12" s="40"/>
      <c r="K12" s="39">
        <f>+SUM(K2:K11)</f>
        <v>1310058</v>
      </c>
      <c r="L12" s="39">
        <f>+SUM(L2:L11)</f>
        <v>416605</v>
      </c>
      <c r="M12" s="39">
        <f>+SUM(M2:M11)</f>
        <v>104413</v>
      </c>
      <c r="N12" s="81">
        <f>AVERAGE(N2:N11)</f>
        <v>6.5666098372108503E-2</v>
      </c>
      <c r="O12" s="41">
        <f>+SUM(O2:O11)</f>
        <v>698.04</v>
      </c>
      <c r="P12" s="42"/>
      <c r="Q12" s="43">
        <f>+SUM(Q2:Q11)</f>
        <v>2.1890000000000001</v>
      </c>
      <c r="R12" s="43">
        <f>+SUM(R2:R11)</f>
        <v>2.1890000000000001</v>
      </c>
      <c r="S12" s="39"/>
      <c r="T12" s="39"/>
      <c r="U12" s="44"/>
      <c r="V12" s="43"/>
      <c r="W12" s="82">
        <f>AVERAGE(W2:W11)</f>
        <v>32445</v>
      </c>
      <c r="X12" s="83">
        <f>AVERAGE(X2:X11)</f>
        <v>523.61847225234339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30.796732932655264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4.7733889352779508</v>
      </c>
      <c r="K14" s="48"/>
      <c r="L14" s="48"/>
      <c r="M14" s="48" t="s">
        <v>2880</v>
      </c>
      <c r="N14" s="80"/>
      <c r="O14" s="54">
        <f>L12/O12</f>
        <v>596.82109907741676</v>
      </c>
      <c r="P14" s="50"/>
      <c r="Q14" s="51" t="s">
        <v>2881</v>
      </c>
      <c r="R14" s="51">
        <f>L12/Q12</f>
        <v>190317.49657377799</v>
      </c>
      <c r="S14" s="48"/>
      <c r="T14" s="48" t="s">
        <v>2882</v>
      </c>
      <c r="U14" s="52">
        <f>L12/Q12/43560</f>
        <v>4.3690885347515609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34" x14ac:dyDescent="0.3">
      <c r="E20" s="383" t="s">
        <v>3167</v>
      </c>
      <c r="F20" s="383"/>
      <c r="G20" s="383"/>
      <c r="H20" s="383"/>
      <c r="I20" s="383"/>
      <c r="L20" s="95"/>
    </row>
    <row r="21" spans="1:34" x14ac:dyDescent="0.3">
      <c r="E21" s="383" t="s">
        <v>3100</v>
      </c>
      <c r="F21" s="383"/>
      <c r="G21" s="383"/>
      <c r="H21" s="383"/>
      <c r="I21" s="383"/>
      <c r="L21" s="95"/>
    </row>
    <row r="22" spans="1:34" x14ac:dyDescent="0.3">
      <c r="E22" s="96"/>
      <c r="F22" s="96"/>
      <c r="G22" s="96"/>
      <c r="H22" s="96"/>
      <c r="I22" s="96"/>
      <c r="L22" s="95"/>
    </row>
    <row r="23" spans="1:34" x14ac:dyDescent="0.3">
      <c r="A23" s="55" t="s">
        <v>3092</v>
      </c>
      <c r="E23" s="96"/>
      <c r="F23" s="96"/>
      <c r="G23" s="96"/>
      <c r="H23" s="96"/>
      <c r="I23" s="96"/>
      <c r="L23" s="95"/>
    </row>
    <row r="24" spans="1:34" x14ac:dyDescent="0.3">
      <c r="A24" s="75" t="s">
        <v>2365</v>
      </c>
      <c r="B24" s="19" t="s">
        <v>2390</v>
      </c>
      <c r="C24" s="19" t="s">
        <v>2391</v>
      </c>
      <c r="D24" s="20">
        <v>45449</v>
      </c>
      <c r="E24" s="21">
        <v>50000</v>
      </c>
      <c r="F24" s="19" t="s">
        <v>32</v>
      </c>
      <c r="G24" s="19" t="s">
        <v>33</v>
      </c>
      <c r="H24" s="21">
        <v>50000</v>
      </c>
      <c r="I24" s="21">
        <v>52200</v>
      </c>
      <c r="J24" s="22">
        <f t="shared" ref="J24:J30" si="7">I24/H24*100</f>
        <v>104.4</v>
      </c>
      <c r="K24" s="21">
        <v>123010</v>
      </c>
      <c r="L24" s="21">
        <f>H24-114214</f>
        <v>-64214</v>
      </c>
      <c r="M24" s="21">
        <v>8796</v>
      </c>
      <c r="N24" s="67">
        <f t="shared" ref="N24:N30" si="8">M24/E24</f>
        <v>0.17591999999999999</v>
      </c>
      <c r="O24" s="23">
        <v>58.64</v>
      </c>
      <c r="P24" s="24">
        <v>161.59</v>
      </c>
      <c r="Q24" s="25">
        <v>0.19700000000000001</v>
      </c>
      <c r="R24" s="25">
        <v>0.19700000000000001</v>
      </c>
      <c r="S24" s="21">
        <f t="shared" ref="S24:S30" si="9">L24/O24</f>
        <v>-1095.0545702592087</v>
      </c>
      <c r="T24" s="21">
        <f t="shared" ref="T24:T30" si="10">L24/Q24</f>
        <v>-325959.39086294413</v>
      </c>
      <c r="U24" s="26">
        <f t="shared" ref="U24:U30" si="11">L24/Q24/43560</f>
        <v>-7.4829979536947686</v>
      </c>
      <c r="V24" s="25">
        <v>53</v>
      </c>
      <c r="W24" s="25">
        <f t="shared" ref="W24:W30" si="12">0.2*E24</f>
        <v>10000</v>
      </c>
      <c r="X24" s="25">
        <f t="shared" ref="X24:X30" si="13">W24/V24</f>
        <v>188.67924528301887</v>
      </c>
      <c r="Y24" s="27" t="s">
        <v>2364</v>
      </c>
      <c r="Z24" s="19" t="s">
        <v>35</v>
      </c>
      <c r="AA24" s="19" t="s">
        <v>35</v>
      </c>
      <c r="AB24" s="19" t="s">
        <v>2365</v>
      </c>
      <c r="AC24" s="19">
        <v>0</v>
      </c>
      <c r="AD24" s="19">
        <v>1</v>
      </c>
      <c r="AE24" s="19" t="s">
        <v>37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75" t="s">
        <v>2365</v>
      </c>
      <c r="B25" s="19" t="s">
        <v>2392</v>
      </c>
      <c r="C25" s="19" t="s">
        <v>2393</v>
      </c>
      <c r="D25" s="20">
        <v>45582</v>
      </c>
      <c r="E25" s="21">
        <v>135000</v>
      </c>
      <c r="F25" s="19" t="s">
        <v>81</v>
      </c>
      <c r="G25" s="19" t="s">
        <v>33</v>
      </c>
      <c r="H25" s="21">
        <v>135000</v>
      </c>
      <c r="I25" s="21">
        <v>76000</v>
      </c>
      <c r="J25" s="22">
        <f t="shared" si="7"/>
        <v>56.296296296296298</v>
      </c>
      <c r="K25" s="21">
        <v>176387</v>
      </c>
      <c r="L25" s="21">
        <f>H25-157010</f>
        <v>-22010</v>
      </c>
      <c r="M25" s="21">
        <v>19377</v>
      </c>
      <c r="N25" s="67">
        <f t="shared" si="8"/>
        <v>0.14353333333333335</v>
      </c>
      <c r="O25" s="23">
        <v>129.18</v>
      </c>
      <c r="P25" s="24">
        <v>163.69999999999999</v>
      </c>
      <c r="Q25" s="25">
        <v>0.436</v>
      </c>
      <c r="R25" s="25">
        <v>0.436</v>
      </c>
      <c r="S25" s="21">
        <f t="shared" si="9"/>
        <v>-170.38241213810187</v>
      </c>
      <c r="T25" s="21">
        <f t="shared" si="10"/>
        <v>-50481.651376146787</v>
      </c>
      <c r="U25" s="26">
        <f t="shared" si="11"/>
        <v>-1.1588992510593845</v>
      </c>
      <c r="V25" s="25">
        <v>116</v>
      </c>
      <c r="W25" s="25">
        <f t="shared" si="12"/>
        <v>27000</v>
      </c>
      <c r="X25" s="25">
        <f t="shared" si="13"/>
        <v>232.75862068965517</v>
      </c>
      <c r="Y25" s="27" t="s">
        <v>2364</v>
      </c>
      <c r="Z25" s="19" t="s">
        <v>35</v>
      </c>
      <c r="AA25" s="19" t="s">
        <v>35</v>
      </c>
      <c r="AB25" s="19" t="s">
        <v>2365</v>
      </c>
      <c r="AC25" s="19">
        <v>0</v>
      </c>
      <c r="AD25" s="19">
        <v>1</v>
      </c>
      <c r="AE25" s="19" t="s">
        <v>42</v>
      </c>
      <c r="AF25" s="19" t="s">
        <v>35</v>
      </c>
      <c r="AG25" s="19" t="s">
        <v>38</v>
      </c>
      <c r="AH25" s="19" t="s">
        <v>92</v>
      </c>
    </row>
    <row r="26" spans="1:34" x14ac:dyDescent="0.3">
      <c r="A26" s="74" t="s">
        <v>2365</v>
      </c>
      <c r="B26" s="10" t="s">
        <v>2376</v>
      </c>
      <c r="C26" s="10" t="s">
        <v>2377</v>
      </c>
      <c r="D26" s="11">
        <v>45448</v>
      </c>
      <c r="E26" s="12">
        <v>150000</v>
      </c>
      <c r="F26" s="10" t="s">
        <v>32</v>
      </c>
      <c r="G26" s="10" t="s">
        <v>33</v>
      </c>
      <c r="H26" s="12">
        <v>150000</v>
      </c>
      <c r="I26" s="12">
        <v>44300</v>
      </c>
      <c r="J26" s="13">
        <f t="shared" si="7"/>
        <v>29.533333333333335</v>
      </c>
      <c r="K26" s="12">
        <v>102863</v>
      </c>
      <c r="L26" s="12">
        <f>H26-95216</f>
        <v>54784</v>
      </c>
      <c r="M26" s="12">
        <v>7647</v>
      </c>
      <c r="N26" s="66">
        <f t="shared" si="8"/>
        <v>5.0979999999999998E-2</v>
      </c>
      <c r="O26" s="14">
        <v>50.98</v>
      </c>
      <c r="P26" s="15">
        <v>137.22999999999999</v>
      </c>
      <c r="Q26" s="16">
        <v>0.158</v>
      </c>
      <c r="R26" s="16">
        <v>0.158</v>
      </c>
      <c r="S26" s="12">
        <f t="shared" si="9"/>
        <v>1074.6174970576697</v>
      </c>
      <c r="T26" s="12">
        <f t="shared" si="10"/>
        <v>346734.17721518985</v>
      </c>
      <c r="U26" s="17">
        <f t="shared" si="11"/>
        <v>7.9599214236728617</v>
      </c>
      <c r="V26" s="16">
        <v>50</v>
      </c>
      <c r="W26" s="16">
        <f t="shared" si="12"/>
        <v>30000</v>
      </c>
      <c r="X26" s="16">
        <f t="shared" si="13"/>
        <v>600</v>
      </c>
      <c r="Y26" s="18" t="s">
        <v>2364</v>
      </c>
      <c r="Z26" s="10" t="s">
        <v>35</v>
      </c>
      <c r="AA26" s="10" t="s">
        <v>35</v>
      </c>
      <c r="AB26" s="10" t="s">
        <v>2365</v>
      </c>
      <c r="AC26" s="10">
        <v>0</v>
      </c>
      <c r="AD26" s="10">
        <v>1</v>
      </c>
      <c r="AE26" s="10" t="s">
        <v>42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5" t="s">
        <v>2365</v>
      </c>
      <c r="B27" s="19" t="s">
        <v>2374</v>
      </c>
      <c r="C27" s="19" t="s">
        <v>2375</v>
      </c>
      <c r="D27" s="20">
        <v>45547</v>
      </c>
      <c r="E27" s="21">
        <v>189000</v>
      </c>
      <c r="F27" s="19" t="s">
        <v>32</v>
      </c>
      <c r="G27" s="19" t="s">
        <v>33</v>
      </c>
      <c r="H27" s="21">
        <v>189000</v>
      </c>
      <c r="I27" s="21">
        <v>59500</v>
      </c>
      <c r="J27" s="22">
        <f t="shared" si="7"/>
        <v>31.481481481481481</v>
      </c>
      <c r="K27" s="21">
        <v>139969</v>
      </c>
      <c r="L27" s="21">
        <f>H27-132337</f>
        <v>56663</v>
      </c>
      <c r="M27" s="21">
        <v>7632</v>
      </c>
      <c r="N27" s="67">
        <f t="shared" si="8"/>
        <v>4.0380952380952378E-2</v>
      </c>
      <c r="O27" s="23">
        <v>50.88</v>
      </c>
      <c r="P27" s="24">
        <v>136.69999999999999</v>
      </c>
      <c r="Q27" s="25">
        <v>0.157</v>
      </c>
      <c r="R27" s="25">
        <v>0.157</v>
      </c>
      <c r="S27" s="21">
        <f t="shared" si="9"/>
        <v>1113.6595911949685</v>
      </c>
      <c r="T27" s="21">
        <f t="shared" si="10"/>
        <v>360910.82802547771</v>
      </c>
      <c r="U27" s="26">
        <f t="shared" si="11"/>
        <v>8.285372544202886</v>
      </c>
      <c r="V27" s="25">
        <v>50</v>
      </c>
      <c r="W27" s="25">
        <f t="shared" si="12"/>
        <v>37800</v>
      </c>
      <c r="X27" s="25">
        <f t="shared" si="13"/>
        <v>756</v>
      </c>
      <c r="Y27" s="27" t="s">
        <v>2364</v>
      </c>
      <c r="Z27" s="19" t="s">
        <v>35</v>
      </c>
      <c r="AA27" s="19" t="s">
        <v>35</v>
      </c>
      <c r="AB27" s="19" t="s">
        <v>2365</v>
      </c>
      <c r="AC27" s="19">
        <v>0</v>
      </c>
      <c r="AD27" s="19">
        <v>1</v>
      </c>
      <c r="AE27" s="19" t="s">
        <v>42</v>
      </c>
      <c r="AF27" s="19" t="s">
        <v>43</v>
      </c>
      <c r="AG27" s="19" t="s">
        <v>38</v>
      </c>
      <c r="AH27" s="19" t="s">
        <v>92</v>
      </c>
    </row>
    <row r="28" spans="1:34" x14ac:dyDescent="0.3">
      <c r="A28" s="75" t="s">
        <v>2365</v>
      </c>
      <c r="B28" s="19" t="s">
        <v>2383</v>
      </c>
      <c r="C28" s="19" t="s">
        <v>2384</v>
      </c>
      <c r="D28" s="20">
        <v>45085</v>
      </c>
      <c r="E28" s="21">
        <v>192500</v>
      </c>
      <c r="F28" s="19" t="s">
        <v>32</v>
      </c>
      <c r="G28" s="19" t="s">
        <v>66</v>
      </c>
      <c r="H28" s="21">
        <v>192500</v>
      </c>
      <c r="I28" s="21">
        <v>87300</v>
      </c>
      <c r="J28" s="22">
        <f t="shared" si="7"/>
        <v>45.350649350649356</v>
      </c>
      <c r="K28" s="21">
        <v>212325</v>
      </c>
      <c r="L28" s="21">
        <f>H28-193798</f>
        <v>-1298</v>
      </c>
      <c r="M28" s="21">
        <v>18527</v>
      </c>
      <c r="N28" s="67">
        <f t="shared" si="8"/>
        <v>9.624415584415584E-2</v>
      </c>
      <c r="O28" s="23">
        <v>123.51</v>
      </c>
      <c r="P28" s="24">
        <v>279.64</v>
      </c>
      <c r="Q28" s="25">
        <v>0.38500000000000001</v>
      </c>
      <c r="R28" s="25">
        <v>0.20899999999999999</v>
      </c>
      <c r="S28" s="21">
        <f t="shared" si="9"/>
        <v>-10.509270504412598</v>
      </c>
      <c r="T28" s="21">
        <f t="shared" si="10"/>
        <v>-3371.4285714285716</v>
      </c>
      <c r="U28" s="26">
        <f t="shared" si="11"/>
        <v>-7.7397350124622857E-2</v>
      </c>
      <c r="V28" s="25">
        <v>120</v>
      </c>
      <c r="W28" s="25">
        <f t="shared" si="12"/>
        <v>38500</v>
      </c>
      <c r="X28" s="25">
        <f t="shared" si="13"/>
        <v>320.83333333333331</v>
      </c>
      <c r="Y28" s="27" t="s">
        <v>2364</v>
      </c>
      <c r="Z28" s="19" t="s">
        <v>35</v>
      </c>
      <c r="AA28" s="19" t="s">
        <v>2385</v>
      </c>
      <c r="AB28" s="19" t="s">
        <v>2365</v>
      </c>
      <c r="AC28" s="19">
        <v>0</v>
      </c>
      <c r="AD28" s="19">
        <v>1</v>
      </c>
      <c r="AE28" s="19" t="s">
        <v>42</v>
      </c>
      <c r="AF28" s="19" t="s">
        <v>43</v>
      </c>
      <c r="AG28" s="19" t="s">
        <v>38</v>
      </c>
      <c r="AH28" s="19" t="s">
        <v>92</v>
      </c>
    </row>
    <row r="29" spans="1:34" x14ac:dyDescent="0.3">
      <c r="A29" s="75" t="s">
        <v>2365</v>
      </c>
      <c r="B29" s="19" t="s">
        <v>2381</v>
      </c>
      <c r="C29" s="19" t="s">
        <v>2382</v>
      </c>
      <c r="D29" s="20">
        <v>45264</v>
      </c>
      <c r="E29" s="21">
        <v>185000</v>
      </c>
      <c r="F29" s="19" t="s">
        <v>32</v>
      </c>
      <c r="G29" s="19" t="s">
        <v>33</v>
      </c>
      <c r="H29" s="21">
        <v>185000</v>
      </c>
      <c r="I29" s="21">
        <v>85000</v>
      </c>
      <c r="J29" s="22">
        <f t="shared" si="7"/>
        <v>45.945945945945951</v>
      </c>
      <c r="K29" s="21">
        <v>205553</v>
      </c>
      <c r="L29" s="21">
        <f>H29-182489</f>
        <v>2511</v>
      </c>
      <c r="M29" s="21">
        <v>23064</v>
      </c>
      <c r="N29" s="67">
        <f t="shared" si="8"/>
        <v>0.12467027027027026</v>
      </c>
      <c r="O29" s="23">
        <v>153.76</v>
      </c>
      <c r="P29" s="24">
        <v>138.69999999999999</v>
      </c>
      <c r="Q29" s="25">
        <v>0.47799999999999998</v>
      </c>
      <c r="R29" s="25">
        <v>0.47799999999999998</v>
      </c>
      <c r="S29" s="21">
        <f t="shared" si="9"/>
        <v>16.330645161290324</v>
      </c>
      <c r="T29" s="21">
        <f t="shared" si="10"/>
        <v>5253.1380753138073</v>
      </c>
      <c r="U29" s="26">
        <f t="shared" si="11"/>
        <v>0.12059545627442166</v>
      </c>
      <c r="V29" s="25">
        <v>150</v>
      </c>
      <c r="W29" s="25">
        <f t="shared" si="12"/>
        <v>37000</v>
      </c>
      <c r="X29" s="25">
        <f t="shared" si="13"/>
        <v>246.66666666666666</v>
      </c>
      <c r="Y29" s="27" t="s">
        <v>2364</v>
      </c>
      <c r="Z29" s="19" t="s">
        <v>35</v>
      </c>
      <c r="AA29" s="19" t="s">
        <v>35</v>
      </c>
      <c r="AB29" s="19" t="s">
        <v>2365</v>
      </c>
      <c r="AC29" s="19">
        <v>0</v>
      </c>
      <c r="AD29" s="19">
        <v>1</v>
      </c>
      <c r="AE29" s="19" t="s">
        <v>412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5" t="s">
        <v>2365</v>
      </c>
      <c r="B30" s="19" t="s">
        <v>2366</v>
      </c>
      <c r="C30" s="19" t="s">
        <v>2367</v>
      </c>
      <c r="D30" s="20">
        <v>45399</v>
      </c>
      <c r="E30" s="21">
        <v>115000</v>
      </c>
      <c r="F30" s="19" t="s">
        <v>32</v>
      </c>
      <c r="G30" s="19" t="s">
        <v>33</v>
      </c>
      <c r="H30" s="21">
        <v>115000</v>
      </c>
      <c r="I30" s="21">
        <v>50700</v>
      </c>
      <c r="J30" s="22">
        <f t="shared" si="7"/>
        <v>44.086956521739125</v>
      </c>
      <c r="K30" s="21">
        <v>118033</v>
      </c>
      <c r="L30" s="21">
        <f>H30-109341</f>
        <v>5659</v>
      </c>
      <c r="M30" s="21">
        <v>8692</v>
      </c>
      <c r="N30" s="67">
        <f t="shared" si="8"/>
        <v>7.558260869565217E-2</v>
      </c>
      <c r="O30" s="23">
        <v>57.94</v>
      </c>
      <c r="P30" s="24">
        <v>137.68</v>
      </c>
      <c r="Q30" s="25">
        <v>0.18</v>
      </c>
      <c r="R30" s="25">
        <v>0.18</v>
      </c>
      <c r="S30" s="21">
        <f t="shared" si="9"/>
        <v>97.670003451846739</v>
      </c>
      <c r="T30" s="21">
        <f t="shared" si="10"/>
        <v>31438.888888888891</v>
      </c>
      <c r="U30" s="26">
        <f t="shared" si="11"/>
        <v>0.72173757779818393</v>
      </c>
      <c r="V30" s="25">
        <v>56.03</v>
      </c>
      <c r="W30" s="25">
        <f t="shared" si="12"/>
        <v>23000</v>
      </c>
      <c r="X30" s="25">
        <f t="shared" si="13"/>
        <v>410.49437801177942</v>
      </c>
      <c r="Y30" s="27" t="s">
        <v>2364</v>
      </c>
      <c r="Z30" s="19" t="s">
        <v>35</v>
      </c>
      <c r="AA30" s="19" t="s">
        <v>35</v>
      </c>
      <c r="AB30" s="19" t="s">
        <v>2365</v>
      </c>
      <c r="AC30" s="19">
        <v>0</v>
      </c>
      <c r="AD30" s="19">
        <v>1</v>
      </c>
      <c r="AE30" s="19" t="s">
        <v>42</v>
      </c>
      <c r="AF30" s="19" t="s">
        <v>43</v>
      </c>
      <c r="AG30" s="19" t="s">
        <v>38</v>
      </c>
      <c r="AH30" s="19" t="s">
        <v>92</v>
      </c>
    </row>
  </sheetData>
  <sortState xmlns:xlrd2="http://schemas.microsoft.com/office/spreadsheetml/2017/richdata2" ref="A2:AH17">
    <sortCondition ref="S2:S17"/>
  </sortState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4">
    <tabColor rgb="FF00B050"/>
  </sheetPr>
  <dimension ref="A1:AH20"/>
  <sheetViews>
    <sheetView workbookViewId="0">
      <selection activeCell="D9" sqref="D9:L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2489</v>
      </c>
      <c r="B2" s="10" t="s">
        <v>2486</v>
      </c>
      <c r="C2" s="10" t="s">
        <v>2487</v>
      </c>
      <c r="D2" s="11">
        <v>45540</v>
      </c>
      <c r="E2" s="12">
        <v>189999</v>
      </c>
      <c r="F2" s="10" t="s">
        <v>32</v>
      </c>
      <c r="G2" s="10" t="s">
        <v>33</v>
      </c>
      <c r="H2" s="12">
        <v>189999</v>
      </c>
      <c r="I2" s="12">
        <v>89500</v>
      </c>
      <c r="J2" s="13">
        <f t="shared" ref="J2:J5" si="0">I2/H2*100</f>
        <v>47.105511081637268</v>
      </c>
      <c r="K2" s="12">
        <v>192567</v>
      </c>
      <c r="L2" s="12">
        <f>H2-173667</f>
        <v>16332</v>
      </c>
      <c r="M2" s="12">
        <v>18900</v>
      </c>
      <c r="N2" s="66">
        <f t="shared" ref="N2:N5" si="1">M2/E2</f>
        <v>9.9474207758988201E-2</v>
      </c>
      <c r="O2" s="14">
        <v>90</v>
      </c>
      <c r="P2" s="15">
        <v>135</v>
      </c>
      <c r="Q2" s="16">
        <v>0.27900000000000003</v>
      </c>
      <c r="R2" s="16">
        <v>0.27900000000000003</v>
      </c>
      <c r="S2" s="12">
        <f t="shared" ref="S2:S5" si="2">L2/O2</f>
        <v>181.46666666666667</v>
      </c>
      <c r="T2" s="12">
        <f t="shared" ref="T2:T5" si="3">L2/Q2</f>
        <v>58537.634408602142</v>
      </c>
      <c r="U2" s="17">
        <f t="shared" ref="U2:U5" si="4">L2/Q2/43560</f>
        <v>1.343839173751197</v>
      </c>
      <c r="V2" s="16">
        <v>90</v>
      </c>
      <c r="W2" s="16">
        <f t="shared" ref="W2:W5" si="5">0.2*E2</f>
        <v>37999.800000000003</v>
      </c>
      <c r="X2" s="16">
        <f t="shared" ref="X2:X5" si="6">W2/V2</f>
        <v>422.22</v>
      </c>
      <c r="Y2" s="18" t="s">
        <v>2488</v>
      </c>
      <c r="Z2" s="10" t="s">
        <v>35</v>
      </c>
      <c r="AA2" s="10" t="s">
        <v>35</v>
      </c>
      <c r="AB2" s="10" t="s">
        <v>2489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2489</v>
      </c>
      <c r="B3" s="19" t="s">
        <v>2500</v>
      </c>
      <c r="C3" s="19" t="s">
        <v>2501</v>
      </c>
      <c r="D3" s="20">
        <v>45155</v>
      </c>
      <c r="E3" s="21">
        <v>122000</v>
      </c>
      <c r="F3" s="19" t="s">
        <v>32</v>
      </c>
      <c r="G3" s="19" t="s">
        <v>33</v>
      </c>
      <c r="H3" s="21">
        <v>122000</v>
      </c>
      <c r="I3" s="21">
        <v>46100</v>
      </c>
      <c r="J3" s="22">
        <f t="shared" si="0"/>
        <v>37.786885245901644</v>
      </c>
      <c r="K3" s="21">
        <v>115364</v>
      </c>
      <c r="L3" s="21">
        <f>H3-106964</f>
        <v>15036</v>
      </c>
      <c r="M3" s="21">
        <v>8400</v>
      </c>
      <c r="N3" s="67">
        <f t="shared" si="1"/>
        <v>6.8852459016393447E-2</v>
      </c>
      <c r="O3" s="23">
        <v>40</v>
      </c>
      <c r="P3" s="24">
        <v>135</v>
      </c>
      <c r="Q3" s="25">
        <v>0.124</v>
      </c>
      <c r="R3" s="25">
        <v>0.124</v>
      </c>
      <c r="S3" s="21">
        <f t="shared" si="2"/>
        <v>375.9</v>
      </c>
      <c r="T3" s="21">
        <f t="shared" si="3"/>
        <v>121258.06451612903</v>
      </c>
      <c r="U3" s="26">
        <f t="shared" si="4"/>
        <v>2.783702123878077</v>
      </c>
      <c r="V3" s="25">
        <v>40</v>
      </c>
      <c r="W3" s="25">
        <f t="shared" si="5"/>
        <v>24400</v>
      </c>
      <c r="X3" s="25">
        <f t="shared" si="6"/>
        <v>610</v>
      </c>
      <c r="Y3" s="27" t="s">
        <v>2488</v>
      </c>
      <c r="Z3" s="19" t="s">
        <v>35</v>
      </c>
      <c r="AA3" s="19" t="s">
        <v>35</v>
      </c>
      <c r="AB3" s="19" t="s">
        <v>2489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2489</v>
      </c>
      <c r="B4" s="10" t="s">
        <v>2496</v>
      </c>
      <c r="C4" s="10" t="s">
        <v>2497</v>
      </c>
      <c r="D4" s="11">
        <v>45041</v>
      </c>
      <c r="E4" s="12">
        <v>137880</v>
      </c>
      <c r="F4" s="10" t="s">
        <v>32</v>
      </c>
      <c r="G4" s="10" t="s">
        <v>33</v>
      </c>
      <c r="H4" s="12">
        <v>137880</v>
      </c>
      <c r="I4" s="12">
        <v>43800</v>
      </c>
      <c r="J4" s="13">
        <f t="shared" si="0"/>
        <v>31.766753698868584</v>
      </c>
      <c r="K4" s="12">
        <v>109023</v>
      </c>
      <c r="L4" s="12">
        <f>H4-92223</f>
        <v>45657</v>
      </c>
      <c r="M4" s="12">
        <v>16800</v>
      </c>
      <c r="N4" s="66">
        <f t="shared" si="1"/>
        <v>0.12184508268059181</v>
      </c>
      <c r="O4" s="14">
        <v>80</v>
      </c>
      <c r="P4" s="15">
        <v>135</v>
      </c>
      <c r="Q4" s="16">
        <v>0.248</v>
      </c>
      <c r="R4" s="16">
        <v>0.248</v>
      </c>
      <c r="S4" s="12">
        <f t="shared" si="2"/>
        <v>570.71249999999998</v>
      </c>
      <c r="T4" s="12">
        <f t="shared" si="3"/>
        <v>184100.80645161291</v>
      </c>
      <c r="U4" s="17">
        <f t="shared" si="4"/>
        <v>4.2263729672087447</v>
      </c>
      <c r="V4" s="16">
        <v>80</v>
      </c>
      <c r="W4" s="16">
        <f t="shared" si="5"/>
        <v>27576</v>
      </c>
      <c r="X4" s="16">
        <f t="shared" si="6"/>
        <v>344.7</v>
      </c>
      <c r="Y4" s="18" t="s">
        <v>2488</v>
      </c>
      <c r="Z4" s="10" t="s">
        <v>35</v>
      </c>
      <c r="AA4" s="10" t="s">
        <v>35</v>
      </c>
      <c r="AB4" s="10" t="s">
        <v>2489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ht="15" thickBot="1" x14ac:dyDescent="0.35">
      <c r="A5" s="75" t="s">
        <v>2489</v>
      </c>
      <c r="B5" s="19" t="s">
        <v>2492</v>
      </c>
      <c r="C5" s="19" t="s">
        <v>2493</v>
      </c>
      <c r="D5" s="20">
        <v>45506</v>
      </c>
      <c r="E5" s="21">
        <v>128000</v>
      </c>
      <c r="F5" s="19" t="s">
        <v>32</v>
      </c>
      <c r="G5" s="19" t="s">
        <v>33</v>
      </c>
      <c r="H5" s="21">
        <v>128000</v>
      </c>
      <c r="I5" s="21">
        <v>53100</v>
      </c>
      <c r="J5" s="22">
        <f t="shared" si="0"/>
        <v>41.484375</v>
      </c>
      <c r="K5" s="21">
        <v>112743</v>
      </c>
      <c r="L5" s="21">
        <f>H5-104343</f>
        <v>23657</v>
      </c>
      <c r="M5" s="21">
        <v>8400</v>
      </c>
      <c r="N5" s="67">
        <f t="shared" si="1"/>
        <v>6.5625000000000003E-2</v>
      </c>
      <c r="O5" s="23">
        <v>40</v>
      </c>
      <c r="P5" s="24">
        <v>135</v>
      </c>
      <c r="Q5" s="25">
        <v>0.124</v>
      </c>
      <c r="R5" s="25">
        <v>0.124</v>
      </c>
      <c r="S5" s="21">
        <f t="shared" si="2"/>
        <v>591.42499999999995</v>
      </c>
      <c r="T5" s="21">
        <f t="shared" si="3"/>
        <v>190782.25806451612</v>
      </c>
      <c r="U5" s="26">
        <f t="shared" si="4"/>
        <v>4.3797579904618029</v>
      </c>
      <c r="V5" s="25">
        <v>40</v>
      </c>
      <c r="W5" s="25">
        <f t="shared" si="5"/>
        <v>25600</v>
      </c>
      <c r="X5" s="25">
        <f t="shared" si="6"/>
        <v>640</v>
      </c>
      <c r="Y5" s="27" t="s">
        <v>2488</v>
      </c>
      <c r="Z5" s="19" t="s">
        <v>35</v>
      </c>
      <c r="AA5" s="19" t="s">
        <v>35</v>
      </c>
      <c r="AB5" s="19" t="s">
        <v>2489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577879</v>
      </c>
      <c r="F6" s="37"/>
      <c r="G6" s="37"/>
      <c r="H6" s="39">
        <f>+SUM(H2:H5)</f>
        <v>577879</v>
      </c>
      <c r="I6" s="39">
        <f>+SUM(I2:I5)</f>
        <v>232500</v>
      </c>
      <c r="J6" s="40"/>
      <c r="K6" s="39">
        <f>+SUM(K2:K5)</f>
        <v>529697</v>
      </c>
      <c r="L6" s="39">
        <f>+SUM(L2:L5)</f>
        <v>100682</v>
      </c>
      <c r="M6" s="39">
        <f>+SUM(M2:M5)</f>
        <v>52500</v>
      </c>
      <c r="N6" s="81">
        <f>AVERAGE(N2:N5)</f>
        <v>8.8949187363993362E-2</v>
      </c>
      <c r="O6" s="41">
        <f>+SUM(O2:O5)</f>
        <v>250</v>
      </c>
      <c r="P6" s="42"/>
      <c r="Q6" s="43">
        <f>+SUM(Q2:Q5)</f>
        <v>0.77500000000000002</v>
      </c>
      <c r="R6" s="43">
        <f>+SUM(R2:R5)</f>
        <v>0.77500000000000002</v>
      </c>
      <c r="S6" s="39"/>
      <c r="T6" s="39"/>
      <c r="U6" s="44"/>
      <c r="V6" s="43"/>
      <c r="W6" s="82">
        <f>AVERAGE(W2:W5)</f>
        <v>28893.95</v>
      </c>
      <c r="X6" s="83">
        <f>AVERAGE(X2:X5)</f>
        <v>504.23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40.233336044396836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6.4424181177025108</v>
      </c>
      <c r="K8" s="48"/>
      <c r="L8" s="48"/>
      <c r="M8" s="48" t="s">
        <v>2880</v>
      </c>
      <c r="N8" s="80"/>
      <c r="O8" s="54">
        <f>L6/O6</f>
        <v>402.72800000000001</v>
      </c>
      <c r="P8" s="50"/>
      <c r="Q8" s="51" t="s">
        <v>2881</v>
      </c>
      <c r="R8" s="51">
        <f>L6/Q6</f>
        <v>129912.25806451612</v>
      </c>
      <c r="S8" s="48"/>
      <c r="T8" s="48" t="s">
        <v>2882</v>
      </c>
      <c r="U8" s="52">
        <f>L6/Q6/43560</f>
        <v>2.9823750703516096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4" t="s">
        <v>2489</v>
      </c>
      <c r="B18" s="10" t="s">
        <v>2494</v>
      </c>
      <c r="C18" s="10" t="s">
        <v>2495</v>
      </c>
      <c r="D18" s="11">
        <v>45407</v>
      </c>
      <c r="E18" s="12">
        <v>79900</v>
      </c>
      <c r="F18" s="10" t="s">
        <v>32</v>
      </c>
      <c r="G18" s="10" t="s">
        <v>33</v>
      </c>
      <c r="H18" s="12">
        <v>79900</v>
      </c>
      <c r="I18" s="12">
        <v>47900</v>
      </c>
      <c r="J18" s="13">
        <f t="shared" ref="J18:J20" si="7">I18/H18*100</f>
        <v>59.949937421777221</v>
      </c>
      <c r="K18" s="12">
        <v>106206</v>
      </c>
      <c r="L18" s="12">
        <f>H18-97806</f>
        <v>-17906</v>
      </c>
      <c r="M18" s="12">
        <v>8400</v>
      </c>
      <c r="N18" s="66">
        <f t="shared" ref="N18:N20" si="8">M18/E18</f>
        <v>0.10513141426783479</v>
      </c>
      <c r="O18" s="14">
        <v>40</v>
      </c>
      <c r="P18" s="15">
        <v>135</v>
      </c>
      <c r="Q18" s="16">
        <v>0.124</v>
      </c>
      <c r="R18" s="16">
        <v>0.124</v>
      </c>
      <c r="S18" s="12">
        <f t="shared" ref="S18:S20" si="9">L18/O18</f>
        <v>-447.65</v>
      </c>
      <c r="T18" s="12">
        <f t="shared" ref="T18:T20" si="10">L18/Q18</f>
        <v>-144403.22580645161</v>
      </c>
      <c r="U18" s="17">
        <f t="shared" ref="U18:U20" si="11">L18/Q18/43560</f>
        <v>-3.3150419147486594</v>
      </c>
      <c r="V18" s="16">
        <v>40</v>
      </c>
      <c r="W18" s="16">
        <f t="shared" ref="W18:W20" si="12">0.2*E18</f>
        <v>15980</v>
      </c>
      <c r="X18" s="16">
        <f t="shared" ref="X18:X20" si="13">W18/V18</f>
        <v>399.5</v>
      </c>
      <c r="Y18" s="18" t="s">
        <v>2488</v>
      </c>
      <c r="Z18" s="10" t="s">
        <v>35</v>
      </c>
      <c r="AA18" s="10" t="s">
        <v>35</v>
      </c>
      <c r="AB18" s="10" t="s">
        <v>2489</v>
      </c>
      <c r="AC18" s="10">
        <v>0</v>
      </c>
      <c r="AD18" s="10">
        <v>1</v>
      </c>
      <c r="AE18" s="10" t="s">
        <v>42</v>
      </c>
      <c r="AF18" s="10" t="s">
        <v>43</v>
      </c>
      <c r="AG18" s="10" t="s">
        <v>38</v>
      </c>
      <c r="AH18" s="10" t="s">
        <v>92</v>
      </c>
    </row>
    <row r="19" spans="1:34" x14ac:dyDescent="0.3">
      <c r="A19" s="75" t="s">
        <v>2489</v>
      </c>
      <c r="B19" s="19" t="s">
        <v>2498</v>
      </c>
      <c r="C19" s="19" t="s">
        <v>2499</v>
      </c>
      <c r="D19" s="20">
        <v>45688</v>
      </c>
      <c r="E19" s="21">
        <v>136000</v>
      </c>
      <c r="F19" s="19" t="s">
        <v>81</v>
      </c>
      <c r="G19" s="19" t="s">
        <v>33</v>
      </c>
      <c r="H19" s="21">
        <v>136000</v>
      </c>
      <c r="I19" s="21">
        <v>46700</v>
      </c>
      <c r="J19" s="22">
        <f t="shared" si="7"/>
        <v>34.338235294117645</v>
      </c>
      <c r="K19" s="21">
        <v>103588</v>
      </c>
      <c r="L19" s="21">
        <f>H19-95188</f>
        <v>40812</v>
      </c>
      <c r="M19" s="21">
        <v>8400</v>
      </c>
      <c r="N19" s="67">
        <f t="shared" si="8"/>
        <v>6.1764705882352944E-2</v>
      </c>
      <c r="O19" s="23">
        <v>40</v>
      </c>
      <c r="P19" s="24">
        <v>135</v>
      </c>
      <c r="Q19" s="25">
        <v>0.124</v>
      </c>
      <c r="R19" s="25">
        <v>0.124</v>
      </c>
      <c r="S19" s="21">
        <f t="shared" si="9"/>
        <v>1020.3</v>
      </c>
      <c r="T19" s="21">
        <f t="shared" si="10"/>
        <v>329129.03225806454</v>
      </c>
      <c r="U19" s="26">
        <f t="shared" si="11"/>
        <v>7.5557629076690667</v>
      </c>
      <c r="V19" s="25">
        <v>40</v>
      </c>
      <c r="W19" s="25">
        <f t="shared" si="12"/>
        <v>27200</v>
      </c>
      <c r="X19" s="25">
        <f t="shared" si="13"/>
        <v>680</v>
      </c>
      <c r="Y19" s="27" t="s">
        <v>2488</v>
      </c>
      <c r="Z19" s="19" t="s">
        <v>35</v>
      </c>
      <c r="AA19" s="19" t="s">
        <v>35</v>
      </c>
      <c r="AB19" s="19" t="s">
        <v>2489</v>
      </c>
      <c r="AC19" s="19">
        <v>0</v>
      </c>
      <c r="AD19" s="19">
        <v>1</v>
      </c>
      <c r="AE19" s="19" t="s">
        <v>42</v>
      </c>
      <c r="AF19" s="19" t="s">
        <v>35</v>
      </c>
      <c r="AG19" s="19" t="s">
        <v>38</v>
      </c>
      <c r="AH19" s="19" t="s">
        <v>92</v>
      </c>
    </row>
    <row r="20" spans="1:34" x14ac:dyDescent="0.3">
      <c r="A20" s="75" t="s">
        <v>2489</v>
      </c>
      <c r="B20" s="19" t="s">
        <v>2490</v>
      </c>
      <c r="C20" s="19" t="s">
        <v>2491</v>
      </c>
      <c r="D20" s="20">
        <v>45639</v>
      </c>
      <c r="E20" s="21">
        <v>130000</v>
      </c>
      <c r="F20" s="19" t="s">
        <v>32</v>
      </c>
      <c r="G20" s="19" t="s">
        <v>33</v>
      </c>
      <c r="H20" s="21">
        <v>130000</v>
      </c>
      <c r="I20" s="21">
        <v>67200</v>
      </c>
      <c r="J20" s="22">
        <f t="shared" si="7"/>
        <v>51.692307692307693</v>
      </c>
      <c r="K20" s="21">
        <v>143576</v>
      </c>
      <c r="L20" s="21">
        <f>H20-135269</f>
        <v>-5269</v>
      </c>
      <c r="M20" s="21">
        <v>8307</v>
      </c>
      <c r="N20" s="67">
        <f t="shared" si="8"/>
        <v>6.3899999999999998E-2</v>
      </c>
      <c r="O20" s="23">
        <v>39.549999999999997</v>
      </c>
      <c r="P20" s="24">
        <v>132.04</v>
      </c>
      <c r="Q20" s="25">
        <v>0.121</v>
      </c>
      <c r="R20" s="25">
        <v>0.121</v>
      </c>
      <c r="S20" s="21">
        <f t="shared" si="9"/>
        <v>-133.22376738305942</v>
      </c>
      <c r="T20" s="21">
        <f t="shared" si="10"/>
        <v>-43545.454545454544</v>
      </c>
      <c r="U20" s="26">
        <f t="shared" si="11"/>
        <v>-0.99966608231071041</v>
      </c>
      <c r="V20" s="25">
        <v>40</v>
      </c>
      <c r="W20" s="25">
        <f t="shared" si="12"/>
        <v>26000</v>
      </c>
      <c r="X20" s="25">
        <f t="shared" si="13"/>
        <v>650</v>
      </c>
      <c r="Y20" s="27" t="s">
        <v>2488</v>
      </c>
      <c r="Z20" s="19" t="s">
        <v>35</v>
      </c>
      <c r="AA20" s="19" t="s">
        <v>35</v>
      </c>
      <c r="AB20" s="19" t="s">
        <v>2489</v>
      </c>
      <c r="AC20" s="19">
        <v>0</v>
      </c>
      <c r="AD20" s="19">
        <v>1</v>
      </c>
      <c r="AE20" s="19" t="s">
        <v>42</v>
      </c>
      <c r="AF20" s="19" t="s">
        <v>35</v>
      </c>
      <c r="AG20" s="19" t="s">
        <v>38</v>
      </c>
      <c r="AH20" s="19" t="s">
        <v>92</v>
      </c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5"/>
  <dimension ref="A1:V71"/>
  <sheetViews>
    <sheetView topLeftCell="A50" workbookViewId="0">
      <selection activeCell="D70" sqref="D70"/>
    </sheetView>
  </sheetViews>
  <sheetFormatPr defaultRowHeight="14.4" x14ac:dyDescent="0.3"/>
  <cols>
    <col min="1" max="1" width="24.5546875" style="55" bestFit="1" customWidth="1" collapsed="1"/>
    <col min="2" max="2" width="16.88671875" bestFit="1" customWidth="1" collapsed="1"/>
    <col min="3" max="3" width="21.109375" bestFit="1" customWidth="1" collapsed="1"/>
    <col min="4" max="4" width="17" customWidth="1" collapsed="1"/>
    <col min="5" max="5" width="12.88671875" bestFit="1" customWidth="1" collapsed="1"/>
    <col min="6" max="6" width="7.6640625" bestFit="1" customWidth="1" collapsed="1"/>
    <col min="7" max="7" width="17.332031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1" width="16.44140625" customWidth="1" collapsed="1"/>
    <col min="12" max="12" width="15.6640625" bestFit="1" customWidth="1" collapsed="1"/>
    <col min="13" max="13" width="16.6640625" bestFit="1" customWidth="1" collapsed="1"/>
    <col min="14" max="14" width="7.6640625" style="55" bestFit="1" customWidth="1"/>
    <col min="15" max="15" width="13.6640625" style="169" customWidth="1"/>
    <col min="16" max="16" width="10.6640625" bestFit="1" customWidth="1" collapsed="1"/>
    <col min="17" max="17" width="19.33203125" bestFit="1" customWidth="1" collapsed="1"/>
    <col min="18" max="18" width="16.6640625" bestFit="1" customWidth="1" collapsed="1"/>
    <col min="19" max="19" width="7.6640625" bestFit="1" customWidth="1" collapsed="1"/>
    <col min="20" max="20" width="20.6640625" bestFit="1" customWidth="1" collapsed="1"/>
  </cols>
  <sheetData>
    <row r="1" spans="1:20" x14ac:dyDescent="0.3">
      <c r="A1" s="187" t="s">
        <v>3109</v>
      </c>
    </row>
    <row r="2" spans="1:20" x14ac:dyDescent="0.3">
      <c r="A2" s="1" t="s">
        <v>23</v>
      </c>
      <c r="B2" s="1" t="s">
        <v>0</v>
      </c>
      <c r="C2" s="1" t="s">
        <v>1</v>
      </c>
      <c r="D2" s="2" t="s">
        <v>2</v>
      </c>
      <c r="E2" s="3" t="s">
        <v>3</v>
      </c>
      <c r="F2" s="1" t="s">
        <v>4</v>
      </c>
      <c r="G2" s="1" t="s">
        <v>5</v>
      </c>
      <c r="H2" s="3" t="s">
        <v>6</v>
      </c>
      <c r="I2" s="3" t="s">
        <v>7</v>
      </c>
      <c r="J2" s="4" t="s">
        <v>8</v>
      </c>
      <c r="K2" s="3" t="s">
        <v>9</v>
      </c>
      <c r="L2" s="3" t="s">
        <v>10</v>
      </c>
      <c r="M2" s="3" t="s">
        <v>11</v>
      </c>
      <c r="N2" s="339" t="s">
        <v>3066</v>
      </c>
      <c r="O2" s="338" t="s">
        <v>3069</v>
      </c>
      <c r="P2" s="9" t="s">
        <v>20</v>
      </c>
      <c r="Q2" s="1" t="s">
        <v>23</v>
      </c>
      <c r="R2" s="1" t="s">
        <v>27</v>
      </c>
      <c r="S2" s="1" t="s">
        <v>28</v>
      </c>
      <c r="T2" s="1" t="s">
        <v>29</v>
      </c>
    </row>
    <row r="3" spans="1:20" x14ac:dyDescent="0.3">
      <c r="A3" s="75" t="s">
        <v>1252</v>
      </c>
      <c r="B3" s="19" t="s">
        <v>1731</v>
      </c>
      <c r="C3" s="19" t="s">
        <v>1732</v>
      </c>
      <c r="D3" s="20">
        <v>45321</v>
      </c>
      <c r="E3" s="21">
        <v>225000</v>
      </c>
      <c r="F3" s="19" t="s">
        <v>32</v>
      </c>
      <c r="G3" s="19" t="s">
        <v>33</v>
      </c>
      <c r="H3" s="21">
        <v>225000</v>
      </c>
      <c r="I3" s="21">
        <v>86200</v>
      </c>
      <c r="J3" s="22">
        <f t="shared" ref="J3:J12" si="0">I3/H3*100</f>
        <v>38.31111111111111</v>
      </c>
      <c r="K3" s="21">
        <v>225071</v>
      </c>
      <c r="L3" s="21">
        <f>H3-207571</f>
        <v>17429</v>
      </c>
      <c r="M3" s="21">
        <v>17500</v>
      </c>
      <c r="N3" s="123">
        <f t="shared" ref="N3:N12" si="1">M3/E3</f>
        <v>7.7777777777777779E-2</v>
      </c>
      <c r="O3" s="25">
        <f t="shared" ref="O3:O12" si="2">0.2*E3</f>
        <v>45000</v>
      </c>
      <c r="P3" s="27" t="s">
        <v>1733</v>
      </c>
      <c r="Q3" s="19" t="s">
        <v>1252</v>
      </c>
      <c r="R3" s="19" t="s">
        <v>43</v>
      </c>
      <c r="S3" s="19" t="s">
        <v>38</v>
      </c>
      <c r="T3" s="19" t="s">
        <v>1734</v>
      </c>
    </row>
    <row r="4" spans="1:20" x14ac:dyDescent="0.3">
      <c r="A4" s="74" t="s">
        <v>1252</v>
      </c>
      <c r="B4" s="10" t="s">
        <v>1735</v>
      </c>
      <c r="C4" s="10" t="s">
        <v>1736</v>
      </c>
      <c r="D4" s="11">
        <v>45674</v>
      </c>
      <c r="E4" s="12">
        <v>245000</v>
      </c>
      <c r="F4" s="10" t="s">
        <v>32</v>
      </c>
      <c r="G4" s="10" t="s">
        <v>33</v>
      </c>
      <c r="H4" s="12">
        <v>245000</v>
      </c>
      <c r="I4" s="12">
        <v>93600</v>
      </c>
      <c r="J4" s="13">
        <f t="shared" si="0"/>
        <v>38.204081632653057</v>
      </c>
      <c r="K4" s="12">
        <v>225882</v>
      </c>
      <c r="L4" s="12">
        <f>H4-208382</f>
        <v>36618</v>
      </c>
      <c r="M4" s="12">
        <v>17500</v>
      </c>
      <c r="N4" s="112">
        <f t="shared" si="1"/>
        <v>7.1428571428571425E-2</v>
      </c>
      <c r="O4" s="16">
        <f t="shared" si="2"/>
        <v>49000</v>
      </c>
      <c r="P4" s="18" t="s">
        <v>1733</v>
      </c>
      <c r="Q4" s="10" t="s">
        <v>1252</v>
      </c>
      <c r="R4" s="10" t="s">
        <v>35</v>
      </c>
      <c r="S4" s="10" t="s">
        <v>38</v>
      </c>
      <c r="T4" s="10" t="s">
        <v>1734</v>
      </c>
    </row>
    <row r="5" spans="1:20" x14ac:dyDescent="0.3">
      <c r="A5" s="74" t="s">
        <v>1252</v>
      </c>
      <c r="B5" s="10" t="s">
        <v>1737</v>
      </c>
      <c r="C5" s="10" t="s">
        <v>1738</v>
      </c>
      <c r="D5" s="11">
        <v>45628</v>
      </c>
      <c r="E5" s="12">
        <v>270000</v>
      </c>
      <c r="F5" s="10" t="s">
        <v>32</v>
      </c>
      <c r="G5" s="10" t="s">
        <v>33</v>
      </c>
      <c r="H5" s="12">
        <v>270000</v>
      </c>
      <c r="I5" s="12">
        <v>97400</v>
      </c>
      <c r="J5" s="13">
        <f t="shared" si="0"/>
        <v>36.074074074074076</v>
      </c>
      <c r="K5" s="12">
        <v>234879</v>
      </c>
      <c r="L5" s="12">
        <f>H5-217379</f>
        <v>52621</v>
      </c>
      <c r="M5" s="12">
        <v>17500</v>
      </c>
      <c r="N5" s="112">
        <f t="shared" si="1"/>
        <v>6.4814814814814811E-2</v>
      </c>
      <c r="O5" s="16">
        <f t="shared" si="2"/>
        <v>54000</v>
      </c>
      <c r="P5" s="18" t="s">
        <v>1733</v>
      </c>
      <c r="Q5" s="10" t="s">
        <v>1252</v>
      </c>
      <c r="R5" s="10" t="s">
        <v>35</v>
      </c>
      <c r="S5" s="10" t="s">
        <v>38</v>
      </c>
      <c r="T5" s="10" t="s">
        <v>1734</v>
      </c>
    </row>
    <row r="6" spans="1:20" x14ac:dyDescent="0.3">
      <c r="A6" s="75" t="s">
        <v>1252</v>
      </c>
      <c r="B6" s="19" t="s">
        <v>1739</v>
      </c>
      <c r="C6" s="19" t="s">
        <v>1740</v>
      </c>
      <c r="D6" s="20">
        <v>45296</v>
      </c>
      <c r="E6" s="21">
        <v>266000</v>
      </c>
      <c r="F6" s="19" t="s">
        <v>32</v>
      </c>
      <c r="G6" s="19" t="s">
        <v>33</v>
      </c>
      <c r="H6" s="21">
        <v>266000</v>
      </c>
      <c r="I6" s="21">
        <v>79200</v>
      </c>
      <c r="J6" s="22">
        <f t="shared" si="0"/>
        <v>29.774436090225564</v>
      </c>
      <c r="K6" s="21">
        <v>206620</v>
      </c>
      <c r="L6" s="21">
        <f>H6-189120</f>
        <v>76880</v>
      </c>
      <c r="M6" s="21">
        <v>17500</v>
      </c>
      <c r="N6" s="123">
        <f t="shared" si="1"/>
        <v>6.5789473684210523E-2</v>
      </c>
      <c r="O6" s="25">
        <f t="shared" si="2"/>
        <v>53200</v>
      </c>
      <c r="P6" s="27" t="s">
        <v>1733</v>
      </c>
      <c r="Q6" s="19" t="s">
        <v>1252</v>
      </c>
      <c r="R6" s="19" t="s">
        <v>43</v>
      </c>
      <c r="S6" s="19" t="s">
        <v>38</v>
      </c>
      <c r="T6" s="19" t="s">
        <v>1734</v>
      </c>
    </row>
    <row r="7" spans="1:20" x14ac:dyDescent="0.3">
      <c r="A7" s="75" t="s">
        <v>1252</v>
      </c>
      <c r="B7" s="19" t="s">
        <v>1742</v>
      </c>
      <c r="C7" s="19" t="s">
        <v>1743</v>
      </c>
      <c r="D7" s="20">
        <v>45093</v>
      </c>
      <c r="E7" s="21">
        <v>196000</v>
      </c>
      <c r="F7" s="19" t="s">
        <v>32</v>
      </c>
      <c r="G7" s="19" t="s">
        <v>33</v>
      </c>
      <c r="H7" s="21">
        <v>196000</v>
      </c>
      <c r="I7" s="21">
        <v>83100</v>
      </c>
      <c r="J7" s="22">
        <f t="shared" si="0"/>
        <v>42.397959183673464</v>
      </c>
      <c r="K7" s="21">
        <v>217478</v>
      </c>
      <c r="L7" s="21">
        <f>H7-199978</f>
        <v>-3978</v>
      </c>
      <c r="M7" s="21">
        <v>17500</v>
      </c>
      <c r="N7" s="123">
        <f t="shared" si="1"/>
        <v>8.9285714285714288E-2</v>
      </c>
      <c r="O7" s="25">
        <f t="shared" si="2"/>
        <v>39200</v>
      </c>
      <c r="P7" s="27" t="s">
        <v>1733</v>
      </c>
      <c r="Q7" s="19" t="s">
        <v>1252</v>
      </c>
      <c r="R7" s="19" t="s">
        <v>43</v>
      </c>
      <c r="S7" s="19" t="s">
        <v>38</v>
      </c>
      <c r="T7" s="19" t="s">
        <v>1734</v>
      </c>
    </row>
    <row r="8" spans="1:20" x14ac:dyDescent="0.3">
      <c r="A8" s="74" t="s">
        <v>1252</v>
      </c>
      <c r="B8" s="10" t="s">
        <v>1744</v>
      </c>
      <c r="C8" s="10" t="s">
        <v>1745</v>
      </c>
      <c r="D8" s="11">
        <v>45447</v>
      </c>
      <c r="E8" s="12">
        <v>235000</v>
      </c>
      <c r="F8" s="10" t="s">
        <v>32</v>
      </c>
      <c r="G8" s="10" t="s">
        <v>33</v>
      </c>
      <c r="H8" s="12">
        <v>235000</v>
      </c>
      <c r="I8" s="12">
        <v>92900</v>
      </c>
      <c r="J8" s="13">
        <f t="shared" si="0"/>
        <v>39.531914893617021</v>
      </c>
      <c r="K8" s="12">
        <v>224119</v>
      </c>
      <c r="L8" s="12">
        <f>H8-206619</f>
        <v>28381</v>
      </c>
      <c r="M8" s="12">
        <v>17500</v>
      </c>
      <c r="N8" s="112">
        <f t="shared" si="1"/>
        <v>7.4468085106382975E-2</v>
      </c>
      <c r="O8" s="16">
        <f t="shared" si="2"/>
        <v>47000</v>
      </c>
      <c r="P8" s="18" t="s">
        <v>1733</v>
      </c>
      <c r="Q8" s="10" t="s">
        <v>1252</v>
      </c>
      <c r="R8" s="10" t="s">
        <v>43</v>
      </c>
      <c r="S8" s="10" t="s">
        <v>38</v>
      </c>
      <c r="T8" s="10" t="s">
        <v>1734</v>
      </c>
    </row>
    <row r="9" spans="1:20" x14ac:dyDescent="0.3">
      <c r="A9" s="74" t="s">
        <v>1252</v>
      </c>
      <c r="B9" s="10" t="s">
        <v>1746</v>
      </c>
      <c r="C9" s="10" t="s">
        <v>1747</v>
      </c>
      <c r="D9" s="11">
        <v>45174</v>
      </c>
      <c r="E9" s="12">
        <v>200000</v>
      </c>
      <c r="F9" s="10" t="s">
        <v>32</v>
      </c>
      <c r="G9" s="10" t="s">
        <v>33</v>
      </c>
      <c r="H9" s="12">
        <v>200000</v>
      </c>
      <c r="I9" s="12">
        <v>88500</v>
      </c>
      <c r="J9" s="13">
        <f t="shared" si="0"/>
        <v>44.25</v>
      </c>
      <c r="K9" s="12">
        <v>231800</v>
      </c>
      <c r="L9" s="12">
        <f>H9-214300</f>
        <v>-14300</v>
      </c>
      <c r="M9" s="12">
        <v>17500</v>
      </c>
      <c r="N9" s="112">
        <f t="shared" si="1"/>
        <v>8.7499999999999994E-2</v>
      </c>
      <c r="O9" s="16">
        <f t="shared" si="2"/>
        <v>40000</v>
      </c>
      <c r="P9" s="18" t="s">
        <v>1733</v>
      </c>
      <c r="Q9" s="10" t="s">
        <v>1252</v>
      </c>
      <c r="R9" s="10" t="s">
        <v>43</v>
      </c>
      <c r="S9" s="10" t="s">
        <v>38</v>
      </c>
      <c r="T9" s="10" t="s">
        <v>1734</v>
      </c>
    </row>
    <row r="10" spans="1:20" x14ac:dyDescent="0.3">
      <c r="A10" s="75" t="s">
        <v>1252</v>
      </c>
      <c r="B10" s="19" t="s">
        <v>1748</v>
      </c>
      <c r="C10" s="19" t="s">
        <v>1749</v>
      </c>
      <c r="D10" s="20">
        <v>45265</v>
      </c>
      <c r="E10" s="21">
        <v>184267</v>
      </c>
      <c r="F10" s="19" t="s">
        <v>32</v>
      </c>
      <c r="G10" s="19" t="s">
        <v>33</v>
      </c>
      <c r="H10" s="21">
        <v>184267</v>
      </c>
      <c r="I10" s="21">
        <v>84000</v>
      </c>
      <c r="J10" s="22">
        <f t="shared" si="0"/>
        <v>45.586024627307111</v>
      </c>
      <c r="K10" s="21">
        <v>220019</v>
      </c>
      <c r="L10" s="21">
        <f>H10-202519</f>
        <v>-18252</v>
      </c>
      <c r="M10" s="21">
        <v>17500</v>
      </c>
      <c r="N10" s="123">
        <f t="shared" si="1"/>
        <v>9.4970884640223158E-2</v>
      </c>
      <c r="O10" s="25">
        <f t="shared" si="2"/>
        <v>36853.4</v>
      </c>
      <c r="P10" s="27" t="s">
        <v>1733</v>
      </c>
      <c r="Q10" s="19" t="s">
        <v>1252</v>
      </c>
      <c r="R10" s="19" t="s">
        <v>43</v>
      </c>
      <c r="S10" s="19" t="s">
        <v>38</v>
      </c>
      <c r="T10" s="19" t="s">
        <v>1734</v>
      </c>
    </row>
    <row r="11" spans="1:20" x14ac:dyDescent="0.3">
      <c r="A11" s="75" t="s">
        <v>1252</v>
      </c>
      <c r="B11" s="19" t="s">
        <v>1750</v>
      </c>
      <c r="C11" s="19" t="s">
        <v>1751</v>
      </c>
      <c r="D11" s="20">
        <v>45077</v>
      </c>
      <c r="E11" s="21">
        <v>230000</v>
      </c>
      <c r="F11" s="19" t="s">
        <v>32</v>
      </c>
      <c r="G11" s="19" t="s">
        <v>33</v>
      </c>
      <c r="H11" s="21">
        <v>230000</v>
      </c>
      <c r="I11" s="21">
        <v>86900</v>
      </c>
      <c r="J11" s="22">
        <f t="shared" si="0"/>
        <v>37.782608695652172</v>
      </c>
      <c r="K11" s="21">
        <v>227301</v>
      </c>
      <c r="L11" s="21">
        <f>H11-209801</f>
        <v>20199</v>
      </c>
      <c r="M11" s="21">
        <v>17500</v>
      </c>
      <c r="N11" s="123">
        <f t="shared" si="1"/>
        <v>7.6086956521739135E-2</v>
      </c>
      <c r="O11" s="25">
        <f t="shared" si="2"/>
        <v>46000</v>
      </c>
      <c r="P11" s="27" t="s">
        <v>1733</v>
      </c>
      <c r="Q11" s="19" t="s">
        <v>1252</v>
      </c>
      <c r="R11" s="19" t="s">
        <v>43</v>
      </c>
      <c r="S11" s="19" t="s">
        <v>38</v>
      </c>
      <c r="T11" s="19" t="s">
        <v>1734</v>
      </c>
    </row>
    <row r="12" spans="1:20" ht="15" thickBot="1" x14ac:dyDescent="0.35">
      <c r="A12" s="74" t="s">
        <v>1252</v>
      </c>
      <c r="B12" s="10" t="s">
        <v>1752</v>
      </c>
      <c r="C12" s="10" t="s">
        <v>1753</v>
      </c>
      <c r="D12" s="11">
        <v>45674</v>
      </c>
      <c r="E12" s="12">
        <v>235000</v>
      </c>
      <c r="F12" s="10" t="s">
        <v>32</v>
      </c>
      <c r="G12" s="10" t="s">
        <v>33</v>
      </c>
      <c r="H12" s="12">
        <v>235000</v>
      </c>
      <c r="I12" s="12">
        <v>93200</v>
      </c>
      <c r="J12" s="13">
        <f t="shared" si="0"/>
        <v>39.659574468085104</v>
      </c>
      <c r="K12" s="12">
        <v>224939</v>
      </c>
      <c r="L12" s="12">
        <f>H12-207439</f>
        <v>27561</v>
      </c>
      <c r="M12" s="12">
        <v>17500</v>
      </c>
      <c r="N12" s="112">
        <f t="shared" si="1"/>
        <v>7.4468085106382975E-2</v>
      </c>
      <c r="O12" s="16">
        <f t="shared" si="2"/>
        <v>47000</v>
      </c>
      <c r="P12" s="18" t="s">
        <v>1733</v>
      </c>
      <c r="Q12" s="10" t="s">
        <v>1252</v>
      </c>
      <c r="R12" s="10" t="s">
        <v>35</v>
      </c>
      <c r="S12" s="10" t="s">
        <v>38</v>
      </c>
      <c r="T12" s="10" t="s">
        <v>1734</v>
      </c>
    </row>
    <row r="13" spans="1:20" ht="15" thickTop="1" x14ac:dyDescent="0.3">
      <c r="A13" s="76"/>
      <c r="B13" s="37"/>
      <c r="C13" s="37"/>
      <c r="D13" s="38" t="s">
        <v>2876</v>
      </c>
      <c r="E13" s="39">
        <f>+SUM(E3:E12)</f>
        <v>2286267</v>
      </c>
      <c r="F13" s="37"/>
      <c r="G13" s="37"/>
      <c r="H13" s="39">
        <f>+SUM(H3:H12)</f>
        <v>2286267</v>
      </c>
      <c r="I13" s="39">
        <f>+SUM(I3:I12)</f>
        <v>885000</v>
      </c>
      <c r="J13" s="40"/>
      <c r="K13" s="39">
        <f>+SUM(K3:K12)</f>
        <v>2238108</v>
      </c>
      <c r="L13" s="39">
        <f>+SUM(L3:L12)</f>
        <v>223159</v>
      </c>
      <c r="M13" s="39">
        <f>+SUM(M3:M12)</f>
        <v>175000</v>
      </c>
      <c r="N13" s="134">
        <f>AVERAGE(N3:N12)</f>
        <v>7.7659036336581708E-2</v>
      </c>
      <c r="O13" s="139">
        <f>AVERAGE(O3:O12)</f>
        <v>45725.340000000004</v>
      </c>
      <c r="P13" s="45"/>
      <c r="Q13" s="37"/>
      <c r="R13" s="37"/>
      <c r="S13" s="37"/>
      <c r="T13" s="37"/>
    </row>
    <row r="14" spans="1:20" x14ac:dyDescent="0.3">
      <c r="A14" s="77"/>
      <c r="B14" s="28"/>
      <c r="C14" s="28"/>
      <c r="D14" s="29"/>
      <c r="E14" s="30"/>
      <c r="F14" s="28"/>
      <c r="G14" s="28"/>
      <c r="H14" s="30"/>
      <c r="I14" s="30" t="s">
        <v>2877</v>
      </c>
      <c r="J14" s="31">
        <f>I13/H13*100</f>
        <v>38.709389585730804</v>
      </c>
      <c r="K14" s="30"/>
      <c r="L14" s="30"/>
      <c r="M14" s="30" t="s">
        <v>2879</v>
      </c>
      <c r="N14" s="79"/>
      <c r="O14" s="152"/>
      <c r="P14" s="36"/>
      <c r="Q14" s="28"/>
      <c r="R14" s="28"/>
      <c r="S14" s="28"/>
      <c r="T14" s="28"/>
    </row>
    <row r="15" spans="1:20" x14ac:dyDescent="0.3">
      <c r="A15" s="188" t="s">
        <v>3110</v>
      </c>
      <c r="B15" s="188"/>
      <c r="C15" s="189" t="s">
        <v>3111</v>
      </c>
      <c r="D15" s="47"/>
      <c r="E15" s="48"/>
      <c r="F15" s="46"/>
      <c r="G15" s="46"/>
      <c r="H15" s="48"/>
      <c r="I15" s="48" t="s">
        <v>2878</v>
      </c>
      <c r="J15" s="49">
        <f>STDEV(J3:J12)</f>
        <v>4.4624038827374219</v>
      </c>
      <c r="K15" s="48"/>
      <c r="L15" s="48"/>
      <c r="M15" s="48" t="s">
        <v>2880</v>
      </c>
      <c r="N15" s="80"/>
      <c r="O15" s="165"/>
      <c r="P15" s="53"/>
      <c r="Q15" s="46"/>
      <c r="R15" s="46"/>
      <c r="S15" s="46"/>
      <c r="T15" s="46"/>
    </row>
    <row r="16" spans="1:20" x14ac:dyDescent="0.3">
      <c r="D16" s="190" t="s">
        <v>3112</v>
      </c>
      <c r="E16" s="191">
        <f>AVERAGE(E3:E12)</f>
        <v>228626.7</v>
      </c>
    </row>
    <row r="17" spans="1:22" x14ac:dyDescent="0.3">
      <c r="D17" s="190"/>
      <c r="E17" s="192">
        <v>0.2</v>
      </c>
    </row>
    <row r="18" spans="1:22" x14ac:dyDescent="0.3">
      <c r="D18" s="190"/>
      <c r="E18" s="193">
        <f>E16*0.2</f>
        <v>45725.340000000004</v>
      </c>
    </row>
    <row r="20" spans="1:22" x14ac:dyDescent="0.3">
      <c r="A20" s="187" t="s">
        <v>3113</v>
      </c>
    </row>
    <row r="21" spans="1:22" x14ac:dyDescent="0.3">
      <c r="A21" s="1" t="s">
        <v>23</v>
      </c>
      <c r="B21" s="1" t="s">
        <v>0</v>
      </c>
      <c r="C21" s="1" t="s">
        <v>1</v>
      </c>
      <c r="D21" s="2" t="s">
        <v>2</v>
      </c>
      <c r="E21" s="3" t="s">
        <v>3</v>
      </c>
      <c r="F21" s="1" t="s">
        <v>4</v>
      </c>
      <c r="G21" s="1" t="s">
        <v>5</v>
      </c>
      <c r="H21" s="3" t="s">
        <v>6</v>
      </c>
      <c r="I21" s="3" t="s">
        <v>7</v>
      </c>
      <c r="J21" s="4" t="s">
        <v>8</v>
      </c>
      <c r="K21" s="3" t="s">
        <v>9</v>
      </c>
      <c r="L21" s="3" t="s">
        <v>10</v>
      </c>
      <c r="M21" s="3" t="s">
        <v>11</v>
      </c>
      <c r="N21" s="339" t="s">
        <v>3066</v>
      </c>
      <c r="O21" s="338" t="s">
        <v>3069</v>
      </c>
      <c r="P21" s="9" t="s">
        <v>20</v>
      </c>
      <c r="Q21" s="1" t="s">
        <v>23</v>
      </c>
      <c r="R21" s="1" t="s">
        <v>27</v>
      </c>
      <c r="S21" s="1" t="s">
        <v>28</v>
      </c>
      <c r="T21" s="1" t="s">
        <v>29</v>
      </c>
    </row>
    <row r="22" spans="1:22" ht="15" thickBot="1" x14ac:dyDescent="0.35">
      <c r="A22" s="75" t="s">
        <v>1252</v>
      </c>
      <c r="B22" s="19" t="s">
        <v>1249</v>
      </c>
      <c r="C22" s="19" t="s">
        <v>1250</v>
      </c>
      <c r="D22" s="20">
        <v>45212</v>
      </c>
      <c r="E22" s="21">
        <v>231000</v>
      </c>
      <c r="F22" s="19" t="s">
        <v>32</v>
      </c>
      <c r="G22" s="19" t="s">
        <v>33</v>
      </c>
      <c r="H22" s="21">
        <v>231000</v>
      </c>
      <c r="I22" s="21">
        <v>92900</v>
      </c>
      <c r="J22" s="22">
        <f t="shared" ref="J22" si="3">I22/H22*100</f>
        <v>40.21645021645022</v>
      </c>
      <c r="K22" s="21">
        <v>247831</v>
      </c>
      <c r="L22" s="21">
        <f>H22-227831</f>
        <v>3169</v>
      </c>
      <c r="M22" s="21">
        <v>20000</v>
      </c>
      <c r="N22" s="123">
        <f t="shared" ref="N22" si="4">M22/E22</f>
        <v>8.6580086580086577E-2</v>
      </c>
      <c r="O22" s="25">
        <f t="shared" ref="O22" si="5">0.2*E22</f>
        <v>46200</v>
      </c>
      <c r="P22" s="27" t="s">
        <v>1251</v>
      </c>
      <c r="Q22" s="19" t="s">
        <v>1252</v>
      </c>
      <c r="R22" s="19" t="s">
        <v>43</v>
      </c>
      <c r="S22" s="19" t="s">
        <v>38</v>
      </c>
      <c r="T22" s="19" t="s">
        <v>1253</v>
      </c>
    </row>
    <row r="23" spans="1:22" ht="15" thickTop="1" x14ac:dyDescent="0.3">
      <c r="A23" s="76"/>
      <c r="B23" s="37"/>
      <c r="C23" s="37"/>
      <c r="D23" s="38" t="s">
        <v>2876</v>
      </c>
      <c r="E23" s="39">
        <f>+SUM(E22:E22)</f>
        <v>231000</v>
      </c>
      <c r="F23" s="37"/>
      <c r="G23" s="37"/>
      <c r="H23" s="39">
        <f>+SUM(H22:H22)</f>
        <v>231000</v>
      </c>
      <c r="I23" s="39">
        <f>+SUM(I22:I22)</f>
        <v>92900</v>
      </c>
      <c r="J23" s="40"/>
      <c r="K23" s="39">
        <f>+SUM(K22:K22)</f>
        <v>247831</v>
      </c>
      <c r="L23" s="39">
        <f>+SUM(L22:L22)</f>
        <v>3169</v>
      </c>
      <c r="M23" s="39">
        <f>+SUM(M22:M22)</f>
        <v>20000</v>
      </c>
      <c r="N23" s="134">
        <f>AVERAGE(N22:N22)</f>
        <v>8.6580086580086577E-2</v>
      </c>
      <c r="O23" s="139">
        <f>AVERAGE(O22:O22)</f>
        <v>46200</v>
      </c>
      <c r="P23" s="45"/>
      <c r="Q23" s="37"/>
      <c r="R23" s="37"/>
      <c r="S23" s="37"/>
      <c r="T23" s="37"/>
    </row>
    <row r="24" spans="1:22" x14ac:dyDescent="0.3">
      <c r="A24" s="77"/>
      <c r="B24" s="28"/>
      <c r="C24" s="28" t="s">
        <v>3114</v>
      </c>
      <c r="D24" s="29"/>
      <c r="E24" s="30"/>
      <c r="F24" s="28"/>
      <c r="G24" s="28"/>
      <c r="H24" s="30"/>
      <c r="I24" s="30" t="s">
        <v>2877</v>
      </c>
      <c r="J24" s="31">
        <f>I23/H23*100</f>
        <v>40.21645021645022</v>
      </c>
      <c r="K24" s="30"/>
      <c r="L24" s="30"/>
      <c r="M24" s="30" t="s">
        <v>2879</v>
      </c>
      <c r="N24" s="79"/>
      <c r="O24" s="152"/>
      <c r="P24" s="36"/>
      <c r="Q24" s="28"/>
      <c r="R24" s="28"/>
      <c r="S24" s="28"/>
      <c r="T24" s="28"/>
    </row>
    <row r="25" spans="1:22" x14ac:dyDescent="0.3">
      <c r="A25" s="188" t="s">
        <v>3115</v>
      </c>
      <c r="B25" s="188"/>
      <c r="C25" s="189" t="s">
        <v>3116</v>
      </c>
      <c r="D25" s="47"/>
      <c r="E25" s="48"/>
      <c r="F25" s="46"/>
      <c r="G25" s="46"/>
      <c r="H25" s="48"/>
      <c r="I25" s="48" t="s">
        <v>2878</v>
      </c>
      <c r="J25" s="49" t="e">
        <f>STDEV(J22:J22)</f>
        <v>#DIV/0!</v>
      </c>
      <c r="K25" s="48"/>
      <c r="L25" s="48"/>
      <c r="M25" s="48" t="s">
        <v>2880</v>
      </c>
      <c r="N25" s="80"/>
      <c r="O25" s="165"/>
      <c r="P25" s="53"/>
      <c r="Q25" s="46"/>
      <c r="R25" s="46"/>
      <c r="S25" s="46"/>
      <c r="T25" s="46"/>
    </row>
    <row r="26" spans="1:22" x14ac:dyDescent="0.3">
      <c r="D26" s="190" t="s">
        <v>3112</v>
      </c>
      <c r="E26" s="191">
        <f>AVERAGE(E22)</f>
        <v>231000</v>
      </c>
    </row>
    <row r="27" spans="1:22" x14ac:dyDescent="0.3">
      <c r="D27" s="190"/>
      <c r="E27" s="192">
        <v>0.2</v>
      </c>
    </row>
    <row r="28" spans="1:22" x14ac:dyDescent="0.3">
      <c r="D28" s="190"/>
      <c r="E28" s="193">
        <f>E26*0.2</f>
        <v>46200</v>
      </c>
    </row>
    <row r="29" spans="1:22" ht="15" thickBot="1" x14ac:dyDescent="0.35"/>
    <row r="30" spans="1:22" x14ac:dyDescent="0.3">
      <c r="A30" s="194" t="s">
        <v>3117</v>
      </c>
      <c r="B30" s="195"/>
      <c r="C30" s="195"/>
      <c r="D30" s="196"/>
    </row>
    <row r="31" spans="1:22" x14ac:dyDescent="0.3">
      <c r="A31" s="197" t="s">
        <v>3072</v>
      </c>
      <c r="B31" s="28"/>
      <c r="C31" s="198" t="s">
        <v>3118</v>
      </c>
      <c r="D31" s="199"/>
      <c r="E31" s="30"/>
      <c r="F31" s="28"/>
      <c r="G31" s="28"/>
      <c r="H31" s="30"/>
      <c r="I31" s="30"/>
      <c r="J31" s="31"/>
      <c r="K31" s="30"/>
      <c r="L31" s="30"/>
      <c r="M31" s="30"/>
      <c r="N31" s="79"/>
      <c r="O31" s="152"/>
      <c r="P31" s="36"/>
      <c r="Q31" s="28"/>
      <c r="R31" s="28"/>
      <c r="S31" s="28"/>
      <c r="T31" s="28"/>
    </row>
    <row r="32" spans="1:22" ht="15" thickBot="1" x14ac:dyDescent="0.35">
      <c r="A32" s="200" t="s">
        <v>3119</v>
      </c>
      <c r="B32" s="201"/>
      <c r="C32" s="202" t="s">
        <v>3116</v>
      </c>
      <c r="D32" s="353" t="s">
        <v>3120</v>
      </c>
      <c r="E32" s="30"/>
      <c r="F32" s="28"/>
      <c r="G32" s="28"/>
      <c r="H32" s="30"/>
      <c r="I32" s="30"/>
      <c r="J32" s="31"/>
      <c r="K32" s="30"/>
      <c r="L32" s="30"/>
      <c r="M32" s="30"/>
      <c r="N32" s="79"/>
      <c r="O32" s="152"/>
      <c r="P32" s="36"/>
      <c r="Q32" s="28"/>
      <c r="R32" s="28"/>
      <c r="S32" s="28"/>
      <c r="T32" s="28"/>
      <c r="U32" s="203"/>
      <c r="V32" s="203"/>
    </row>
    <row r="33" spans="1:22" x14ac:dyDescent="0.3">
      <c r="D33" s="204"/>
      <c r="E33" s="205"/>
      <c r="F33" s="203"/>
      <c r="G33" s="203"/>
      <c r="H33" s="203"/>
      <c r="I33" s="203"/>
      <c r="J33" s="203"/>
      <c r="K33" s="203"/>
      <c r="L33" s="203"/>
      <c r="M33" s="203"/>
      <c r="N33" s="206"/>
      <c r="O33" s="207"/>
      <c r="P33" s="203"/>
      <c r="Q33" s="203"/>
      <c r="R33" s="203"/>
      <c r="S33" s="203"/>
      <c r="T33" s="203"/>
      <c r="U33" s="203"/>
      <c r="V33" s="203"/>
    </row>
    <row r="34" spans="1:22" x14ac:dyDescent="0.3">
      <c r="D34" s="204"/>
      <c r="E34" s="208"/>
      <c r="F34" s="203"/>
      <c r="G34" s="203"/>
      <c r="H34" s="203"/>
      <c r="I34" s="203"/>
      <c r="J34" s="203"/>
      <c r="K34" s="203"/>
      <c r="L34" s="203"/>
      <c r="M34" s="203"/>
      <c r="N34" s="206"/>
      <c r="O34" s="207"/>
      <c r="P34" s="203"/>
      <c r="Q34" s="203"/>
      <c r="R34" s="203"/>
      <c r="S34" s="203"/>
      <c r="T34" s="203"/>
      <c r="U34" s="203"/>
      <c r="V34" s="203"/>
    </row>
    <row r="35" spans="1:22" x14ac:dyDescent="0.3">
      <c r="A35" s="359" t="s">
        <v>3121</v>
      </c>
      <c r="B35" s="209"/>
      <c r="C35" s="209"/>
      <c r="D35" s="360" t="s">
        <v>3122</v>
      </c>
      <c r="E35" s="210"/>
    </row>
    <row r="38" spans="1:22" x14ac:dyDescent="0.3">
      <c r="A38" s="211" t="s">
        <v>3123</v>
      </c>
    </row>
    <row r="39" spans="1:22" x14ac:dyDescent="0.3">
      <c r="A39" s="1" t="s">
        <v>23</v>
      </c>
      <c r="B39" s="1" t="s">
        <v>0</v>
      </c>
      <c r="C39" s="1" t="s">
        <v>1</v>
      </c>
      <c r="D39" s="2" t="s">
        <v>2</v>
      </c>
      <c r="E39" s="3" t="s">
        <v>3</v>
      </c>
      <c r="F39" s="1" t="s">
        <v>4</v>
      </c>
      <c r="G39" s="1" t="s">
        <v>5</v>
      </c>
      <c r="H39" s="3" t="s">
        <v>6</v>
      </c>
      <c r="I39" s="3" t="s">
        <v>7</v>
      </c>
      <c r="J39" s="4" t="s">
        <v>8</v>
      </c>
      <c r="K39" s="3" t="s">
        <v>9</v>
      </c>
      <c r="L39" s="3" t="s">
        <v>10</v>
      </c>
      <c r="M39" s="3" t="s">
        <v>11</v>
      </c>
      <c r="N39" s="339" t="s">
        <v>3066</v>
      </c>
      <c r="O39" s="338" t="s">
        <v>3069</v>
      </c>
      <c r="P39" s="9" t="s">
        <v>20</v>
      </c>
      <c r="Q39" s="1" t="s">
        <v>23</v>
      </c>
      <c r="R39" s="1" t="s">
        <v>27</v>
      </c>
      <c r="S39" s="1" t="s">
        <v>28</v>
      </c>
      <c r="T39" s="1" t="s">
        <v>29</v>
      </c>
    </row>
    <row r="40" spans="1:22" x14ac:dyDescent="0.3">
      <c r="A40" s="74" t="s">
        <v>1252</v>
      </c>
      <c r="B40" s="10" t="s">
        <v>1715</v>
      </c>
      <c r="C40" s="10" t="s">
        <v>1716</v>
      </c>
      <c r="D40" s="11">
        <v>45247</v>
      </c>
      <c r="E40" s="12">
        <v>140000</v>
      </c>
      <c r="F40" s="10" t="s">
        <v>32</v>
      </c>
      <c r="G40" s="10" t="s">
        <v>33</v>
      </c>
      <c r="H40" s="12">
        <v>140000</v>
      </c>
      <c r="I40" s="12">
        <v>53400</v>
      </c>
      <c r="J40" s="13">
        <f t="shared" ref="J40:J46" si="6">I40/H40*100</f>
        <v>38.142857142857146</v>
      </c>
      <c r="K40" s="12">
        <v>145317</v>
      </c>
      <c r="L40" s="12">
        <f>H40-135317</f>
        <v>4683</v>
      </c>
      <c r="M40" s="12">
        <v>10000</v>
      </c>
      <c r="N40" s="112">
        <f t="shared" ref="N40:N46" si="7">M40/E40</f>
        <v>7.1428571428571425E-2</v>
      </c>
      <c r="O40" s="16">
        <f t="shared" ref="O40:O46" si="8">0.2*E40</f>
        <v>28000</v>
      </c>
      <c r="P40" s="18" t="s">
        <v>1717</v>
      </c>
      <c r="Q40" s="10" t="s">
        <v>1252</v>
      </c>
      <c r="R40" s="10" t="s">
        <v>43</v>
      </c>
      <c r="S40" s="10" t="s">
        <v>38</v>
      </c>
      <c r="T40" s="10" t="s">
        <v>1718</v>
      </c>
    </row>
    <row r="41" spans="1:22" x14ac:dyDescent="0.3">
      <c r="A41" s="74" t="s">
        <v>1252</v>
      </c>
      <c r="B41" s="10" t="s">
        <v>1719</v>
      </c>
      <c r="C41" s="10" t="s">
        <v>1720</v>
      </c>
      <c r="D41" s="11">
        <v>45308</v>
      </c>
      <c r="E41" s="12">
        <v>145000</v>
      </c>
      <c r="F41" s="10" t="s">
        <v>32</v>
      </c>
      <c r="G41" s="10" t="s">
        <v>33</v>
      </c>
      <c r="H41" s="12">
        <v>145000</v>
      </c>
      <c r="I41" s="12">
        <v>56100</v>
      </c>
      <c r="J41" s="13">
        <f t="shared" si="6"/>
        <v>38.689655172413794</v>
      </c>
      <c r="K41" s="12">
        <v>152736</v>
      </c>
      <c r="L41" s="12">
        <f>H41-142736</f>
        <v>2264</v>
      </c>
      <c r="M41" s="12">
        <v>10000</v>
      </c>
      <c r="N41" s="112">
        <f t="shared" si="7"/>
        <v>6.8965517241379309E-2</v>
      </c>
      <c r="O41" s="16">
        <f t="shared" si="8"/>
        <v>29000</v>
      </c>
      <c r="P41" s="18" t="s">
        <v>1717</v>
      </c>
      <c r="Q41" s="10" t="s">
        <v>1252</v>
      </c>
      <c r="R41" s="10" t="s">
        <v>43</v>
      </c>
      <c r="S41" s="10" t="s">
        <v>38</v>
      </c>
      <c r="T41" s="10" t="s">
        <v>1718</v>
      </c>
    </row>
    <row r="42" spans="1:22" x14ac:dyDescent="0.3">
      <c r="A42" s="75" t="s">
        <v>1252</v>
      </c>
      <c r="B42" s="19" t="s">
        <v>1721</v>
      </c>
      <c r="C42" s="19" t="s">
        <v>1722</v>
      </c>
      <c r="D42" s="20">
        <v>45218</v>
      </c>
      <c r="E42" s="21">
        <v>143000</v>
      </c>
      <c r="F42" s="19" t="s">
        <v>32</v>
      </c>
      <c r="G42" s="19" t="s">
        <v>33</v>
      </c>
      <c r="H42" s="21">
        <v>143000</v>
      </c>
      <c r="I42" s="21">
        <v>55400</v>
      </c>
      <c r="J42" s="22">
        <f t="shared" si="6"/>
        <v>38.741258741258747</v>
      </c>
      <c r="K42" s="21">
        <v>150833</v>
      </c>
      <c r="L42" s="21">
        <f>H42-140833</f>
        <v>2167</v>
      </c>
      <c r="M42" s="21">
        <v>10000</v>
      </c>
      <c r="N42" s="123">
        <f t="shared" si="7"/>
        <v>6.9930069930069935E-2</v>
      </c>
      <c r="O42" s="25">
        <f t="shared" si="8"/>
        <v>28600</v>
      </c>
      <c r="P42" s="27" t="s">
        <v>1717</v>
      </c>
      <c r="Q42" s="19" t="s">
        <v>1252</v>
      </c>
      <c r="R42" s="19" t="s">
        <v>43</v>
      </c>
      <c r="S42" s="19" t="s">
        <v>38</v>
      </c>
      <c r="T42" s="19" t="s">
        <v>1718</v>
      </c>
    </row>
    <row r="43" spans="1:22" x14ac:dyDescent="0.3">
      <c r="A43" s="75" t="s">
        <v>1252</v>
      </c>
      <c r="B43" s="19" t="s">
        <v>1723</v>
      </c>
      <c r="C43" s="19" t="s">
        <v>1724</v>
      </c>
      <c r="D43" s="20">
        <v>45576</v>
      </c>
      <c r="E43" s="21">
        <v>143000</v>
      </c>
      <c r="F43" s="19" t="s">
        <v>32</v>
      </c>
      <c r="G43" s="19" t="s">
        <v>33</v>
      </c>
      <c r="H43" s="21">
        <v>143000</v>
      </c>
      <c r="I43" s="21">
        <v>63300</v>
      </c>
      <c r="J43" s="22">
        <f t="shared" si="6"/>
        <v>44.265734265734267</v>
      </c>
      <c r="K43" s="21">
        <v>152758</v>
      </c>
      <c r="L43" s="21">
        <f>H43-142758</f>
        <v>242</v>
      </c>
      <c r="M43" s="21">
        <v>10000</v>
      </c>
      <c r="N43" s="123">
        <f t="shared" si="7"/>
        <v>6.9930069930069935E-2</v>
      </c>
      <c r="O43" s="25">
        <f t="shared" si="8"/>
        <v>28600</v>
      </c>
      <c r="P43" s="27" t="s">
        <v>1717</v>
      </c>
      <c r="Q43" s="19" t="s">
        <v>1252</v>
      </c>
      <c r="R43" s="19" t="s">
        <v>35</v>
      </c>
      <c r="S43" s="19" t="s">
        <v>38</v>
      </c>
      <c r="T43" s="19" t="s">
        <v>1718</v>
      </c>
    </row>
    <row r="44" spans="1:22" x14ac:dyDescent="0.3">
      <c r="A44" s="74" t="s">
        <v>1252</v>
      </c>
      <c r="B44" s="10" t="s">
        <v>1725</v>
      </c>
      <c r="C44" s="10" t="s">
        <v>1726</v>
      </c>
      <c r="D44" s="11">
        <v>45177</v>
      </c>
      <c r="E44" s="12">
        <v>145000</v>
      </c>
      <c r="F44" s="10" t="s">
        <v>32</v>
      </c>
      <c r="G44" s="10" t="s">
        <v>33</v>
      </c>
      <c r="H44" s="12">
        <v>145000</v>
      </c>
      <c r="I44" s="12">
        <v>53400</v>
      </c>
      <c r="J44" s="13">
        <f t="shared" si="6"/>
        <v>36.827586206896548</v>
      </c>
      <c r="K44" s="12">
        <v>145317</v>
      </c>
      <c r="L44" s="12">
        <f>H44-135317</f>
        <v>9683</v>
      </c>
      <c r="M44" s="12">
        <v>10000</v>
      </c>
      <c r="N44" s="112">
        <f t="shared" si="7"/>
        <v>6.8965517241379309E-2</v>
      </c>
      <c r="O44" s="16">
        <f t="shared" si="8"/>
        <v>29000</v>
      </c>
      <c r="P44" s="18" t="s">
        <v>1717</v>
      </c>
      <c r="Q44" s="10" t="s">
        <v>1252</v>
      </c>
      <c r="R44" s="10" t="s">
        <v>43</v>
      </c>
      <c r="S44" s="10" t="s">
        <v>38</v>
      </c>
      <c r="T44" s="10" t="s">
        <v>1718</v>
      </c>
    </row>
    <row r="45" spans="1:22" x14ac:dyDescent="0.3">
      <c r="A45" s="74" t="s">
        <v>1252</v>
      </c>
      <c r="B45" s="10" t="s">
        <v>1727</v>
      </c>
      <c r="C45" s="10" t="s">
        <v>1728</v>
      </c>
      <c r="D45" s="11">
        <v>45405</v>
      </c>
      <c r="E45" s="12">
        <v>160000</v>
      </c>
      <c r="F45" s="10" t="s">
        <v>32</v>
      </c>
      <c r="G45" s="10" t="s">
        <v>33</v>
      </c>
      <c r="H45" s="12">
        <v>160000</v>
      </c>
      <c r="I45" s="12">
        <v>62500</v>
      </c>
      <c r="J45" s="13">
        <f t="shared" si="6"/>
        <v>39.0625</v>
      </c>
      <c r="K45" s="12">
        <v>150833</v>
      </c>
      <c r="L45" s="12">
        <f>H45-140833</f>
        <v>19167</v>
      </c>
      <c r="M45" s="12">
        <v>10000</v>
      </c>
      <c r="N45" s="112">
        <f t="shared" si="7"/>
        <v>6.25E-2</v>
      </c>
      <c r="O45" s="16">
        <f t="shared" si="8"/>
        <v>32000</v>
      </c>
      <c r="P45" s="18" t="s">
        <v>1717</v>
      </c>
      <c r="Q45" s="10" t="s">
        <v>1252</v>
      </c>
      <c r="R45" s="10" t="s">
        <v>43</v>
      </c>
      <c r="S45" s="10" t="s">
        <v>38</v>
      </c>
      <c r="T45" s="10" t="s">
        <v>1718</v>
      </c>
    </row>
    <row r="46" spans="1:22" ht="15" thickBot="1" x14ac:dyDescent="0.35">
      <c r="A46" s="75" t="s">
        <v>1252</v>
      </c>
      <c r="B46" s="19" t="s">
        <v>1729</v>
      </c>
      <c r="C46" s="19" t="s">
        <v>1730</v>
      </c>
      <c r="D46" s="20">
        <v>45481</v>
      </c>
      <c r="E46" s="21">
        <v>130000</v>
      </c>
      <c r="F46" s="19" t="s">
        <v>81</v>
      </c>
      <c r="G46" s="19" t="s">
        <v>33</v>
      </c>
      <c r="H46" s="21">
        <v>130000</v>
      </c>
      <c r="I46" s="21">
        <v>52400</v>
      </c>
      <c r="J46" s="22">
        <f t="shared" si="6"/>
        <v>40.307692307692307</v>
      </c>
      <c r="K46" s="21">
        <v>132221</v>
      </c>
      <c r="L46" s="21">
        <f>H46-122221</f>
        <v>7779</v>
      </c>
      <c r="M46" s="21">
        <v>10000</v>
      </c>
      <c r="N46" s="123">
        <f t="shared" si="7"/>
        <v>7.6923076923076927E-2</v>
      </c>
      <c r="O46" s="25">
        <f t="shared" si="8"/>
        <v>26000</v>
      </c>
      <c r="P46" s="27" t="s">
        <v>1717</v>
      </c>
      <c r="Q46" s="19" t="s">
        <v>1252</v>
      </c>
      <c r="R46" s="19" t="s">
        <v>43</v>
      </c>
      <c r="S46" s="19" t="s">
        <v>38</v>
      </c>
      <c r="T46" s="19" t="s">
        <v>1718</v>
      </c>
    </row>
    <row r="47" spans="1:22" ht="15" thickTop="1" x14ac:dyDescent="0.3">
      <c r="A47" s="76"/>
      <c r="B47" s="37"/>
      <c r="C47" s="37"/>
      <c r="D47" s="38" t="s">
        <v>2876</v>
      </c>
      <c r="E47" s="39">
        <f>+SUM(E40:E46)</f>
        <v>1006000</v>
      </c>
      <c r="F47" s="37"/>
      <c r="G47" s="37"/>
      <c r="H47" s="39">
        <f>+SUM(H40:H46)</f>
        <v>1006000</v>
      </c>
      <c r="I47" s="39">
        <f>+SUM(I40:I46)</f>
        <v>396500</v>
      </c>
      <c r="J47" s="40"/>
      <c r="K47" s="39">
        <f>+SUM(K40:K46)</f>
        <v>1030015</v>
      </c>
      <c r="L47" s="39">
        <f>+SUM(L40:L46)</f>
        <v>45985</v>
      </c>
      <c r="M47" s="39">
        <f>+SUM(M40:M46)</f>
        <v>70000</v>
      </c>
      <c r="N47" s="134">
        <f>AVERAGE(N40:N46)</f>
        <v>6.9806117527792408E-2</v>
      </c>
      <c r="O47" s="139">
        <f>AVERAGE(O40:O46)</f>
        <v>28742.857142857141</v>
      </c>
      <c r="P47" s="45"/>
      <c r="Q47" s="37"/>
      <c r="R47" s="37"/>
      <c r="S47" s="37"/>
      <c r="T47" s="37"/>
    </row>
    <row r="48" spans="1:22" x14ac:dyDescent="0.3">
      <c r="A48" s="77"/>
      <c r="B48" s="28"/>
      <c r="C48" s="28"/>
      <c r="D48" s="29"/>
      <c r="E48" s="30"/>
      <c r="F48" s="28"/>
      <c r="G48" s="28"/>
      <c r="H48" s="30"/>
      <c r="I48" s="30" t="s">
        <v>2877</v>
      </c>
      <c r="J48" s="31">
        <f>I47/H47*100</f>
        <v>39.413518886679924</v>
      </c>
      <c r="K48" s="30"/>
      <c r="L48" s="30"/>
      <c r="M48" s="30" t="s">
        <v>2879</v>
      </c>
      <c r="N48" s="79"/>
      <c r="O48" s="152"/>
      <c r="P48" s="36"/>
      <c r="Q48" s="28"/>
      <c r="R48" s="28"/>
      <c r="S48" s="28"/>
      <c r="T48" s="28"/>
    </row>
    <row r="49" spans="1:20" x14ac:dyDescent="0.3">
      <c r="A49" s="188" t="s">
        <v>3124</v>
      </c>
      <c r="B49" s="188"/>
      <c r="C49" s="212" t="s">
        <v>3125</v>
      </c>
      <c r="D49" s="47"/>
      <c r="E49" s="48"/>
      <c r="F49" s="46"/>
      <c r="G49" s="46"/>
      <c r="H49" s="48"/>
      <c r="I49" s="48" t="s">
        <v>2878</v>
      </c>
      <c r="J49" s="49">
        <f>STDEV(J40:J46)</f>
        <v>2.3714056609343577</v>
      </c>
      <c r="K49" s="48"/>
      <c r="L49" s="48"/>
      <c r="M49" s="48" t="s">
        <v>2880</v>
      </c>
      <c r="N49" s="80"/>
      <c r="O49" s="165"/>
      <c r="P49" s="53"/>
      <c r="Q49" s="46"/>
      <c r="R49" s="46"/>
      <c r="S49" s="46"/>
      <c r="T49" s="46"/>
    </row>
    <row r="50" spans="1:20" x14ac:dyDescent="0.3">
      <c r="D50" s="190" t="s">
        <v>3112</v>
      </c>
      <c r="E50" s="191">
        <f>AVERAGE(E40:E46)</f>
        <v>143714.28571428571</v>
      </c>
    </row>
    <row r="51" spans="1:20" x14ac:dyDescent="0.3">
      <c r="D51" s="190"/>
      <c r="E51" s="192">
        <v>0.2</v>
      </c>
    </row>
    <row r="52" spans="1:20" x14ac:dyDescent="0.3">
      <c r="D52" s="190"/>
      <c r="E52" s="193">
        <f>0.2*E50</f>
        <v>28742.857142857145</v>
      </c>
    </row>
    <row r="53" spans="1:20" ht="15" thickBot="1" x14ac:dyDescent="0.35"/>
    <row r="54" spans="1:20" x14ac:dyDescent="0.3">
      <c r="A54" s="213" t="s">
        <v>3126</v>
      </c>
      <c r="B54" s="195"/>
      <c r="C54" s="195"/>
      <c r="D54" s="196"/>
    </row>
    <row r="55" spans="1:20" x14ac:dyDescent="0.3">
      <c r="A55" s="214" t="s">
        <v>3072</v>
      </c>
      <c r="B55" s="203"/>
      <c r="C55" s="203" t="s">
        <v>3127</v>
      </c>
      <c r="D55" s="215"/>
      <c r="E55" s="191"/>
    </row>
    <row r="56" spans="1:20" ht="15" thickBot="1" x14ac:dyDescent="0.35">
      <c r="A56" s="200" t="s">
        <v>3128</v>
      </c>
      <c r="B56" s="201"/>
      <c r="C56" s="202" t="s">
        <v>3116</v>
      </c>
      <c r="D56" s="358" t="s">
        <v>3120</v>
      </c>
      <c r="E56" s="208"/>
    </row>
    <row r="57" spans="1:20" x14ac:dyDescent="0.3">
      <c r="D57" s="190"/>
      <c r="E57" s="216"/>
    </row>
    <row r="58" spans="1:20" ht="40.200000000000003" x14ac:dyDescent="0.3">
      <c r="E58" s="191"/>
      <c r="G58" s="62" t="s">
        <v>3082</v>
      </c>
      <c r="H58" s="366" t="s">
        <v>3079</v>
      </c>
      <c r="I58" s="367" t="s">
        <v>3075</v>
      </c>
      <c r="J58" s="368" t="s">
        <v>3066</v>
      </c>
      <c r="K58" s="369" t="s">
        <v>3129</v>
      </c>
      <c r="L58" s="217" t="s">
        <v>3078</v>
      </c>
    </row>
    <row r="59" spans="1:20" x14ac:dyDescent="0.3">
      <c r="E59" s="381" t="s">
        <v>3109</v>
      </c>
      <c r="F59" s="381"/>
      <c r="G59" s="218">
        <v>17500</v>
      </c>
      <c r="H59" s="218">
        <v>42294</v>
      </c>
      <c r="I59" s="219">
        <v>45725</v>
      </c>
      <c r="J59" s="220">
        <v>0.08</v>
      </c>
      <c r="K59" s="221">
        <f>(I59/H59)-1</f>
        <v>8.1122617865418301E-2</v>
      </c>
      <c r="L59" s="222">
        <v>19250</v>
      </c>
    </row>
    <row r="60" spans="1:20" x14ac:dyDescent="0.3">
      <c r="E60" s="381" t="s">
        <v>3113</v>
      </c>
      <c r="F60" s="381"/>
      <c r="G60" s="218">
        <v>21000</v>
      </c>
      <c r="H60" s="218">
        <v>44300</v>
      </c>
      <c r="I60" s="219">
        <v>45100</v>
      </c>
      <c r="J60" s="223">
        <v>0.09</v>
      </c>
      <c r="K60" s="221">
        <f t="shared" ref="K60:K63" si="9">(I60/H60)-1</f>
        <v>1.8058690744920947E-2</v>
      </c>
      <c r="L60" s="222">
        <v>22000</v>
      </c>
    </row>
    <row r="61" spans="1:20" x14ac:dyDescent="0.3">
      <c r="E61" s="381" t="s">
        <v>3117</v>
      </c>
      <c r="F61" s="381"/>
      <c r="G61" s="218">
        <v>21000</v>
      </c>
      <c r="H61" s="218">
        <v>44300</v>
      </c>
      <c r="I61" s="219">
        <v>45100</v>
      </c>
      <c r="J61" s="223" t="s">
        <v>2929</v>
      </c>
      <c r="K61" s="221">
        <f t="shared" si="9"/>
        <v>1.8058690744920947E-2</v>
      </c>
      <c r="L61" s="222">
        <v>22000</v>
      </c>
    </row>
    <row r="62" spans="1:20" x14ac:dyDescent="0.3">
      <c r="E62" s="381" t="s">
        <v>3123</v>
      </c>
      <c r="F62" s="381"/>
      <c r="G62" s="218">
        <v>10500</v>
      </c>
      <c r="H62" s="218">
        <v>28280</v>
      </c>
      <c r="I62" s="219">
        <v>28743</v>
      </c>
      <c r="J62" s="220">
        <v>7.0000000000000007E-2</v>
      </c>
      <c r="K62" s="221">
        <f t="shared" si="9"/>
        <v>1.6371994342291307E-2</v>
      </c>
      <c r="L62" s="222">
        <v>15000</v>
      </c>
    </row>
    <row r="63" spans="1:20" x14ac:dyDescent="0.3">
      <c r="E63" s="381" t="s">
        <v>3126</v>
      </c>
      <c r="F63" s="381"/>
      <c r="G63" s="218">
        <v>26250</v>
      </c>
      <c r="H63" s="218">
        <v>44300</v>
      </c>
      <c r="I63" s="219">
        <v>45100</v>
      </c>
      <c r="J63" s="223" t="s">
        <v>2929</v>
      </c>
      <c r="K63" s="221">
        <f t="shared" si="9"/>
        <v>1.8058690744920947E-2</v>
      </c>
      <c r="L63" s="222">
        <v>27500</v>
      </c>
    </row>
    <row r="65" spans="2:9" x14ac:dyDescent="0.3">
      <c r="B65" s="94" t="s">
        <v>3099</v>
      </c>
      <c r="I65" s="95"/>
    </row>
    <row r="66" spans="2:9" x14ac:dyDescent="0.3">
      <c r="B66" s="96" t="s">
        <v>3163</v>
      </c>
      <c r="C66" s="96"/>
      <c r="D66" s="96"/>
      <c r="E66" s="96"/>
      <c r="F66" s="96"/>
      <c r="G66" s="96"/>
      <c r="H66" s="96"/>
      <c r="I66" s="96"/>
    </row>
    <row r="67" spans="2:9" x14ac:dyDescent="0.3">
      <c r="B67" s="96" t="s">
        <v>3164</v>
      </c>
      <c r="C67" s="96"/>
      <c r="D67" s="96"/>
      <c r="E67" s="96"/>
      <c r="F67" s="96"/>
      <c r="G67" s="96"/>
      <c r="H67" s="96"/>
      <c r="I67" s="96"/>
    </row>
    <row r="68" spans="2:9" x14ac:dyDescent="0.3">
      <c r="B68" s="96" t="s">
        <v>3165</v>
      </c>
      <c r="C68" s="96"/>
      <c r="D68" s="96"/>
      <c r="E68" s="96"/>
      <c r="F68" s="96"/>
      <c r="G68" s="96"/>
      <c r="H68" s="96"/>
      <c r="I68" s="96"/>
    </row>
    <row r="69" spans="2:9" x14ac:dyDescent="0.3">
      <c r="B69" s="94" t="s">
        <v>3166</v>
      </c>
      <c r="C69" s="94"/>
      <c r="D69" s="94"/>
      <c r="E69" s="94"/>
      <c r="F69" s="94"/>
      <c r="G69" s="96"/>
      <c r="H69" s="96"/>
      <c r="I69" s="96"/>
    </row>
    <row r="70" spans="2:9" x14ac:dyDescent="0.3">
      <c r="B70" s="94" t="s">
        <v>3167</v>
      </c>
      <c r="C70" s="94"/>
      <c r="D70" s="94"/>
      <c r="E70" s="94"/>
      <c r="F70" s="94"/>
      <c r="I70" s="95"/>
    </row>
    <row r="71" spans="2:9" x14ac:dyDescent="0.3">
      <c r="B71" s="94" t="s">
        <v>3100</v>
      </c>
      <c r="C71" s="94"/>
      <c r="D71" s="94"/>
      <c r="E71" s="94"/>
      <c r="F71" s="94"/>
      <c r="I71" s="95"/>
    </row>
  </sheetData>
  <mergeCells count="5">
    <mergeCell ref="E59:F59"/>
    <mergeCell ref="E60:F60"/>
    <mergeCell ref="E61:F61"/>
    <mergeCell ref="E62:F62"/>
    <mergeCell ref="E63:F6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5">
    <tabColor rgb="FF00B050"/>
  </sheetPr>
  <dimension ref="A1:AH24"/>
  <sheetViews>
    <sheetView workbookViewId="0">
      <selection activeCell="E13" sqref="E13:M1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554687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2466</v>
      </c>
      <c r="B2" s="10" t="s">
        <v>2478</v>
      </c>
      <c r="C2" s="10" t="s">
        <v>2479</v>
      </c>
      <c r="D2" s="11">
        <v>45191</v>
      </c>
      <c r="E2" s="12">
        <v>195000</v>
      </c>
      <c r="F2" s="10" t="s">
        <v>32</v>
      </c>
      <c r="G2" s="10" t="s">
        <v>33</v>
      </c>
      <c r="H2" s="12">
        <v>195000</v>
      </c>
      <c r="I2" s="12">
        <v>86400</v>
      </c>
      <c r="J2" s="13">
        <f t="shared" ref="J2:J9" si="0">I2/H2*100</f>
        <v>44.307692307692307</v>
      </c>
      <c r="K2" s="12">
        <v>200261</v>
      </c>
      <c r="L2" s="12">
        <f>H2-182261</f>
        <v>12739</v>
      </c>
      <c r="M2" s="12">
        <v>18000</v>
      </c>
      <c r="N2" s="66">
        <f t="shared" ref="N2:N9" si="1">M2/E2</f>
        <v>9.2307692307692313E-2</v>
      </c>
      <c r="O2" s="14">
        <v>60</v>
      </c>
      <c r="P2" s="15">
        <v>120</v>
      </c>
      <c r="Q2" s="16">
        <v>0.16500000000000001</v>
      </c>
      <c r="R2" s="16">
        <v>0.16500000000000001</v>
      </c>
      <c r="S2" s="12">
        <f>L2/O2</f>
        <v>212.31666666666666</v>
      </c>
      <c r="T2" s="12">
        <f t="shared" ref="T2:T9" si="2">L2/Q2</f>
        <v>77206.060606060608</v>
      </c>
      <c r="U2" s="17">
        <f t="shared" ref="U2:U9" si="3">L2/Q2/43560</f>
        <v>1.7724072682750369</v>
      </c>
      <c r="V2" s="16">
        <v>60</v>
      </c>
      <c r="W2" s="16">
        <f t="shared" ref="W2:W9" si="4">0.2*E2</f>
        <v>39000</v>
      </c>
      <c r="X2" s="16">
        <f t="shared" ref="X2:X9" si="5">W2/O2</f>
        <v>650</v>
      </c>
      <c r="Y2" s="18" t="s">
        <v>2465</v>
      </c>
      <c r="Z2" s="10" t="s">
        <v>35</v>
      </c>
      <c r="AA2" s="10" t="s">
        <v>35</v>
      </c>
      <c r="AB2" s="10" t="s">
        <v>2466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2466</v>
      </c>
      <c r="B3" s="10" t="s">
        <v>2471</v>
      </c>
      <c r="C3" s="10" t="s">
        <v>2472</v>
      </c>
      <c r="D3" s="11">
        <v>45393</v>
      </c>
      <c r="E3" s="12">
        <v>225000</v>
      </c>
      <c r="F3" s="10" t="s">
        <v>32</v>
      </c>
      <c r="G3" s="10" t="s">
        <v>33</v>
      </c>
      <c r="H3" s="12">
        <v>225000</v>
      </c>
      <c r="I3" s="12">
        <v>114200</v>
      </c>
      <c r="J3" s="13">
        <f t="shared" si="0"/>
        <v>50.755555555555553</v>
      </c>
      <c r="K3" s="12">
        <v>232519</v>
      </c>
      <c r="L3" s="12">
        <f>H3-205723</f>
        <v>19277</v>
      </c>
      <c r="M3" s="12">
        <v>26796</v>
      </c>
      <c r="N3" s="66">
        <f t="shared" si="1"/>
        <v>0.11909333333333333</v>
      </c>
      <c r="O3" s="14">
        <v>89.31</v>
      </c>
      <c r="P3" s="15">
        <v>157.19</v>
      </c>
      <c r="Q3" s="16">
        <v>0.33600000000000002</v>
      </c>
      <c r="R3" s="16">
        <v>0.33600000000000002</v>
      </c>
      <c r="S3" s="12">
        <f t="shared" ref="S3:S9" si="6">L3/O3</f>
        <v>215.84369051617961</v>
      </c>
      <c r="T3" s="12">
        <f t="shared" si="2"/>
        <v>57372.023809523809</v>
      </c>
      <c r="U3" s="17">
        <f t="shared" si="3"/>
        <v>1.3170804363986182</v>
      </c>
      <c r="V3" s="16">
        <v>48</v>
      </c>
      <c r="W3" s="16">
        <f t="shared" si="4"/>
        <v>45000</v>
      </c>
      <c r="X3" s="16">
        <f t="shared" si="5"/>
        <v>503.86294927779642</v>
      </c>
      <c r="Y3" s="18" t="s">
        <v>2465</v>
      </c>
      <c r="Z3" s="10" t="s">
        <v>35</v>
      </c>
      <c r="AA3" s="10" t="s">
        <v>35</v>
      </c>
      <c r="AB3" s="10" t="s">
        <v>2466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2466</v>
      </c>
      <c r="B4" s="10" t="s">
        <v>2469</v>
      </c>
      <c r="C4" s="10" t="s">
        <v>2470</v>
      </c>
      <c r="D4" s="11">
        <v>45433</v>
      </c>
      <c r="E4" s="12">
        <v>216000</v>
      </c>
      <c r="F4" s="10" t="s">
        <v>32</v>
      </c>
      <c r="G4" s="10" t="s">
        <v>33</v>
      </c>
      <c r="H4" s="12">
        <v>216000</v>
      </c>
      <c r="I4" s="12">
        <v>102700</v>
      </c>
      <c r="J4" s="13">
        <f t="shared" si="0"/>
        <v>47.546296296296298</v>
      </c>
      <c r="K4" s="12">
        <v>208330</v>
      </c>
      <c r="L4" s="12">
        <f>H4-186986</f>
        <v>29014</v>
      </c>
      <c r="M4" s="12">
        <v>21344</v>
      </c>
      <c r="N4" s="66">
        <f t="shared" si="1"/>
        <v>9.8814814814814814E-2</v>
      </c>
      <c r="O4" s="14">
        <v>71.14</v>
      </c>
      <c r="P4" s="15">
        <v>168.06</v>
      </c>
      <c r="Q4" s="16">
        <v>0.23200000000000001</v>
      </c>
      <c r="R4" s="16">
        <v>0.23200000000000001</v>
      </c>
      <c r="S4" s="12">
        <f t="shared" si="6"/>
        <v>407.84368850154624</v>
      </c>
      <c r="T4" s="12">
        <f t="shared" si="2"/>
        <v>125060.3448275862</v>
      </c>
      <c r="U4" s="17">
        <f t="shared" si="3"/>
        <v>2.8709904689528511</v>
      </c>
      <c r="V4" s="16">
        <v>60.18</v>
      </c>
      <c r="W4" s="16">
        <f t="shared" si="4"/>
        <v>43200</v>
      </c>
      <c r="X4" s="16">
        <f t="shared" si="5"/>
        <v>607.25330334551586</v>
      </c>
      <c r="Y4" s="18" t="s">
        <v>2465</v>
      </c>
      <c r="Z4" s="10" t="s">
        <v>35</v>
      </c>
      <c r="AA4" s="10" t="s">
        <v>35</v>
      </c>
      <c r="AB4" s="10" t="s">
        <v>2466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2466</v>
      </c>
      <c r="B5" s="10" t="s">
        <v>2484</v>
      </c>
      <c r="C5" s="10" t="s">
        <v>2485</v>
      </c>
      <c r="D5" s="11">
        <v>45414</v>
      </c>
      <c r="E5" s="12">
        <v>220000</v>
      </c>
      <c r="F5" s="10" t="s">
        <v>32</v>
      </c>
      <c r="G5" s="10" t="s">
        <v>33</v>
      </c>
      <c r="H5" s="12">
        <v>220000</v>
      </c>
      <c r="I5" s="12">
        <v>103500</v>
      </c>
      <c r="J5" s="13">
        <f t="shared" si="0"/>
        <v>47.045454545454547</v>
      </c>
      <c r="K5" s="12">
        <v>210184</v>
      </c>
      <c r="L5" s="12">
        <f>H5-192184</f>
        <v>27816</v>
      </c>
      <c r="M5" s="12">
        <v>18000</v>
      </c>
      <c r="N5" s="66">
        <f t="shared" si="1"/>
        <v>8.1818181818181818E-2</v>
      </c>
      <c r="O5" s="14">
        <v>60</v>
      </c>
      <c r="P5" s="15">
        <v>120</v>
      </c>
      <c r="Q5" s="16">
        <v>0.16500000000000001</v>
      </c>
      <c r="R5" s="16">
        <v>0.16500000000000001</v>
      </c>
      <c r="S5" s="12">
        <f t="shared" si="6"/>
        <v>463.6</v>
      </c>
      <c r="T5" s="12">
        <f t="shared" si="2"/>
        <v>168581.81818181818</v>
      </c>
      <c r="U5" s="17">
        <f t="shared" si="3"/>
        <v>3.8701060188663492</v>
      </c>
      <c r="V5" s="16">
        <v>60</v>
      </c>
      <c r="W5" s="16">
        <f t="shared" si="4"/>
        <v>44000</v>
      </c>
      <c r="X5" s="16">
        <f t="shared" si="5"/>
        <v>733.33333333333337</v>
      </c>
      <c r="Y5" s="18" t="s">
        <v>2465</v>
      </c>
      <c r="Z5" s="10" t="s">
        <v>35</v>
      </c>
      <c r="AA5" s="10" t="s">
        <v>35</v>
      </c>
      <c r="AB5" s="10" t="s">
        <v>2466</v>
      </c>
      <c r="AC5" s="10">
        <v>0</v>
      </c>
      <c r="AD5" s="10">
        <v>1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2466</v>
      </c>
      <c r="B6" s="19" t="s">
        <v>2467</v>
      </c>
      <c r="C6" s="19" t="s">
        <v>2468</v>
      </c>
      <c r="D6" s="20">
        <v>45023</v>
      </c>
      <c r="E6" s="21">
        <v>218000</v>
      </c>
      <c r="F6" s="19" t="s">
        <v>32</v>
      </c>
      <c r="G6" s="19" t="s">
        <v>33</v>
      </c>
      <c r="H6" s="21">
        <v>218000</v>
      </c>
      <c r="I6" s="21">
        <v>84200</v>
      </c>
      <c r="J6" s="22">
        <f t="shared" si="0"/>
        <v>38.623853211009177</v>
      </c>
      <c r="K6" s="21">
        <v>195524</v>
      </c>
      <c r="L6" s="21">
        <f>H6-174397</f>
        <v>43603</v>
      </c>
      <c r="M6" s="21">
        <v>21127</v>
      </c>
      <c r="N6" s="67">
        <f t="shared" si="1"/>
        <v>9.6912844036697254E-2</v>
      </c>
      <c r="O6" s="23">
        <v>70.42</v>
      </c>
      <c r="P6" s="24">
        <v>163.21</v>
      </c>
      <c r="Q6" s="25">
        <v>0.22600000000000001</v>
      </c>
      <c r="R6" s="25">
        <v>0.22600000000000001</v>
      </c>
      <c r="S6" s="21">
        <f t="shared" si="6"/>
        <v>619.18489065606366</v>
      </c>
      <c r="T6" s="21">
        <f t="shared" si="2"/>
        <v>192933.62831858406</v>
      </c>
      <c r="U6" s="26">
        <f t="shared" si="3"/>
        <v>4.4291466556148773</v>
      </c>
      <c r="V6" s="25">
        <v>60.58</v>
      </c>
      <c r="W6" s="25">
        <f t="shared" si="4"/>
        <v>43600</v>
      </c>
      <c r="X6" s="16">
        <f t="shared" si="5"/>
        <v>619.14228912240844</v>
      </c>
      <c r="Y6" s="27" t="s">
        <v>2465</v>
      </c>
      <c r="Z6" s="19" t="s">
        <v>35</v>
      </c>
      <c r="AA6" s="19" t="s">
        <v>35</v>
      </c>
      <c r="AB6" s="19" t="s">
        <v>2466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2466</v>
      </c>
      <c r="B7" s="19" t="s">
        <v>2473</v>
      </c>
      <c r="C7" s="19" t="s">
        <v>2474</v>
      </c>
      <c r="D7" s="20">
        <v>45588</v>
      </c>
      <c r="E7" s="21">
        <v>225000</v>
      </c>
      <c r="F7" s="19" t="s">
        <v>32</v>
      </c>
      <c r="G7" s="19" t="s">
        <v>33</v>
      </c>
      <c r="H7" s="21">
        <v>225000</v>
      </c>
      <c r="I7" s="21">
        <v>97600</v>
      </c>
      <c r="J7" s="22">
        <f t="shared" si="0"/>
        <v>43.377777777777773</v>
      </c>
      <c r="K7" s="21">
        <v>198125</v>
      </c>
      <c r="L7" s="21">
        <f>H7-175837</f>
        <v>49163</v>
      </c>
      <c r="M7" s="21">
        <v>22288</v>
      </c>
      <c r="N7" s="67">
        <f t="shared" si="1"/>
        <v>9.9057777777777772E-2</v>
      </c>
      <c r="O7" s="23">
        <v>74.290000000000006</v>
      </c>
      <c r="P7" s="24">
        <v>179.11</v>
      </c>
      <c r="Q7" s="25">
        <v>0.25</v>
      </c>
      <c r="R7" s="25">
        <v>0.25</v>
      </c>
      <c r="S7" s="21">
        <f t="shared" si="6"/>
        <v>661.77143626329246</v>
      </c>
      <c r="T7" s="21">
        <f t="shared" si="2"/>
        <v>196652</v>
      </c>
      <c r="U7" s="26">
        <f t="shared" si="3"/>
        <v>4.5145087235996328</v>
      </c>
      <c r="V7" s="25">
        <v>60.96</v>
      </c>
      <c r="W7" s="25">
        <f t="shared" si="4"/>
        <v>45000</v>
      </c>
      <c r="X7" s="16">
        <f t="shared" si="5"/>
        <v>605.73428456050613</v>
      </c>
      <c r="Y7" s="27" t="s">
        <v>2465</v>
      </c>
      <c r="Z7" s="19" t="s">
        <v>35</v>
      </c>
      <c r="AA7" s="19" t="s">
        <v>35</v>
      </c>
      <c r="AB7" s="19" t="s">
        <v>2466</v>
      </c>
      <c r="AC7" s="19">
        <v>0</v>
      </c>
      <c r="AD7" s="19">
        <v>1</v>
      </c>
      <c r="AE7" s="19" t="s">
        <v>37</v>
      </c>
      <c r="AF7" s="19" t="s">
        <v>35</v>
      </c>
      <c r="AG7" s="19" t="s">
        <v>38</v>
      </c>
      <c r="AH7" s="19" t="s">
        <v>92</v>
      </c>
    </row>
    <row r="8" spans="1:34" x14ac:dyDescent="0.3">
      <c r="A8" s="75" t="s">
        <v>2466</v>
      </c>
      <c r="B8" s="19" t="s">
        <v>2482</v>
      </c>
      <c r="C8" s="19" t="s">
        <v>2483</v>
      </c>
      <c r="D8" s="20">
        <v>45415</v>
      </c>
      <c r="E8" s="21">
        <v>230000</v>
      </c>
      <c r="F8" s="19" t="s">
        <v>32</v>
      </c>
      <c r="G8" s="19" t="s">
        <v>33</v>
      </c>
      <c r="H8" s="21">
        <v>230000</v>
      </c>
      <c r="I8" s="21">
        <v>96000</v>
      </c>
      <c r="J8" s="22">
        <f t="shared" si="0"/>
        <v>41.739130434782609</v>
      </c>
      <c r="K8" s="21">
        <v>194651</v>
      </c>
      <c r="L8" s="21">
        <f>H8-176651</f>
        <v>53349</v>
      </c>
      <c r="M8" s="21">
        <v>18000</v>
      </c>
      <c r="N8" s="67">
        <f t="shared" si="1"/>
        <v>7.8260869565217397E-2</v>
      </c>
      <c r="O8" s="23">
        <v>60</v>
      </c>
      <c r="P8" s="24">
        <v>120</v>
      </c>
      <c r="Q8" s="25">
        <v>0.16500000000000001</v>
      </c>
      <c r="R8" s="25">
        <v>0.16500000000000001</v>
      </c>
      <c r="S8" s="21">
        <f t="shared" si="6"/>
        <v>889.15</v>
      </c>
      <c r="T8" s="21">
        <f t="shared" si="2"/>
        <v>323327.27272727271</v>
      </c>
      <c r="U8" s="26">
        <f t="shared" si="3"/>
        <v>7.4225728357959762</v>
      </c>
      <c r="V8" s="25">
        <v>60</v>
      </c>
      <c r="W8" s="25">
        <f t="shared" si="4"/>
        <v>46000</v>
      </c>
      <c r="X8" s="16">
        <f t="shared" si="5"/>
        <v>766.66666666666663</v>
      </c>
      <c r="Y8" s="27" t="s">
        <v>2465</v>
      </c>
      <c r="Z8" s="19" t="s">
        <v>35</v>
      </c>
      <c r="AA8" s="19" t="s">
        <v>35</v>
      </c>
      <c r="AB8" s="19" t="s">
        <v>2466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ht="15" thickBot="1" x14ac:dyDescent="0.35">
      <c r="A9" s="75" t="s">
        <v>2466</v>
      </c>
      <c r="B9" s="19" t="s">
        <v>2463</v>
      </c>
      <c r="C9" s="19" t="s">
        <v>2464</v>
      </c>
      <c r="D9" s="20">
        <v>45583</v>
      </c>
      <c r="E9" s="21">
        <v>242000</v>
      </c>
      <c r="F9" s="19" t="s">
        <v>32</v>
      </c>
      <c r="G9" s="19" t="s">
        <v>33</v>
      </c>
      <c r="H9" s="21">
        <v>242000</v>
      </c>
      <c r="I9" s="21">
        <v>98800</v>
      </c>
      <c r="J9" s="22">
        <f t="shared" si="0"/>
        <v>40.826446280991732</v>
      </c>
      <c r="K9" s="21">
        <v>199909</v>
      </c>
      <c r="L9" s="21">
        <f>H9-178547</f>
        <v>63453</v>
      </c>
      <c r="M9" s="21">
        <v>21362</v>
      </c>
      <c r="N9" s="67">
        <f t="shared" si="1"/>
        <v>8.8272727272727267E-2</v>
      </c>
      <c r="O9" s="23">
        <v>71.2</v>
      </c>
      <c r="P9" s="24">
        <v>168.71</v>
      </c>
      <c r="Q9" s="25">
        <v>0.23300000000000001</v>
      </c>
      <c r="R9" s="25">
        <v>0.23300000000000001</v>
      </c>
      <c r="S9" s="21">
        <f t="shared" si="6"/>
        <v>891.19382022471905</v>
      </c>
      <c r="T9" s="21">
        <f t="shared" si="2"/>
        <v>272330.47210300429</v>
      </c>
      <c r="U9" s="26">
        <f t="shared" si="3"/>
        <v>6.2518473852847629</v>
      </c>
      <c r="V9" s="25">
        <v>60.08</v>
      </c>
      <c r="W9" s="25">
        <f t="shared" si="4"/>
        <v>48400</v>
      </c>
      <c r="X9" s="16">
        <f t="shared" si="5"/>
        <v>679.77528089887642</v>
      </c>
      <c r="Y9" s="27" t="s">
        <v>2465</v>
      </c>
      <c r="Z9" s="19" t="s">
        <v>35</v>
      </c>
      <c r="AA9" s="19" t="s">
        <v>35</v>
      </c>
      <c r="AB9" s="19" t="s">
        <v>2466</v>
      </c>
      <c r="AC9" s="19">
        <v>0</v>
      </c>
      <c r="AD9" s="19">
        <v>1</v>
      </c>
      <c r="AE9" s="19" t="s">
        <v>37</v>
      </c>
      <c r="AF9" s="19" t="s">
        <v>35</v>
      </c>
      <c r="AG9" s="19" t="s">
        <v>38</v>
      </c>
      <c r="AH9" s="19" t="s">
        <v>92</v>
      </c>
    </row>
    <row r="10" spans="1:34" ht="15" thickTop="1" x14ac:dyDescent="0.3">
      <c r="A10" s="76"/>
      <c r="B10" s="37"/>
      <c r="C10" s="37"/>
      <c r="D10" s="38" t="s">
        <v>2876</v>
      </c>
      <c r="E10" s="39">
        <f>+SUM(E2:E9)</f>
        <v>1771000</v>
      </c>
      <c r="F10" s="37"/>
      <c r="G10" s="37"/>
      <c r="H10" s="39">
        <f>+SUM(H2:H9)</f>
        <v>1771000</v>
      </c>
      <c r="I10" s="39">
        <f>+SUM(I2:I9)</f>
        <v>783400</v>
      </c>
      <c r="J10" s="40"/>
      <c r="K10" s="39">
        <f>+SUM(K2:K9)</f>
        <v>1639503</v>
      </c>
      <c r="L10" s="39">
        <f>+SUM(L2:L9)</f>
        <v>298414</v>
      </c>
      <c r="M10" s="39">
        <f>+SUM(M2:M9)</f>
        <v>166917</v>
      </c>
      <c r="N10" s="81">
        <f>AVERAGE(N2:N9)</f>
        <v>9.4317280115805244E-2</v>
      </c>
      <c r="O10" s="41">
        <f>+SUM(O2:O9)</f>
        <v>556.36</v>
      </c>
      <c r="P10" s="42"/>
      <c r="Q10" s="43">
        <f>+SUM(Q2:Q9)</f>
        <v>1.7720000000000002</v>
      </c>
      <c r="R10" s="43">
        <f>+SUM(R2:R9)</f>
        <v>1.7720000000000002</v>
      </c>
      <c r="S10" s="39"/>
      <c r="T10" s="39"/>
      <c r="U10" s="44"/>
      <c r="V10" s="43"/>
      <c r="W10" s="82">
        <f>AVERAGE(W2:W9)</f>
        <v>44275</v>
      </c>
      <c r="X10" s="83">
        <f>AVERAGE(X2:X9)</f>
        <v>645.72101340063784</v>
      </c>
      <c r="Y10" s="45"/>
      <c r="Z10" s="37"/>
      <c r="AA10" s="37"/>
      <c r="AB10" s="37"/>
      <c r="AC10" s="37"/>
      <c r="AD10" s="37"/>
      <c r="AE10" s="37"/>
      <c r="AF10" s="37"/>
      <c r="AG10" s="37"/>
      <c r="AH10" s="37"/>
    </row>
    <row r="11" spans="1:34" x14ac:dyDescent="0.3">
      <c r="A11" s="77"/>
      <c r="B11" s="28"/>
      <c r="C11" s="28"/>
      <c r="D11" s="29"/>
      <c r="E11" s="30"/>
      <c r="F11" s="28"/>
      <c r="G11" s="28"/>
      <c r="H11" s="30"/>
      <c r="I11" s="30" t="s">
        <v>2877</v>
      </c>
      <c r="J11" s="31">
        <f>I10/H10*100</f>
        <v>44.234895539243361</v>
      </c>
      <c r="K11" s="30"/>
      <c r="L11" s="30"/>
      <c r="M11" s="30" t="s">
        <v>2879</v>
      </c>
      <c r="N11" s="79"/>
      <c r="O11" s="32"/>
      <c r="P11" s="33"/>
      <c r="Q11" s="34" t="s">
        <v>2879</v>
      </c>
      <c r="R11" s="34"/>
      <c r="S11" s="30"/>
      <c r="T11" s="30" t="s">
        <v>2879</v>
      </c>
      <c r="U11" s="35"/>
      <c r="V11" s="34"/>
      <c r="W11" s="63"/>
      <c r="X11" s="68"/>
      <c r="Y11" s="36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x14ac:dyDescent="0.3">
      <c r="A12" s="78"/>
      <c r="B12" s="46"/>
      <c r="C12" s="46"/>
      <c r="D12" s="47"/>
      <c r="E12" s="48"/>
      <c r="F12" s="46"/>
      <c r="G12" s="46"/>
      <c r="H12" s="48"/>
      <c r="I12" s="48" t="s">
        <v>2878</v>
      </c>
      <c r="J12" s="49">
        <f>STDEV(J2:J9)</f>
        <v>3.9899701082498265</v>
      </c>
      <c r="K12" s="48"/>
      <c r="L12" s="48"/>
      <c r="M12" s="48" t="s">
        <v>2880</v>
      </c>
      <c r="N12" s="80"/>
      <c r="O12" s="54">
        <f>L10/O10</f>
        <v>536.36853835645979</v>
      </c>
      <c r="P12" s="50"/>
      <c r="Q12" s="51" t="s">
        <v>2881</v>
      </c>
      <c r="R12" s="51">
        <f>L10/Q10</f>
        <v>168405.19187358915</v>
      </c>
      <c r="S12" s="48"/>
      <c r="T12" s="48" t="s">
        <v>2882</v>
      </c>
      <c r="U12" s="52">
        <f>L10/Q10/43560</f>
        <v>3.8660512367674276</v>
      </c>
      <c r="V12" s="51"/>
      <c r="W12" s="64"/>
      <c r="X12" s="69"/>
      <c r="Y12" s="53"/>
      <c r="Z12" s="46"/>
      <c r="AA12" s="46"/>
      <c r="AB12" s="46"/>
      <c r="AC12" s="46"/>
      <c r="AD12" s="46"/>
      <c r="AE12" s="46"/>
      <c r="AF12" s="46"/>
      <c r="AG12" s="46"/>
      <c r="AH12" s="46"/>
    </row>
    <row r="13" spans="1:34" x14ac:dyDescent="0.3">
      <c r="E13" s="94" t="s">
        <v>3099</v>
      </c>
      <c r="L13" s="95"/>
    </row>
    <row r="14" spans="1:34" x14ac:dyDescent="0.3">
      <c r="E14" s="383" t="s">
        <v>3163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3164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3165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3166</v>
      </c>
      <c r="F17" s="383"/>
      <c r="G17" s="383"/>
      <c r="H17" s="383"/>
      <c r="I17" s="383"/>
      <c r="J17" s="96"/>
      <c r="K17" s="96"/>
      <c r="L17" s="96"/>
    </row>
    <row r="18" spans="1:34" x14ac:dyDescent="0.3">
      <c r="E18" s="383" t="s">
        <v>3167</v>
      </c>
      <c r="F18" s="383"/>
      <c r="G18" s="383"/>
      <c r="H18" s="383"/>
      <c r="I18" s="383"/>
      <c r="L18" s="95"/>
    </row>
    <row r="19" spans="1:34" x14ac:dyDescent="0.3">
      <c r="E19" s="383" t="s">
        <v>3100</v>
      </c>
      <c r="F19" s="383"/>
      <c r="G19" s="383"/>
      <c r="H19" s="383"/>
      <c r="I19" s="383"/>
      <c r="L19" s="95"/>
    </row>
    <row r="20" spans="1:34" x14ac:dyDescent="0.3">
      <c r="E20" s="96"/>
      <c r="F20" s="96"/>
      <c r="G20" s="96"/>
      <c r="H20" s="96"/>
      <c r="I20" s="96"/>
      <c r="L20" s="95"/>
    </row>
    <row r="21" spans="1:34" x14ac:dyDescent="0.3">
      <c r="A21" s="55" t="s">
        <v>3092</v>
      </c>
      <c r="E21" s="96"/>
      <c r="F21" s="96"/>
      <c r="G21" s="96"/>
      <c r="H21" s="96"/>
      <c r="I21" s="96"/>
      <c r="L21" s="95"/>
    </row>
    <row r="22" spans="1:34" x14ac:dyDescent="0.3">
      <c r="A22" s="74" t="s">
        <v>2466</v>
      </c>
      <c r="B22" s="10" t="s">
        <v>2480</v>
      </c>
      <c r="C22" s="10" t="s">
        <v>2481</v>
      </c>
      <c r="D22" s="11">
        <v>45554</v>
      </c>
      <c r="E22" s="12">
        <v>115000</v>
      </c>
      <c r="F22" s="10" t="s">
        <v>32</v>
      </c>
      <c r="G22" s="10" t="s">
        <v>33</v>
      </c>
      <c r="H22" s="12">
        <v>115000</v>
      </c>
      <c r="I22" s="12">
        <v>79800</v>
      </c>
      <c r="J22" s="13">
        <f t="shared" ref="J22:J24" si="7">I22/H22*100</f>
        <v>69.391304347826093</v>
      </c>
      <c r="K22" s="12">
        <v>159210</v>
      </c>
      <c r="L22" s="12">
        <f>H22-141210</f>
        <v>-26210</v>
      </c>
      <c r="M22" s="12">
        <v>18000</v>
      </c>
      <c r="N22" s="66">
        <f t="shared" ref="N22:N24" si="8">M22/E22</f>
        <v>0.15652173913043479</v>
      </c>
      <c r="O22" s="14">
        <v>60</v>
      </c>
      <c r="P22" s="15">
        <v>120</v>
      </c>
      <c r="Q22" s="16">
        <v>0.16500000000000001</v>
      </c>
      <c r="R22" s="16">
        <v>0.16500000000000001</v>
      </c>
      <c r="S22" s="12">
        <f t="shared" ref="S22:S24" si="9">L22/O22</f>
        <v>-436.83333333333331</v>
      </c>
      <c r="T22" s="12">
        <f t="shared" ref="T22:T24" si="10">L22/Q22</f>
        <v>-158848.48484848483</v>
      </c>
      <c r="U22" s="17">
        <f t="shared" ref="U22:U24" si="11">L22/Q22/43560</f>
        <v>-3.6466594317833985</v>
      </c>
      <c r="V22" s="16">
        <v>60</v>
      </c>
      <c r="W22" s="16">
        <f t="shared" ref="W22:W24" si="12">0.2*E22</f>
        <v>23000</v>
      </c>
      <c r="X22" s="16">
        <f>W22/O22</f>
        <v>383.33333333333331</v>
      </c>
      <c r="Y22" s="18" t="s">
        <v>2465</v>
      </c>
      <c r="Z22" s="10" t="s">
        <v>35</v>
      </c>
      <c r="AA22" s="10" t="s">
        <v>35</v>
      </c>
      <c r="AB22" s="10" t="s">
        <v>2466</v>
      </c>
      <c r="AC22" s="10">
        <v>0</v>
      </c>
      <c r="AD22" s="10">
        <v>1</v>
      </c>
      <c r="AE22" s="10" t="s">
        <v>37</v>
      </c>
      <c r="AF22" s="10" t="s">
        <v>43</v>
      </c>
      <c r="AG22" s="10" t="s">
        <v>38</v>
      </c>
      <c r="AH22" s="10" t="s">
        <v>92</v>
      </c>
    </row>
    <row r="23" spans="1:34" x14ac:dyDescent="0.3">
      <c r="A23" s="75" t="s">
        <v>2466</v>
      </c>
      <c r="B23" s="19" t="s">
        <v>2480</v>
      </c>
      <c r="C23" s="19" t="s">
        <v>2481</v>
      </c>
      <c r="D23" s="20">
        <v>45645</v>
      </c>
      <c r="E23" s="21">
        <v>216000</v>
      </c>
      <c r="F23" s="19" t="s">
        <v>32</v>
      </c>
      <c r="G23" s="19" t="s">
        <v>33</v>
      </c>
      <c r="H23" s="21">
        <v>216000</v>
      </c>
      <c r="I23" s="21">
        <v>79800</v>
      </c>
      <c r="J23" s="22">
        <f t="shared" si="7"/>
        <v>36.944444444444443</v>
      </c>
      <c r="K23" s="21">
        <v>159210</v>
      </c>
      <c r="L23" s="21">
        <f>H23-141210</f>
        <v>74790</v>
      </c>
      <c r="M23" s="21">
        <v>18000</v>
      </c>
      <c r="N23" s="67">
        <f t="shared" si="8"/>
        <v>8.3333333333333329E-2</v>
      </c>
      <c r="O23" s="23">
        <v>60</v>
      </c>
      <c r="P23" s="24">
        <v>120</v>
      </c>
      <c r="Q23" s="25">
        <v>0.16500000000000001</v>
      </c>
      <c r="R23" s="25">
        <v>0.16500000000000001</v>
      </c>
      <c r="S23" s="21">
        <f t="shared" si="9"/>
        <v>1246.5</v>
      </c>
      <c r="T23" s="21">
        <f t="shared" si="10"/>
        <v>453272.72727272724</v>
      </c>
      <c r="U23" s="26">
        <f t="shared" si="11"/>
        <v>10.405709992486852</v>
      </c>
      <c r="V23" s="25">
        <v>60</v>
      </c>
      <c r="W23" s="25">
        <f t="shared" si="12"/>
        <v>43200</v>
      </c>
      <c r="X23" s="16">
        <f t="shared" ref="X23:X24" si="13">W23/O23</f>
        <v>720</v>
      </c>
      <c r="Y23" s="27" t="s">
        <v>2465</v>
      </c>
      <c r="Z23" s="19" t="s">
        <v>35</v>
      </c>
      <c r="AA23" s="19" t="s">
        <v>35</v>
      </c>
      <c r="AB23" s="19" t="s">
        <v>2466</v>
      </c>
      <c r="AC23" s="19">
        <v>0</v>
      </c>
      <c r="AD23" s="19">
        <v>1</v>
      </c>
      <c r="AE23" s="19" t="s">
        <v>37</v>
      </c>
      <c r="AF23" s="19" t="s">
        <v>35</v>
      </c>
      <c r="AG23" s="19" t="s">
        <v>38</v>
      </c>
      <c r="AH23" s="19" t="s">
        <v>92</v>
      </c>
    </row>
    <row r="24" spans="1:34" x14ac:dyDescent="0.3">
      <c r="A24" s="75" t="s">
        <v>2466</v>
      </c>
      <c r="B24" s="19" t="s">
        <v>2475</v>
      </c>
      <c r="C24" s="19" t="s">
        <v>2476</v>
      </c>
      <c r="D24" s="20">
        <v>45523</v>
      </c>
      <c r="E24" s="21">
        <v>259000</v>
      </c>
      <c r="F24" s="19" t="s">
        <v>32</v>
      </c>
      <c r="G24" s="19" t="s">
        <v>33</v>
      </c>
      <c r="H24" s="21">
        <v>259000</v>
      </c>
      <c r="I24" s="21">
        <v>94300</v>
      </c>
      <c r="J24" s="22">
        <f t="shared" si="7"/>
        <v>36.409266409266408</v>
      </c>
      <c r="K24" s="21">
        <v>189202</v>
      </c>
      <c r="L24" s="21">
        <f>H24-168867</f>
        <v>90133</v>
      </c>
      <c r="M24" s="21">
        <v>20335</v>
      </c>
      <c r="N24" s="67">
        <f t="shared" si="8"/>
        <v>7.8513513513513516E-2</v>
      </c>
      <c r="O24" s="23">
        <v>67.78</v>
      </c>
      <c r="P24" s="24">
        <v>136.41</v>
      </c>
      <c r="Q24" s="25">
        <v>0.19600000000000001</v>
      </c>
      <c r="R24" s="25">
        <v>0.19600000000000001</v>
      </c>
      <c r="S24" s="21">
        <f t="shared" si="9"/>
        <v>1329.7875479492475</v>
      </c>
      <c r="T24" s="21">
        <f t="shared" si="10"/>
        <v>459862.24489795917</v>
      </c>
      <c r="U24" s="26">
        <f t="shared" si="11"/>
        <v>10.556984501789696</v>
      </c>
      <c r="V24" s="25">
        <v>65.36</v>
      </c>
      <c r="W24" s="25">
        <f t="shared" si="12"/>
        <v>51800</v>
      </c>
      <c r="X24" s="16">
        <f t="shared" si="13"/>
        <v>764.23723812334026</v>
      </c>
      <c r="Y24" s="27" t="s">
        <v>2465</v>
      </c>
      <c r="Z24" s="19" t="s">
        <v>35</v>
      </c>
      <c r="AA24" s="19" t="s">
        <v>35</v>
      </c>
      <c r="AB24" s="19" t="s">
        <v>2466</v>
      </c>
      <c r="AC24" s="19">
        <v>0</v>
      </c>
      <c r="AD24" s="19">
        <v>1</v>
      </c>
      <c r="AE24" s="19" t="s">
        <v>2477</v>
      </c>
      <c r="AF24" s="19" t="s">
        <v>43</v>
      </c>
      <c r="AG24" s="19" t="s">
        <v>38</v>
      </c>
      <c r="AH24" s="19" t="s">
        <v>92</v>
      </c>
    </row>
  </sheetData>
  <sortState xmlns:xlrd2="http://schemas.microsoft.com/office/spreadsheetml/2017/richdata2" ref="A2:AH12">
    <sortCondition ref="S2:S12"/>
  </sortState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6">
    <tabColor rgb="FF00B050"/>
  </sheetPr>
  <dimension ref="A1:AH30"/>
  <sheetViews>
    <sheetView workbookViewId="0">
      <selection activeCell="C18" sqref="C18:L2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332031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2505</v>
      </c>
      <c r="B2" s="19" t="s">
        <v>2556</v>
      </c>
      <c r="C2" s="19" t="s">
        <v>2557</v>
      </c>
      <c r="D2" s="20">
        <v>45518</v>
      </c>
      <c r="E2" s="21">
        <v>99000</v>
      </c>
      <c r="F2" s="19" t="s">
        <v>32</v>
      </c>
      <c r="G2" s="19" t="s">
        <v>33</v>
      </c>
      <c r="H2" s="21">
        <v>99000</v>
      </c>
      <c r="I2" s="21">
        <v>60200</v>
      </c>
      <c r="J2" s="22">
        <f t="shared" ref="J2:J14" si="0">I2/H2*100</f>
        <v>60.80808080808081</v>
      </c>
      <c r="K2" s="21">
        <v>131783</v>
      </c>
      <c r="L2" s="21">
        <f>H2-121533</f>
        <v>-22533</v>
      </c>
      <c r="M2" s="21">
        <v>10250</v>
      </c>
      <c r="N2" s="67">
        <f t="shared" ref="N2:N14" si="1">M2/E2</f>
        <v>0.10353535353535354</v>
      </c>
      <c r="O2" s="23">
        <v>51.76</v>
      </c>
      <c r="P2" s="24">
        <v>134</v>
      </c>
      <c r="Q2" s="25">
        <v>0.154</v>
      </c>
      <c r="R2" s="25">
        <v>0.154</v>
      </c>
      <c r="S2" s="21">
        <f t="shared" ref="S2:S14" si="2">L2/O2</f>
        <v>-435.33616692426585</v>
      </c>
      <c r="T2" s="21">
        <f t="shared" ref="T2:T14" si="3">L2/Q2</f>
        <v>-146318.18181818182</v>
      </c>
      <c r="U2" s="26">
        <f t="shared" ref="U2:U14" si="4">L2/Q2/43560</f>
        <v>-3.3590032556974707</v>
      </c>
      <c r="V2" s="25">
        <v>50</v>
      </c>
      <c r="W2" s="25">
        <f t="shared" ref="W2:W14" si="5">0.2*E2</f>
        <v>19800</v>
      </c>
      <c r="X2" s="25">
        <f t="shared" ref="X2:X14" si="6">W2/V2</f>
        <v>396</v>
      </c>
      <c r="Y2" s="27" t="s">
        <v>2504</v>
      </c>
      <c r="Z2" s="19" t="s">
        <v>35</v>
      </c>
      <c r="AA2" s="19" t="s">
        <v>35</v>
      </c>
      <c r="AB2" s="19" t="s">
        <v>2505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2505</v>
      </c>
      <c r="B3" s="10" t="s">
        <v>2553</v>
      </c>
      <c r="C3" s="10" t="s">
        <v>2554</v>
      </c>
      <c r="D3" s="11">
        <v>45231</v>
      </c>
      <c r="E3" s="12">
        <v>100000</v>
      </c>
      <c r="F3" s="10" t="s">
        <v>32</v>
      </c>
      <c r="G3" s="10" t="s">
        <v>33</v>
      </c>
      <c r="H3" s="12">
        <v>100000</v>
      </c>
      <c r="I3" s="12">
        <v>57100</v>
      </c>
      <c r="J3" s="13">
        <f t="shared" si="0"/>
        <v>57.099999999999994</v>
      </c>
      <c r="K3" s="12">
        <v>150495</v>
      </c>
      <c r="L3" s="12">
        <f>H3-134341</f>
        <v>-34341</v>
      </c>
      <c r="M3" s="12">
        <v>16154</v>
      </c>
      <c r="N3" s="66">
        <f t="shared" si="1"/>
        <v>0.16153999999999999</v>
      </c>
      <c r="O3" s="14">
        <v>81.58</v>
      </c>
      <c r="P3" s="15">
        <v>130</v>
      </c>
      <c r="Q3" s="16">
        <v>0.23899999999999999</v>
      </c>
      <c r="R3" s="16">
        <v>0.23899999999999999</v>
      </c>
      <c r="S3" s="12">
        <f t="shared" si="2"/>
        <v>-420.94876195145872</v>
      </c>
      <c r="T3" s="12">
        <f t="shared" si="3"/>
        <v>-143686.19246861927</v>
      </c>
      <c r="U3" s="17">
        <f t="shared" si="4"/>
        <v>-3.2985810943209199</v>
      </c>
      <c r="V3" s="16">
        <v>80</v>
      </c>
      <c r="W3" s="16">
        <f t="shared" si="5"/>
        <v>20000</v>
      </c>
      <c r="X3" s="16">
        <f t="shared" si="6"/>
        <v>250</v>
      </c>
      <c r="Y3" s="18" t="s">
        <v>2504</v>
      </c>
      <c r="Z3" s="10" t="s">
        <v>35</v>
      </c>
      <c r="AA3" s="10" t="s">
        <v>35</v>
      </c>
      <c r="AB3" s="10" t="s">
        <v>2505</v>
      </c>
      <c r="AC3" s="10">
        <v>0</v>
      </c>
      <c r="AD3" s="10">
        <v>1</v>
      </c>
      <c r="AE3" s="10" t="s">
        <v>2555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2505</v>
      </c>
      <c r="B4" s="19" t="s">
        <v>2549</v>
      </c>
      <c r="C4" s="19" t="s">
        <v>2550</v>
      </c>
      <c r="D4" s="20">
        <v>45418</v>
      </c>
      <c r="E4" s="21">
        <v>114000</v>
      </c>
      <c r="F4" s="19" t="s">
        <v>32</v>
      </c>
      <c r="G4" s="19" t="s">
        <v>33</v>
      </c>
      <c r="H4" s="21">
        <v>114000</v>
      </c>
      <c r="I4" s="21">
        <v>57500</v>
      </c>
      <c r="J4" s="22">
        <f t="shared" si="0"/>
        <v>50.438596491228068</v>
      </c>
      <c r="K4" s="21">
        <v>122750</v>
      </c>
      <c r="L4" s="21">
        <f>H4-114550</f>
        <v>-550</v>
      </c>
      <c r="M4" s="21">
        <v>8200</v>
      </c>
      <c r="N4" s="67">
        <f t="shared" si="1"/>
        <v>7.192982456140351E-2</v>
      </c>
      <c r="O4" s="23">
        <v>41.41</v>
      </c>
      <c r="P4" s="24">
        <v>134</v>
      </c>
      <c r="Q4" s="25">
        <v>0.123</v>
      </c>
      <c r="R4" s="25">
        <v>0.123</v>
      </c>
      <c r="S4" s="21">
        <f t="shared" si="2"/>
        <v>-13.281815986476698</v>
      </c>
      <c r="T4" s="21">
        <f t="shared" si="3"/>
        <v>-4471.5447154471549</v>
      </c>
      <c r="U4" s="26">
        <f t="shared" si="4"/>
        <v>-0.10265254167693193</v>
      </c>
      <c r="V4" s="25">
        <v>40</v>
      </c>
      <c r="W4" s="25">
        <f t="shared" si="5"/>
        <v>22800</v>
      </c>
      <c r="X4" s="25">
        <f t="shared" si="6"/>
        <v>570</v>
      </c>
      <c r="Y4" s="27" t="s">
        <v>2504</v>
      </c>
      <c r="Z4" s="19" t="s">
        <v>35</v>
      </c>
      <c r="AA4" s="19" t="s">
        <v>35</v>
      </c>
      <c r="AB4" s="19" t="s">
        <v>2505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2505</v>
      </c>
      <c r="B5" s="10" t="s">
        <v>2514</v>
      </c>
      <c r="C5" s="10" t="s">
        <v>2515</v>
      </c>
      <c r="D5" s="11">
        <v>45715</v>
      </c>
      <c r="E5" s="12">
        <v>112000</v>
      </c>
      <c r="F5" s="10" t="s">
        <v>32</v>
      </c>
      <c r="G5" s="10" t="s">
        <v>33</v>
      </c>
      <c r="H5" s="12">
        <v>112000</v>
      </c>
      <c r="I5" s="12">
        <v>77700</v>
      </c>
      <c r="J5" s="13">
        <f t="shared" si="0"/>
        <v>69.375</v>
      </c>
      <c r="K5" s="12">
        <v>160449</v>
      </c>
      <c r="L5" s="12">
        <f>H5-111988</f>
        <v>12</v>
      </c>
      <c r="M5" s="12">
        <v>48461</v>
      </c>
      <c r="N5" s="66">
        <f t="shared" si="1"/>
        <v>0.4326875</v>
      </c>
      <c r="O5" s="14">
        <v>244.75</v>
      </c>
      <c r="P5" s="15">
        <v>130</v>
      </c>
      <c r="Q5" s="16">
        <v>0.71599999999999997</v>
      </c>
      <c r="R5" s="16">
        <v>0.71599999999999997</v>
      </c>
      <c r="S5" s="12">
        <f t="shared" si="2"/>
        <v>4.9029622063329927E-2</v>
      </c>
      <c r="T5" s="12">
        <f t="shared" si="3"/>
        <v>16.759776536312849</v>
      </c>
      <c r="U5" s="17">
        <f t="shared" si="4"/>
        <v>3.84751527463564E-4</v>
      </c>
      <c r="V5" s="16">
        <v>240</v>
      </c>
      <c r="W5" s="16">
        <f t="shared" si="5"/>
        <v>22400</v>
      </c>
      <c r="X5" s="16">
        <f t="shared" si="6"/>
        <v>93.333333333333329</v>
      </c>
      <c r="Y5" s="18" t="s">
        <v>2504</v>
      </c>
      <c r="Z5" s="10" t="s">
        <v>35</v>
      </c>
      <c r="AA5" s="10" t="s">
        <v>35</v>
      </c>
      <c r="AB5" s="10" t="s">
        <v>2505</v>
      </c>
      <c r="AC5" s="10">
        <v>0</v>
      </c>
      <c r="AD5" s="10">
        <v>0</v>
      </c>
      <c r="AE5" s="10" t="s">
        <v>37</v>
      </c>
      <c r="AF5" s="10" t="s">
        <v>35</v>
      </c>
      <c r="AG5" s="10" t="s">
        <v>38</v>
      </c>
      <c r="AH5" s="10" t="s">
        <v>92</v>
      </c>
    </row>
    <row r="6" spans="1:34" x14ac:dyDescent="0.3">
      <c r="A6" s="75" t="s">
        <v>2505</v>
      </c>
      <c r="B6" s="19" t="s">
        <v>2558</v>
      </c>
      <c r="C6" s="19" t="s">
        <v>2559</v>
      </c>
      <c r="D6" s="20">
        <v>45194</v>
      </c>
      <c r="E6" s="21">
        <v>194500</v>
      </c>
      <c r="F6" s="19" t="s">
        <v>32</v>
      </c>
      <c r="G6" s="19" t="s">
        <v>33</v>
      </c>
      <c r="H6" s="21">
        <v>194500</v>
      </c>
      <c r="I6" s="21">
        <v>80000</v>
      </c>
      <c r="J6" s="22">
        <f t="shared" si="0"/>
        <v>41.131105398457585</v>
      </c>
      <c r="K6" s="21">
        <v>200409</v>
      </c>
      <c r="L6" s="21">
        <f>H6-190549</f>
        <v>3951</v>
      </c>
      <c r="M6" s="21">
        <v>9860</v>
      </c>
      <c r="N6" s="67">
        <f t="shared" si="1"/>
        <v>5.0694087403598972E-2</v>
      </c>
      <c r="O6" s="23">
        <v>49.79</v>
      </c>
      <c r="P6" s="24">
        <v>124</v>
      </c>
      <c r="Q6" s="25">
        <v>0.14199999999999999</v>
      </c>
      <c r="R6" s="25">
        <v>0.14199999999999999</v>
      </c>
      <c r="S6" s="21">
        <f t="shared" si="2"/>
        <v>79.353283791926088</v>
      </c>
      <c r="T6" s="21">
        <f t="shared" si="3"/>
        <v>27823.943661971833</v>
      </c>
      <c r="U6" s="26">
        <f t="shared" si="4"/>
        <v>0.63874985449889421</v>
      </c>
      <c r="V6" s="25">
        <v>50</v>
      </c>
      <c r="W6" s="25">
        <f t="shared" si="5"/>
        <v>38900</v>
      </c>
      <c r="X6" s="25">
        <f t="shared" si="6"/>
        <v>778</v>
      </c>
      <c r="Y6" s="27" t="s">
        <v>2504</v>
      </c>
      <c r="Z6" s="19" t="s">
        <v>35</v>
      </c>
      <c r="AA6" s="19" t="s">
        <v>35</v>
      </c>
      <c r="AB6" s="19" t="s">
        <v>2505</v>
      </c>
      <c r="AC6" s="19">
        <v>0</v>
      </c>
      <c r="AD6" s="19">
        <v>1</v>
      </c>
      <c r="AE6" s="19" t="s">
        <v>2513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2505</v>
      </c>
      <c r="B7" s="19" t="s">
        <v>2518</v>
      </c>
      <c r="C7" s="19" t="s">
        <v>2519</v>
      </c>
      <c r="D7" s="20">
        <v>45457</v>
      </c>
      <c r="E7" s="21">
        <v>152500</v>
      </c>
      <c r="F7" s="19" t="s">
        <v>32</v>
      </c>
      <c r="G7" s="19" t="s">
        <v>33</v>
      </c>
      <c r="H7" s="21">
        <v>152500</v>
      </c>
      <c r="I7" s="21">
        <v>61000</v>
      </c>
      <c r="J7" s="22">
        <f t="shared" si="0"/>
        <v>40</v>
      </c>
      <c r="K7" s="21">
        <v>130311</v>
      </c>
      <c r="L7" s="21">
        <f>H7-118196</f>
        <v>34304</v>
      </c>
      <c r="M7" s="21">
        <v>12115</v>
      </c>
      <c r="N7" s="67">
        <f t="shared" si="1"/>
        <v>7.9442622950819677E-2</v>
      </c>
      <c r="O7" s="23">
        <v>61.18</v>
      </c>
      <c r="P7" s="24">
        <v>130</v>
      </c>
      <c r="Q7" s="25">
        <v>0.17899999999999999</v>
      </c>
      <c r="R7" s="25">
        <v>0.17899999999999999</v>
      </c>
      <c r="S7" s="21">
        <f t="shared" si="2"/>
        <v>560.70611310885909</v>
      </c>
      <c r="T7" s="21">
        <f t="shared" si="3"/>
        <v>191642.45810055867</v>
      </c>
      <c r="U7" s="26">
        <f t="shared" si="4"/>
        <v>4.3995054660367003</v>
      </c>
      <c r="V7" s="25">
        <v>60</v>
      </c>
      <c r="W7" s="25">
        <f t="shared" si="5"/>
        <v>30500</v>
      </c>
      <c r="X7" s="25">
        <f t="shared" si="6"/>
        <v>508.33333333333331</v>
      </c>
      <c r="Y7" s="27" t="s">
        <v>2504</v>
      </c>
      <c r="Z7" s="19" t="s">
        <v>35</v>
      </c>
      <c r="AA7" s="19" t="s">
        <v>35</v>
      </c>
      <c r="AB7" s="19" t="s">
        <v>2505</v>
      </c>
      <c r="AC7" s="19">
        <v>0</v>
      </c>
      <c r="AD7" s="19">
        <v>1</v>
      </c>
      <c r="AE7" s="19" t="s">
        <v>37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2505</v>
      </c>
      <c r="B8" s="19" t="s">
        <v>2509</v>
      </c>
      <c r="C8" s="19" t="s">
        <v>2510</v>
      </c>
      <c r="D8" s="20">
        <v>45425</v>
      </c>
      <c r="E8" s="21">
        <v>150000</v>
      </c>
      <c r="F8" s="19" t="s">
        <v>32</v>
      </c>
      <c r="G8" s="19" t="s">
        <v>33</v>
      </c>
      <c r="H8" s="21">
        <v>150000</v>
      </c>
      <c r="I8" s="21">
        <v>56800</v>
      </c>
      <c r="J8" s="22">
        <f t="shared" si="0"/>
        <v>37.866666666666667</v>
      </c>
      <c r="K8" s="21">
        <v>125215</v>
      </c>
      <c r="L8" s="21">
        <f>H8-113336</f>
        <v>36664</v>
      </c>
      <c r="M8" s="21">
        <v>11879</v>
      </c>
      <c r="N8" s="67">
        <f t="shared" si="1"/>
        <v>7.9193333333333338E-2</v>
      </c>
      <c r="O8" s="23">
        <v>59.99</v>
      </c>
      <c r="P8" s="24">
        <v>179.35</v>
      </c>
      <c r="Q8" s="25">
        <v>0.20599999999999999</v>
      </c>
      <c r="R8" s="25">
        <v>0.20599999999999999</v>
      </c>
      <c r="S8" s="21">
        <f t="shared" si="2"/>
        <v>611.16852808801468</v>
      </c>
      <c r="T8" s="21">
        <f t="shared" si="3"/>
        <v>177980.58252427186</v>
      </c>
      <c r="U8" s="26">
        <f t="shared" si="4"/>
        <v>4.0858719587757539</v>
      </c>
      <c r="V8" s="25">
        <v>50.13</v>
      </c>
      <c r="W8" s="25">
        <f t="shared" si="5"/>
        <v>30000</v>
      </c>
      <c r="X8" s="25">
        <f t="shared" si="6"/>
        <v>598.44404548174748</v>
      </c>
      <c r="Y8" s="27" t="s">
        <v>2504</v>
      </c>
      <c r="Z8" s="19" t="s">
        <v>35</v>
      </c>
      <c r="AA8" s="19" t="s">
        <v>35</v>
      </c>
      <c r="AB8" s="19" t="s">
        <v>2505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2505</v>
      </c>
      <c r="B9" s="10" t="s">
        <v>2551</v>
      </c>
      <c r="C9" s="10" t="s">
        <v>2552</v>
      </c>
      <c r="D9" s="11">
        <v>45635</v>
      </c>
      <c r="E9" s="12">
        <v>150000</v>
      </c>
      <c r="F9" s="10" t="s">
        <v>32</v>
      </c>
      <c r="G9" s="10" t="s">
        <v>33</v>
      </c>
      <c r="H9" s="12">
        <v>150000</v>
      </c>
      <c r="I9" s="12">
        <v>58300</v>
      </c>
      <c r="J9" s="13">
        <f t="shared" si="0"/>
        <v>38.866666666666667</v>
      </c>
      <c r="K9" s="12">
        <v>129871</v>
      </c>
      <c r="L9" s="12">
        <f>H9-121671</f>
        <v>28329</v>
      </c>
      <c r="M9" s="12">
        <v>8200</v>
      </c>
      <c r="N9" s="66">
        <f t="shared" si="1"/>
        <v>5.4666666666666669E-2</v>
      </c>
      <c r="O9" s="14">
        <v>41.41</v>
      </c>
      <c r="P9" s="15">
        <v>134</v>
      </c>
      <c r="Q9" s="16">
        <v>0.123</v>
      </c>
      <c r="R9" s="16">
        <v>0.123</v>
      </c>
      <c r="S9" s="12">
        <f t="shared" si="2"/>
        <v>684.11011832890608</v>
      </c>
      <c r="T9" s="12">
        <f t="shared" si="3"/>
        <v>230317.07317073172</v>
      </c>
      <c r="U9" s="17">
        <f t="shared" si="4"/>
        <v>5.287352460301463</v>
      </c>
      <c r="V9" s="16">
        <v>40</v>
      </c>
      <c r="W9" s="16">
        <f t="shared" si="5"/>
        <v>30000</v>
      </c>
      <c r="X9" s="16">
        <f t="shared" si="6"/>
        <v>750</v>
      </c>
      <c r="Y9" s="18" t="s">
        <v>2504</v>
      </c>
      <c r="Z9" s="10" t="s">
        <v>35</v>
      </c>
      <c r="AA9" s="10" t="s">
        <v>35</v>
      </c>
      <c r="AB9" s="10" t="s">
        <v>2505</v>
      </c>
      <c r="AC9" s="10">
        <v>0</v>
      </c>
      <c r="AD9" s="10">
        <v>1</v>
      </c>
      <c r="AE9" s="10" t="s">
        <v>42</v>
      </c>
      <c r="AF9" s="10" t="s">
        <v>35</v>
      </c>
      <c r="AG9" s="10" t="s">
        <v>38</v>
      </c>
      <c r="AH9" s="10" t="s">
        <v>92</v>
      </c>
    </row>
    <row r="10" spans="1:34" x14ac:dyDescent="0.3">
      <c r="A10" s="75" t="s">
        <v>2505</v>
      </c>
      <c r="B10" s="19" t="s">
        <v>2547</v>
      </c>
      <c r="C10" s="19" t="s">
        <v>2548</v>
      </c>
      <c r="D10" s="20">
        <v>45427</v>
      </c>
      <c r="E10" s="21">
        <v>161000</v>
      </c>
      <c r="F10" s="19" t="s">
        <v>32</v>
      </c>
      <c r="G10" s="19" t="s">
        <v>33</v>
      </c>
      <c r="H10" s="21">
        <v>161000</v>
      </c>
      <c r="I10" s="21">
        <v>54600</v>
      </c>
      <c r="J10" s="22">
        <f t="shared" si="0"/>
        <v>33.913043478260867</v>
      </c>
      <c r="K10" s="21">
        <v>120460</v>
      </c>
      <c r="L10" s="21">
        <f>H10-110364</f>
        <v>50636</v>
      </c>
      <c r="M10" s="21">
        <v>10096</v>
      </c>
      <c r="N10" s="67">
        <f t="shared" si="1"/>
        <v>6.2708074534161495E-2</v>
      </c>
      <c r="O10" s="23">
        <v>50.99</v>
      </c>
      <c r="P10" s="24">
        <v>130</v>
      </c>
      <c r="Q10" s="25">
        <v>0.14899999999999999</v>
      </c>
      <c r="R10" s="25">
        <v>0.14899999999999999</v>
      </c>
      <c r="S10" s="21">
        <f t="shared" si="2"/>
        <v>993.05746224749942</v>
      </c>
      <c r="T10" s="21">
        <f t="shared" si="3"/>
        <v>339838.92617449665</v>
      </c>
      <c r="U10" s="26">
        <f t="shared" si="4"/>
        <v>7.8016282409204925</v>
      </c>
      <c r="V10" s="25">
        <v>50</v>
      </c>
      <c r="W10" s="25">
        <f t="shared" si="5"/>
        <v>32200</v>
      </c>
      <c r="X10" s="25">
        <f t="shared" si="6"/>
        <v>644</v>
      </c>
      <c r="Y10" s="27" t="s">
        <v>2504</v>
      </c>
      <c r="Z10" s="19" t="s">
        <v>35</v>
      </c>
      <c r="AA10" s="19" t="s">
        <v>35</v>
      </c>
      <c r="AB10" s="19" t="s">
        <v>2505</v>
      </c>
      <c r="AC10" s="19">
        <v>0</v>
      </c>
      <c r="AD10" s="19">
        <v>1</v>
      </c>
      <c r="AE10" s="19" t="s">
        <v>42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2505</v>
      </c>
      <c r="B11" s="10" t="s">
        <v>2560</v>
      </c>
      <c r="C11" s="10" t="s">
        <v>2561</v>
      </c>
      <c r="D11" s="11">
        <v>45681</v>
      </c>
      <c r="E11" s="12">
        <v>155000</v>
      </c>
      <c r="F11" s="10" t="s">
        <v>32</v>
      </c>
      <c r="G11" s="10" t="s">
        <v>33</v>
      </c>
      <c r="H11" s="12">
        <v>155000</v>
      </c>
      <c r="I11" s="12">
        <v>51800</v>
      </c>
      <c r="J11" s="13">
        <f t="shared" si="0"/>
        <v>33.419354838709673</v>
      </c>
      <c r="K11" s="12">
        <v>115199</v>
      </c>
      <c r="L11" s="12">
        <f>H11-105339</f>
        <v>49661</v>
      </c>
      <c r="M11" s="12">
        <v>9860</v>
      </c>
      <c r="N11" s="66">
        <f t="shared" si="1"/>
        <v>6.3612903225806455E-2</v>
      </c>
      <c r="O11" s="14">
        <v>49.79</v>
      </c>
      <c r="P11" s="15">
        <v>124</v>
      </c>
      <c r="Q11" s="16">
        <v>0.14199999999999999</v>
      </c>
      <c r="R11" s="16">
        <v>0.14199999999999999</v>
      </c>
      <c r="S11" s="12">
        <f t="shared" si="2"/>
        <v>997.40911829684683</v>
      </c>
      <c r="T11" s="12">
        <f t="shared" si="3"/>
        <v>349725.35211267608</v>
      </c>
      <c r="U11" s="17">
        <f t="shared" si="4"/>
        <v>8.028589350612398</v>
      </c>
      <c r="V11" s="16">
        <v>50</v>
      </c>
      <c r="W11" s="16">
        <f t="shared" si="5"/>
        <v>31000</v>
      </c>
      <c r="X11" s="16">
        <f t="shared" si="6"/>
        <v>620</v>
      </c>
      <c r="Y11" s="18" t="s">
        <v>2504</v>
      </c>
      <c r="Z11" s="10" t="s">
        <v>35</v>
      </c>
      <c r="AA11" s="10" t="s">
        <v>35</v>
      </c>
      <c r="AB11" s="10" t="s">
        <v>2505</v>
      </c>
      <c r="AC11" s="10">
        <v>0</v>
      </c>
      <c r="AD11" s="10">
        <v>1</v>
      </c>
      <c r="AE11" s="10" t="s">
        <v>42</v>
      </c>
      <c r="AF11" s="10" t="s">
        <v>35</v>
      </c>
      <c r="AG11" s="10" t="s">
        <v>38</v>
      </c>
      <c r="AH11" s="10" t="s">
        <v>92</v>
      </c>
    </row>
    <row r="12" spans="1:34" x14ac:dyDescent="0.3">
      <c r="A12" s="75" t="s">
        <v>2505</v>
      </c>
      <c r="B12" s="19" t="s">
        <v>2516</v>
      </c>
      <c r="C12" s="19" t="s">
        <v>2517</v>
      </c>
      <c r="D12" s="20">
        <v>45623</v>
      </c>
      <c r="E12" s="21">
        <v>150000</v>
      </c>
      <c r="F12" s="19" t="s">
        <v>32</v>
      </c>
      <c r="G12" s="19" t="s">
        <v>33</v>
      </c>
      <c r="H12" s="21">
        <v>150000</v>
      </c>
      <c r="I12" s="21">
        <v>57500</v>
      </c>
      <c r="J12" s="22">
        <f t="shared" si="0"/>
        <v>38.333333333333336</v>
      </c>
      <c r="K12" s="21">
        <v>117175</v>
      </c>
      <c r="L12" s="21">
        <f>H12-109098</f>
        <v>40902</v>
      </c>
      <c r="M12" s="21">
        <v>8077</v>
      </c>
      <c r="N12" s="67">
        <f t="shared" si="1"/>
        <v>5.3846666666666668E-2</v>
      </c>
      <c r="O12" s="23">
        <v>40.79</v>
      </c>
      <c r="P12" s="24">
        <v>130</v>
      </c>
      <c r="Q12" s="25">
        <v>0.11899999999999999</v>
      </c>
      <c r="R12" s="25">
        <v>0.11899999999999999</v>
      </c>
      <c r="S12" s="21">
        <f t="shared" si="2"/>
        <v>1002.7457710223094</v>
      </c>
      <c r="T12" s="21">
        <f t="shared" si="3"/>
        <v>343714.28571428574</v>
      </c>
      <c r="U12" s="26">
        <f t="shared" si="4"/>
        <v>7.890594254230618</v>
      </c>
      <c r="V12" s="25">
        <v>40</v>
      </c>
      <c r="W12" s="25">
        <f t="shared" si="5"/>
        <v>30000</v>
      </c>
      <c r="X12" s="25">
        <f t="shared" si="6"/>
        <v>750</v>
      </c>
      <c r="Y12" s="27" t="s">
        <v>2504</v>
      </c>
      <c r="Z12" s="19" t="s">
        <v>35</v>
      </c>
      <c r="AA12" s="19" t="s">
        <v>35</v>
      </c>
      <c r="AB12" s="19" t="s">
        <v>2505</v>
      </c>
      <c r="AC12" s="19">
        <v>0</v>
      </c>
      <c r="AD12" s="19">
        <v>1</v>
      </c>
      <c r="AE12" s="19" t="s">
        <v>42</v>
      </c>
      <c r="AF12" s="19" t="s">
        <v>35</v>
      </c>
      <c r="AG12" s="19" t="s">
        <v>38</v>
      </c>
      <c r="AH12" s="19" t="s">
        <v>92</v>
      </c>
    </row>
    <row r="13" spans="1:34" x14ac:dyDescent="0.3">
      <c r="A13" s="75" t="s">
        <v>2505</v>
      </c>
      <c r="B13" s="19" t="s">
        <v>2562</v>
      </c>
      <c r="C13" s="19" t="s">
        <v>2563</v>
      </c>
      <c r="D13" s="20">
        <v>45653</v>
      </c>
      <c r="E13" s="21">
        <v>170000</v>
      </c>
      <c r="F13" s="19" t="s">
        <v>32</v>
      </c>
      <c r="G13" s="19" t="s">
        <v>33</v>
      </c>
      <c r="H13" s="21">
        <v>170000</v>
      </c>
      <c r="I13" s="21">
        <v>56600</v>
      </c>
      <c r="J13" s="22">
        <f t="shared" si="0"/>
        <v>33.294117647058826</v>
      </c>
      <c r="K13" s="21">
        <v>126193</v>
      </c>
      <c r="L13" s="21">
        <f>H13-118116</f>
        <v>51884</v>
      </c>
      <c r="M13" s="21">
        <v>8077</v>
      </c>
      <c r="N13" s="67">
        <f t="shared" si="1"/>
        <v>4.7511764705882351E-2</v>
      </c>
      <c r="O13" s="23">
        <v>40.79</v>
      </c>
      <c r="P13" s="24">
        <v>130</v>
      </c>
      <c r="Q13" s="25">
        <v>0.11899999999999999</v>
      </c>
      <c r="R13" s="25">
        <v>0.11899999999999999</v>
      </c>
      <c r="S13" s="21">
        <f t="shared" si="2"/>
        <v>1271.9784260848248</v>
      </c>
      <c r="T13" s="21">
        <f t="shared" si="3"/>
        <v>436000</v>
      </c>
      <c r="U13" s="26">
        <f t="shared" si="4"/>
        <v>10.009182736455463</v>
      </c>
      <c r="V13" s="25">
        <v>40</v>
      </c>
      <c r="W13" s="25">
        <f t="shared" si="5"/>
        <v>34000</v>
      </c>
      <c r="X13" s="25">
        <f t="shared" si="6"/>
        <v>850</v>
      </c>
      <c r="Y13" s="27" t="s">
        <v>2504</v>
      </c>
      <c r="Z13" s="19" t="s">
        <v>35</v>
      </c>
      <c r="AA13" s="19" t="s">
        <v>35</v>
      </c>
      <c r="AB13" s="19" t="s">
        <v>2505</v>
      </c>
      <c r="AC13" s="19">
        <v>0</v>
      </c>
      <c r="AD13" s="19">
        <v>1</v>
      </c>
      <c r="AE13" s="19" t="s">
        <v>42</v>
      </c>
      <c r="AF13" s="19" t="s">
        <v>35</v>
      </c>
      <c r="AG13" s="19" t="s">
        <v>38</v>
      </c>
      <c r="AH13" s="19" t="s">
        <v>92</v>
      </c>
    </row>
    <row r="14" spans="1:34" ht="15" thickBot="1" x14ac:dyDescent="0.35">
      <c r="A14" s="75" t="s">
        <v>2505</v>
      </c>
      <c r="B14" s="19" t="s">
        <v>2511</v>
      </c>
      <c r="C14" s="19" t="s">
        <v>2512</v>
      </c>
      <c r="D14" s="20">
        <v>45525</v>
      </c>
      <c r="E14" s="21">
        <v>170000</v>
      </c>
      <c r="F14" s="19" t="s">
        <v>81</v>
      </c>
      <c r="G14" s="19" t="s">
        <v>33</v>
      </c>
      <c r="H14" s="21">
        <v>170000</v>
      </c>
      <c r="I14" s="21">
        <v>54200</v>
      </c>
      <c r="J14" s="22">
        <f t="shared" si="0"/>
        <v>31.882352941176471</v>
      </c>
      <c r="K14" s="21">
        <v>119355</v>
      </c>
      <c r="L14" s="21">
        <f>H14-111155</f>
        <v>58845</v>
      </c>
      <c r="M14" s="21">
        <v>8200</v>
      </c>
      <c r="N14" s="67">
        <f t="shared" si="1"/>
        <v>4.8235294117647057E-2</v>
      </c>
      <c r="O14" s="23">
        <v>41.41</v>
      </c>
      <c r="P14" s="24">
        <v>134</v>
      </c>
      <c r="Q14" s="25">
        <v>0.123</v>
      </c>
      <c r="R14" s="25">
        <v>0.123</v>
      </c>
      <c r="S14" s="21">
        <f t="shared" si="2"/>
        <v>1421.0335667713114</v>
      </c>
      <c r="T14" s="21">
        <f t="shared" si="3"/>
        <v>478414.63414634147</v>
      </c>
      <c r="U14" s="26">
        <f t="shared" si="4"/>
        <v>10.98288875450738</v>
      </c>
      <c r="V14" s="25">
        <v>40</v>
      </c>
      <c r="W14" s="25">
        <f t="shared" si="5"/>
        <v>34000</v>
      </c>
      <c r="X14" s="25">
        <f t="shared" si="6"/>
        <v>850</v>
      </c>
      <c r="Y14" s="27" t="s">
        <v>2504</v>
      </c>
      <c r="Z14" s="19" t="s">
        <v>35</v>
      </c>
      <c r="AA14" s="19" t="s">
        <v>35</v>
      </c>
      <c r="AB14" s="19" t="s">
        <v>2505</v>
      </c>
      <c r="AC14" s="19">
        <v>0</v>
      </c>
      <c r="AD14" s="19">
        <v>1</v>
      </c>
      <c r="AE14" s="19" t="s">
        <v>2513</v>
      </c>
      <c r="AF14" s="19" t="s">
        <v>35</v>
      </c>
      <c r="AG14" s="19" t="s">
        <v>38</v>
      </c>
      <c r="AH14" s="19" t="s">
        <v>92</v>
      </c>
    </row>
    <row r="15" spans="1:34" ht="15" thickTop="1" x14ac:dyDescent="0.3">
      <c r="A15" s="76"/>
      <c r="B15" s="37"/>
      <c r="C15" s="37"/>
      <c r="D15" s="38" t="s">
        <v>2876</v>
      </c>
      <c r="E15" s="39">
        <f>+SUM(E2:E14)</f>
        <v>1878000</v>
      </c>
      <c r="F15" s="37"/>
      <c r="G15" s="37"/>
      <c r="H15" s="39">
        <f>+SUM(H2:H14)</f>
        <v>1878000</v>
      </c>
      <c r="I15" s="39">
        <f>+SUM(I2:I14)</f>
        <v>783300</v>
      </c>
      <c r="J15" s="40"/>
      <c r="K15" s="39">
        <f>+SUM(K2:K14)</f>
        <v>1749665</v>
      </c>
      <c r="L15" s="39">
        <f>+SUM(L2:L14)</f>
        <v>297764</v>
      </c>
      <c r="M15" s="39">
        <f>+SUM(M2:M14)</f>
        <v>169429</v>
      </c>
      <c r="N15" s="81">
        <f>AVERAGE(N2:N14)</f>
        <v>0.10073877628471843</v>
      </c>
      <c r="O15" s="41">
        <f>+SUM(O2:O14)</f>
        <v>855.63999999999987</v>
      </c>
      <c r="P15" s="42"/>
      <c r="Q15" s="43">
        <f>+SUM(Q2:Q14)</f>
        <v>2.5339999999999998</v>
      </c>
      <c r="R15" s="43">
        <f>+SUM(R2:R14)</f>
        <v>2.5339999999999998</v>
      </c>
      <c r="S15" s="39"/>
      <c r="T15" s="39"/>
      <c r="U15" s="44"/>
      <c r="V15" s="43"/>
      <c r="W15" s="82">
        <f>AVERAGE(W2:W14)</f>
        <v>28892.307692307691</v>
      </c>
      <c r="X15" s="83">
        <f>AVERAGE(X2:X14)</f>
        <v>589.0854393960318</v>
      </c>
      <c r="Y15" s="45"/>
      <c r="Z15" s="37"/>
      <c r="AA15" s="37"/>
      <c r="AB15" s="37"/>
      <c r="AC15" s="37"/>
      <c r="AD15" s="37"/>
      <c r="AE15" s="37"/>
      <c r="AF15" s="37"/>
      <c r="AG15" s="37"/>
      <c r="AH15" s="37"/>
    </row>
    <row r="16" spans="1:34" x14ac:dyDescent="0.3">
      <c r="A16" s="77"/>
      <c r="B16" s="28"/>
      <c r="C16" s="28"/>
      <c r="D16" s="29"/>
      <c r="E16" s="30"/>
      <c r="F16" s="28"/>
      <c r="G16" s="28"/>
      <c r="H16" s="30"/>
      <c r="I16" s="30" t="s">
        <v>2877</v>
      </c>
      <c r="J16" s="31">
        <f>I15/H15*100</f>
        <v>41.709265175718855</v>
      </c>
      <c r="K16" s="30"/>
      <c r="L16" s="30"/>
      <c r="M16" s="30" t="s">
        <v>2879</v>
      </c>
      <c r="N16" s="79"/>
      <c r="O16" s="32"/>
      <c r="P16" s="33"/>
      <c r="Q16" s="34" t="s">
        <v>2879</v>
      </c>
      <c r="R16" s="34"/>
      <c r="S16" s="30"/>
      <c r="T16" s="30" t="s">
        <v>2879</v>
      </c>
      <c r="U16" s="35"/>
      <c r="V16" s="34"/>
      <c r="W16" s="63"/>
      <c r="X16" s="68"/>
      <c r="Y16" s="36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x14ac:dyDescent="0.3">
      <c r="A17" s="78"/>
      <c r="B17" s="46"/>
      <c r="C17" s="46"/>
      <c r="D17" s="47"/>
      <c r="E17" s="48"/>
      <c r="F17" s="46"/>
      <c r="G17" s="46"/>
      <c r="H17" s="48"/>
      <c r="I17" s="48" t="s">
        <v>2878</v>
      </c>
      <c r="J17" s="49">
        <f>STDEV(J2:J14)</f>
        <v>12.015754746235176</v>
      </c>
      <c r="K17" s="48"/>
      <c r="L17" s="48"/>
      <c r="M17" s="48" t="s">
        <v>2880</v>
      </c>
      <c r="N17" s="80"/>
      <c r="O17" s="54">
        <f>L15/O15</f>
        <v>348.00149595624333</v>
      </c>
      <c r="P17" s="50"/>
      <c r="Q17" s="51" t="s">
        <v>2881</v>
      </c>
      <c r="R17" s="51">
        <f>L15/Q15</f>
        <v>117507.49802683505</v>
      </c>
      <c r="S17" s="48"/>
      <c r="T17" s="48" t="s">
        <v>2882</v>
      </c>
      <c r="U17" s="52">
        <f>L15/Q15/43560</f>
        <v>2.6976009648033759</v>
      </c>
      <c r="V17" s="51"/>
      <c r="W17" s="64"/>
      <c r="X17" s="69"/>
      <c r="Y17" s="53"/>
      <c r="Z17" s="46"/>
      <c r="AA17" s="46"/>
      <c r="AB17" s="46"/>
      <c r="AC17" s="46"/>
      <c r="AD17" s="46"/>
      <c r="AE17" s="46"/>
      <c r="AF17" s="46"/>
      <c r="AG17" s="46"/>
      <c r="AH17" s="46"/>
    </row>
    <row r="18" spans="1:34" x14ac:dyDescent="0.3">
      <c r="E18" s="94" t="s">
        <v>3099</v>
      </c>
      <c r="L18" s="95"/>
    </row>
    <row r="19" spans="1:34" x14ac:dyDescent="0.3">
      <c r="E19" s="383" t="s">
        <v>3163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3164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3165</v>
      </c>
      <c r="F21" s="383"/>
      <c r="G21" s="383"/>
      <c r="H21" s="383"/>
      <c r="I21" s="383"/>
      <c r="J21" s="383"/>
      <c r="K21" s="383"/>
      <c r="L21" s="383"/>
    </row>
    <row r="22" spans="1:34" x14ac:dyDescent="0.3">
      <c r="E22" s="383" t="s">
        <v>3166</v>
      </c>
      <c r="F22" s="383"/>
      <c r="G22" s="383"/>
      <c r="H22" s="383"/>
      <c r="I22" s="383"/>
      <c r="J22" s="96"/>
      <c r="K22" s="96"/>
      <c r="L22" s="96"/>
    </row>
    <row r="23" spans="1:34" x14ac:dyDescent="0.3">
      <c r="E23" s="383" t="s">
        <v>3167</v>
      </c>
      <c r="F23" s="383"/>
      <c r="G23" s="383"/>
      <c r="H23" s="383"/>
      <c r="I23" s="383"/>
      <c r="L23" s="95"/>
    </row>
    <row r="24" spans="1:34" x14ac:dyDescent="0.3">
      <c r="E24" s="383" t="s">
        <v>3100</v>
      </c>
      <c r="F24" s="383"/>
      <c r="G24" s="383"/>
      <c r="H24" s="383"/>
      <c r="I24" s="383"/>
      <c r="L24" s="95"/>
    </row>
    <row r="25" spans="1:34" x14ac:dyDescent="0.3">
      <c r="E25" s="96"/>
      <c r="F25" s="96"/>
      <c r="G25" s="96"/>
      <c r="H25" s="96"/>
      <c r="I25" s="96"/>
      <c r="L25" s="95"/>
    </row>
    <row r="26" spans="1:34" x14ac:dyDescent="0.3">
      <c r="A26" s="55" t="s">
        <v>3092</v>
      </c>
      <c r="E26" s="96"/>
      <c r="F26" s="96"/>
      <c r="G26" s="96"/>
      <c r="H26" s="96"/>
      <c r="I26" s="96"/>
      <c r="L26" s="95"/>
    </row>
    <row r="27" spans="1:34" x14ac:dyDescent="0.3">
      <c r="A27" s="74" t="s">
        <v>2505</v>
      </c>
      <c r="B27" s="10" t="s">
        <v>2502</v>
      </c>
      <c r="C27" s="10" t="s">
        <v>2503</v>
      </c>
      <c r="D27" s="11">
        <v>45637</v>
      </c>
      <c r="E27" s="12">
        <v>10000</v>
      </c>
      <c r="F27" s="10" t="s">
        <v>32</v>
      </c>
      <c r="G27" s="10" t="s">
        <v>33</v>
      </c>
      <c r="H27" s="12">
        <v>10000</v>
      </c>
      <c r="I27" s="12">
        <v>59400</v>
      </c>
      <c r="J27" s="13">
        <f t="shared" ref="J27:J30" si="7">I27/H27*100</f>
        <v>594</v>
      </c>
      <c r="K27" s="12">
        <v>127047</v>
      </c>
      <c r="L27" s="12">
        <f>H27-118847</f>
        <v>-108847</v>
      </c>
      <c r="M27" s="12">
        <v>8200</v>
      </c>
      <c r="N27" s="66">
        <f t="shared" ref="N27:N30" si="8">M27/E27</f>
        <v>0.82</v>
      </c>
      <c r="O27" s="14">
        <v>41.41</v>
      </c>
      <c r="P27" s="15">
        <v>134</v>
      </c>
      <c r="Q27" s="16">
        <v>0.123</v>
      </c>
      <c r="R27" s="16">
        <v>0.123</v>
      </c>
      <c r="S27" s="12">
        <f t="shared" ref="S27:S30" si="9">L27/O27</f>
        <v>-2628.5196812364165</v>
      </c>
      <c r="T27" s="12">
        <f t="shared" ref="T27:T30" si="10">L27/Q27</f>
        <v>-884934.9593495935</v>
      </c>
      <c r="U27" s="17">
        <f t="shared" ref="U27:U30" si="11">L27/Q27/43560</f>
        <v>-20.31531127983456</v>
      </c>
      <c r="V27" s="16">
        <v>40</v>
      </c>
      <c r="W27" s="16">
        <f t="shared" ref="W27:W30" si="12">0.2*E27</f>
        <v>2000</v>
      </c>
      <c r="X27" s="16">
        <f t="shared" ref="X27:X30" si="13">W27/V27</f>
        <v>50</v>
      </c>
      <c r="Y27" s="18" t="s">
        <v>2504</v>
      </c>
      <c r="Z27" s="10" t="s">
        <v>35</v>
      </c>
      <c r="AA27" s="10" t="s">
        <v>35</v>
      </c>
      <c r="AB27" s="10" t="s">
        <v>2505</v>
      </c>
      <c r="AC27" s="10">
        <v>0</v>
      </c>
      <c r="AD27" s="10">
        <v>1</v>
      </c>
      <c r="AE27" s="10" t="s">
        <v>2506</v>
      </c>
      <c r="AF27" s="10" t="s">
        <v>35</v>
      </c>
      <c r="AG27" s="10" t="s">
        <v>38</v>
      </c>
      <c r="AH27" s="10" t="s">
        <v>92</v>
      </c>
    </row>
    <row r="28" spans="1:34" x14ac:dyDescent="0.3">
      <c r="A28" s="74" t="s">
        <v>2505</v>
      </c>
      <c r="B28" s="10" t="s">
        <v>2562</v>
      </c>
      <c r="C28" s="10" t="s">
        <v>2563</v>
      </c>
      <c r="D28" s="11">
        <v>45407</v>
      </c>
      <c r="E28" s="12">
        <v>45000</v>
      </c>
      <c r="F28" s="10" t="s">
        <v>32</v>
      </c>
      <c r="G28" s="10" t="s">
        <v>33</v>
      </c>
      <c r="H28" s="12">
        <v>45000</v>
      </c>
      <c r="I28" s="12">
        <v>56600</v>
      </c>
      <c r="J28" s="13">
        <f t="shared" si="7"/>
        <v>125.77777777777779</v>
      </c>
      <c r="K28" s="12">
        <v>126193</v>
      </c>
      <c r="L28" s="12">
        <f>H28-118116</f>
        <v>-73116</v>
      </c>
      <c r="M28" s="12">
        <v>8077</v>
      </c>
      <c r="N28" s="66">
        <f t="shared" si="8"/>
        <v>0.17948888888888889</v>
      </c>
      <c r="O28" s="14">
        <v>40.79</v>
      </c>
      <c r="P28" s="15">
        <v>130</v>
      </c>
      <c r="Q28" s="16">
        <v>0.11899999999999999</v>
      </c>
      <c r="R28" s="16">
        <v>0.11899999999999999</v>
      </c>
      <c r="S28" s="12">
        <f t="shared" si="9"/>
        <v>-1792.4981613140476</v>
      </c>
      <c r="T28" s="12">
        <f t="shared" si="10"/>
        <v>-614420.16806722688</v>
      </c>
      <c r="U28" s="17">
        <f t="shared" si="11"/>
        <v>-14.105146190707687</v>
      </c>
      <c r="V28" s="16">
        <v>40</v>
      </c>
      <c r="W28" s="16">
        <f t="shared" si="12"/>
        <v>9000</v>
      </c>
      <c r="X28" s="16">
        <f t="shared" si="13"/>
        <v>225</v>
      </c>
      <c r="Y28" s="18" t="s">
        <v>2504</v>
      </c>
      <c r="Z28" s="10" t="s">
        <v>35</v>
      </c>
      <c r="AA28" s="10" t="s">
        <v>35</v>
      </c>
      <c r="AB28" s="10" t="s">
        <v>2505</v>
      </c>
      <c r="AC28" s="10">
        <v>0</v>
      </c>
      <c r="AD28" s="10">
        <v>1</v>
      </c>
      <c r="AE28" s="10" t="s">
        <v>42</v>
      </c>
      <c r="AF28" s="10" t="s">
        <v>43</v>
      </c>
      <c r="AG28" s="10" t="s">
        <v>38</v>
      </c>
      <c r="AH28" s="10" t="s">
        <v>92</v>
      </c>
    </row>
    <row r="29" spans="1:34" x14ac:dyDescent="0.3">
      <c r="A29" s="75" t="s">
        <v>2505</v>
      </c>
      <c r="B29" s="19" t="s">
        <v>2562</v>
      </c>
      <c r="C29" s="19" t="s">
        <v>2563</v>
      </c>
      <c r="D29" s="20">
        <v>45407</v>
      </c>
      <c r="E29" s="21">
        <v>57000</v>
      </c>
      <c r="F29" s="19" t="s">
        <v>32</v>
      </c>
      <c r="G29" s="19" t="s">
        <v>33</v>
      </c>
      <c r="H29" s="21">
        <v>57000</v>
      </c>
      <c r="I29" s="21">
        <v>56600</v>
      </c>
      <c r="J29" s="22">
        <f t="shared" si="7"/>
        <v>99.298245614035082</v>
      </c>
      <c r="K29" s="21">
        <v>126193</v>
      </c>
      <c r="L29" s="21">
        <f>H29-118116</f>
        <v>-61116</v>
      </c>
      <c r="M29" s="21">
        <v>8077</v>
      </c>
      <c r="N29" s="67">
        <f t="shared" si="8"/>
        <v>0.14170175438596491</v>
      </c>
      <c r="O29" s="23">
        <v>40.79</v>
      </c>
      <c r="P29" s="24">
        <v>130</v>
      </c>
      <c r="Q29" s="25">
        <v>0.11899999999999999</v>
      </c>
      <c r="R29" s="25">
        <v>0.11899999999999999</v>
      </c>
      <c r="S29" s="21">
        <f t="shared" si="9"/>
        <v>-1498.3084089237559</v>
      </c>
      <c r="T29" s="21">
        <f t="shared" si="10"/>
        <v>-513579.83193277312</v>
      </c>
      <c r="U29" s="26">
        <f t="shared" si="11"/>
        <v>-11.790170613700026</v>
      </c>
      <c r="V29" s="25">
        <v>40</v>
      </c>
      <c r="W29" s="25">
        <f t="shared" si="12"/>
        <v>11400</v>
      </c>
      <c r="X29" s="25">
        <f t="shared" si="13"/>
        <v>285</v>
      </c>
      <c r="Y29" s="27" t="s">
        <v>2504</v>
      </c>
      <c r="Z29" s="19" t="s">
        <v>35</v>
      </c>
      <c r="AA29" s="19" t="s">
        <v>35</v>
      </c>
      <c r="AB29" s="19" t="s">
        <v>2505</v>
      </c>
      <c r="AC29" s="19">
        <v>0</v>
      </c>
      <c r="AD29" s="19">
        <v>1</v>
      </c>
      <c r="AE29" s="19" t="s">
        <v>42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4" t="s">
        <v>2505</v>
      </c>
      <c r="B30" s="10" t="s">
        <v>2507</v>
      </c>
      <c r="C30" s="10" t="s">
        <v>2508</v>
      </c>
      <c r="D30" s="11">
        <v>45614</v>
      </c>
      <c r="E30" s="12">
        <v>175000</v>
      </c>
      <c r="F30" s="10" t="s">
        <v>32</v>
      </c>
      <c r="G30" s="10" t="s">
        <v>33</v>
      </c>
      <c r="H30" s="12">
        <v>175000</v>
      </c>
      <c r="I30" s="12">
        <v>52000</v>
      </c>
      <c r="J30" s="13">
        <f t="shared" si="7"/>
        <v>29.714285714285715</v>
      </c>
      <c r="K30" s="12">
        <v>116732</v>
      </c>
      <c r="L30" s="12">
        <f>H30-108532</f>
        <v>66468</v>
      </c>
      <c r="M30" s="12">
        <v>8200</v>
      </c>
      <c r="N30" s="66">
        <f t="shared" si="8"/>
        <v>4.6857142857142854E-2</v>
      </c>
      <c r="O30" s="14">
        <v>41.41</v>
      </c>
      <c r="P30" s="15">
        <v>134</v>
      </c>
      <c r="Q30" s="16">
        <v>0.123</v>
      </c>
      <c r="R30" s="16">
        <v>0.123</v>
      </c>
      <c r="S30" s="12">
        <f t="shared" si="9"/>
        <v>1605.1195363438785</v>
      </c>
      <c r="T30" s="12">
        <f t="shared" si="10"/>
        <v>540390.24390243902</v>
      </c>
      <c r="U30" s="17">
        <f t="shared" si="11"/>
        <v>12.405652982149656</v>
      </c>
      <c r="V30" s="16">
        <v>40</v>
      </c>
      <c r="W30" s="16">
        <f t="shared" si="12"/>
        <v>35000</v>
      </c>
      <c r="X30" s="16">
        <f t="shared" si="13"/>
        <v>875</v>
      </c>
      <c r="Y30" s="18" t="s">
        <v>2504</v>
      </c>
      <c r="Z30" s="10" t="s">
        <v>35</v>
      </c>
      <c r="AA30" s="10" t="s">
        <v>35</v>
      </c>
      <c r="AB30" s="10" t="s">
        <v>2505</v>
      </c>
      <c r="AC30" s="10">
        <v>0</v>
      </c>
      <c r="AD30" s="10">
        <v>1</v>
      </c>
      <c r="AE30" s="10" t="s">
        <v>42</v>
      </c>
      <c r="AF30" s="10" t="s">
        <v>35</v>
      </c>
      <c r="AG30" s="10" t="s">
        <v>38</v>
      </c>
      <c r="AH30" s="10" t="s">
        <v>92</v>
      </c>
    </row>
  </sheetData>
  <sortState xmlns:xlrd2="http://schemas.microsoft.com/office/spreadsheetml/2017/richdata2" ref="A2:AH18">
    <sortCondition ref="S2:S18"/>
  </sortState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7">
    <tabColor rgb="FF00B050"/>
  </sheetPr>
  <dimension ref="A1:AH51"/>
  <sheetViews>
    <sheetView workbookViewId="0">
      <selection activeCell="E28" sqref="E28:L3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3320312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2435</v>
      </c>
      <c r="B2" s="19" t="s">
        <v>2440</v>
      </c>
      <c r="C2" s="19" t="s">
        <v>2441</v>
      </c>
      <c r="D2" s="20">
        <v>45548</v>
      </c>
      <c r="E2" s="21">
        <v>140000</v>
      </c>
      <c r="F2" s="19" t="s">
        <v>32</v>
      </c>
      <c r="G2" s="19" t="s">
        <v>33</v>
      </c>
      <c r="H2" s="21">
        <v>140000</v>
      </c>
      <c r="I2" s="21">
        <v>64600</v>
      </c>
      <c r="J2" s="22">
        <f t="shared" ref="J2:J24" si="0">I2/H2*100</f>
        <v>46.142857142857139</v>
      </c>
      <c r="K2" s="21">
        <v>142873</v>
      </c>
      <c r="L2" s="21">
        <f>H2-134190</f>
        <v>5810</v>
      </c>
      <c r="M2" s="21">
        <v>8683</v>
      </c>
      <c r="N2" s="67">
        <f t="shared" ref="N2:N24" si="1">M2/E2</f>
        <v>6.2021428571428575E-2</v>
      </c>
      <c r="O2" s="23">
        <v>46.93</v>
      </c>
      <c r="P2" s="24">
        <v>178.97</v>
      </c>
      <c r="Q2" s="25">
        <v>0.16400000000000001</v>
      </c>
      <c r="R2" s="25">
        <v>0.16400000000000001</v>
      </c>
      <c r="S2" s="21">
        <f t="shared" ref="S2:S24" si="2">L2/O2</f>
        <v>123.80140634988281</v>
      </c>
      <c r="T2" s="21">
        <f t="shared" ref="T2:T24" si="3">L2/Q2</f>
        <v>35426.829268292684</v>
      </c>
      <c r="U2" s="26">
        <f t="shared" ref="U2:U24" si="4">L2/Q2/43560</f>
        <v>0.8132880915586016</v>
      </c>
      <c r="V2" s="25">
        <v>40</v>
      </c>
      <c r="W2" s="25">
        <f t="shared" ref="W2:W24" si="5">0.2*E2</f>
        <v>28000</v>
      </c>
      <c r="X2" s="25">
        <f t="shared" ref="X2:X24" si="6">W2/V2</f>
        <v>700</v>
      </c>
      <c r="Y2" s="27" t="s">
        <v>2434</v>
      </c>
      <c r="Z2" s="19" t="s">
        <v>35</v>
      </c>
      <c r="AA2" s="19" t="s">
        <v>35</v>
      </c>
      <c r="AB2" s="19" t="s">
        <v>2435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2435</v>
      </c>
      <c r="B3" s="10" t="s">
        <v>2444</v>
      </c>
      <c r="C3" s="10" t="s">
        <v>2445</v>
      </c>
      <c r="D3" s="11">
        <v>45580</v>
      </c>
      <c r="E3" s="12">
        <v>164000</v>
      </c>
      <c r="F3" s="10" t="s">
        <v>32</v>
      </c>
      <c r="G3" s="10" t="s">
        <v>33</v>
      </c>
      <c r="H3" s="12">
        <v>164000</v>
      </c>
      <c r="I3" s="12">
        <v>74100</v>
      </c>
      <c r="J3" s="13">
        <f t="shared" si="0"/>
        <v>45.182926829268297</v>
      </c>
      <c r="K3" s="12">
        <v>169185</v>
      </c>
      <c r="L3" s="12">
        <f>H3-151277</f>
        <v>12723</v>
      </c>
      <c r="M3" s="12">
        <v>17908</v>
      </c>
      <c r="N3" s="66">
        <f t="shared" si="1"/>
        <v>0.10919512195121951</v>
      </c>
      <c r="O3" s="14">
        <v>96.79</v>
      </c>
      <c r="P3" s="15">
        <v>178.97</v>
      </c>
      <c r="Q3" s="16">
        <v>0.33800000000000002</v>
      </c>
      <c r="R3" s="16">
        <v>0.33800000000000002</v>
      </c>
      <c r="S3" s="12">
        <f t="shared" si="2"/>
        <v>131.44952991011468</v>
      </c>
      <c r="T3" s="12">
        <f t="shared" si="3"/>
        <v>37642.011834319521</v>
      </c>
      <c r="U3" s="17">
        <f t="shared" si="4"/>
        <v>0.86414168582000739</v>
      </c>
      <c r="V3" s="16">
        <v>83</v>
      </c>
      <c r="W3" s="16">
        <f t="shared" si="5"/>
        <v>32800</v>
      </c>
      <c r="X3" s="16">
        <f t="shared" si="6"/>
        <v>395.18072289156629</v>
      </c>
      <c r="Y3" s="18" t="s">
        <v>2434</v>
      </c>
      <c r="Z3" s="10" t="s">
        <v>35</v>
      </c>
      <c r="AA3" s="10" t="s">
        <v>35</v>
      </c>
      <c r="AB3" s="10" t="s">
        <v>2435</v>
      </c>
      <c r="AC3" s="10">
        <v>0</v>
      </c>
      <c r="AD3" s="10">
        <v>1</v>
      </c>
      <c r="AE3" s="10" t="s">
        <v>37</v>
      </c>
      <c r="AF3" s="10" t="s">
        <v>35</v>
      </c>
      <c r="AG3" s="10" t="s">
        <v>38</v>
      </c>
      <c r="AH3" s="10" t="s">
        <v>92</v>
      </c>
    </row>
    <row r="4" spans="1:34" x14ac:dyDescent="0.3">
      <c r="A4" s="75" t="s">
        <v>2435</v>
      </c>
      <c r="B4" s="19" t="s">
        <v>2456</v>
      </c>
      <c r="C4" s="19" t="s">
        <v>2457</v>
      </c>
      <c r="D4" s="20">
        <v>45121</v>
      </c>
      <c r="E4" s="21">
        <v>135000</v>
      </c>
      <c r="F4" s="19" t="s">
        <v>81</v>
      </c>
      <c r="G4" s="19" t="s">
        <v>33</v>
      </c>
      <c r="H4" s="21">
        <v>135000</v>
      </c>
      <c r="I4" s="21">
        <v>52300</v>
      </c>
      <c r="J4" s="22">
        <f t="shared" si="0"/>
        <v>38.74074074074074</v>
      </c>
      <c r="K4" s="21">
        <v>136363</v>
      </c>
      <c r="L4" s="21">
        <f>H4-127162</f>
        <v>7838</v>
      </c>
      <c r="M4" s="21">
        <v>9201</v>
      </c>
      <c r="N4" s="67">
        <f t="shared" si="1"/>
        <v>6.8155555555555553E-2</v>
      </c>
      <c r="O4" s="23">
        <v>49.73</v>
      </c>
      <c r="P4" s="24">
        <v>201</v>
      </c>
      <c r="Q4" s="25">
        <v>0.185</v>
      </c>
      <c r="R4" s="25">
        <v>0.185</v>
      </c>
      <c r="S4" s="21">
        <f t="shared" si="2"/>
        <v>157.61109993967426</v>
      </c>
      <c r="T4" s="21">
        <f t="shared" si="3"/>
        <v>42367.567567567567</v>
      </c>
      <c r="U4" s="26">
        <f t="shared" si="4"/>
        <v>0.97262551808006348</v>
      </c>
      <c r="V4" s="25">
        <v>40</v>
      </c>
      <c r="W4" s="25">
        <f t="shared" si="5"/>
        <v>27000</v>
      </c>
      <c r="X4" s="25">
        <f t="shared" si="6"/>
        <v>675</v>
      </c>
      <c r="Y4" s="27" t="s">
        <v>2434</v>
      </c>
      <c r="Z4" s="19" t="s">
        <v>35</v>
      </c>
      <c r="AA4" s="19" t="s">
        <v>35</v>
      </c>
      <c r="AB4" s="19" t="s">
        <v>2435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2435</v>
      </c>
      <c r="B5" s="10" t="s">
        <v>2450</v>
      </c>
      <c r="C5" s="10" t="s">
        <v>2451</v>
      </c>
      <c r="D5" s="11">
        <v>45314</v>
      </c>
      <c r="E5" s="12">
        <v>155000</v>
      </c>
      <c r="F5" s="10" t="s">
        <v>32</v>
      </c>
      <c r="G5" s="10" t="s">
        <v>33</v>
      </c>
      <c r="H5" s="12">
        <v>155000</v>
      </c>
      <c r="I5" s="12">
        <v>60400</v>
      </c>
      <c r="J5" s="13">
        <f t="shared" si="0"/>
        <v>38.967741935483872</v>
      </c>
      <c r="K5" s="12">
        <v>153891</v>
      </c>
      <c r="L5" s="12">
        <f>H5-144657</f>
        <v>10343</v>
      </c>
      <c r="M5" s="12">
        <v>9234</v>
      </c>
      <c r="N5" s="66">
        <f t="shared" si="1"/>
        <v>5.9574193548387097E-2</v>
      </c>
      <c r="O5" s="14">
        <v>49.91</v>
      </c>
      <c r="P5" s="15">
        <v>202.43</v>
      </c>
      <c r="Q5" s="16">
        <v>0.186</v>
      </c>
      <c r="R5" s="16">
        <v>0.186</v>
      </c>
      <c r="S5" s="12">
        <f t="shared" si="2"/>
        <v>207.23301943498299</v>
      </c>
      <c r="T5" s="12">
        <f t="shared" si="3"/>
        <v>55607.526881720427</v>
      </c>
      <c r="U5" s="17">
        <f t="shared" si="4"/>
        <v>1.2765731607373836</v>
      </c>
      <c r="V5" s="16">
        <v>40</v>
      </c>
      <c r="W5" s="16">
        <f t="shared" si="5"/>
        <v>31000</v>
      </c>
      <c r="X5" s="16">
        <f t="shared" si="6"/>
        <v>775</v>
      </c>
      <c r="Y5" s="18" t="s">
        <v>2434</v>
      </c>
      <c r="Z5" s="10" t="s">
        <v>35</v>
      </c>
      <c r="AA5" s="10" t="s">
        <v>35</v>
      </c>
      <c r="AB5" s="10" t="s">
        <v>2435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2435</v>
      </c>
      <c r="B6" s="10" t="s">
        <v>2436</v>
      </c>
      <c r="C6" s="10" t="s">
        <v>2437</v>
      </c>
      <c r="D6" s="11">
        <v>45190</v>
      </c>
      <c r="E6" s="12">
        <v>130000</v>
      </c>
      <c r="F6" s="10" t="s">
        <v>32</v>
      </c>
      <c r="G6" s="10" t="s">
        <v>33</v>
      </c>
      <c r="H6" s="12">
        <v>130000</v>
      </c>
      <c r="I6" s="12">
        <v>49800</v>
      </c>
      <c r="J6" s="13">
        <f t="shared" si="0"/>
        <v>38.307692307692307</v>
      </c>
      <c r="K6" s="12">
        <v>127725</v>
      </c>
      <c r="L6" s="12">
        <f>H6-118946</f>
        <v>11054</v>
      </c>
      <c r="M6" s="12">
        <v>8779</v>
      </c>
      <c r="N6" s="66">
        <f t="shared" si="1"/>
        <v>6.7530769230769228E-2</v>
      </c>
      <c r="O6" s="14">
        <v>47.45</v>
      </c>
      <c r="P6" s="15">
        <v>182.97</v>
      </c>
      <c r="Q6" s="16">
        <v>0.16800000000000001</v>
      </c>
      <c r="R6" s="16">
        <v>0.16800000000000001</v>
      </c>
      <c r="S6" s="12">
        <f t="shared" si="2"/>
        <v>232.96101159114858</v>
      </c>
      <c r="T6" s="12">
        <f t="shared" si="3"/>
        <v>65797.619047619039</v>
      </c>
      <c r="U6" s="17">
        <f t="shared" si="4"/>
        <v>1.5105054877782149</v>
      </c>
      <c r="V6" s="16">
        <v>40</v>
      </c>
      <c r="W6" s="16">
        <f t="shared" si="5"/>
        <v>26000</v>
      </c>
      <c r="X6" s="16">
        <f t="shared" si="6"/>
        <v>650</v>
      </c>
      <c r="Y6" s="18" t="s">
        <v>2434</v>
      </c>
      <c r="Z6" s="10" t="s">
        <v>35</v>
      </c>
      <c r="AA6" s="10" t="s">
        <v>35</v>
      </c>
      <c r="AB6" s="10" t="s">
        <v>2435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5" t="s">
        <v>2435</v>
      </c>
      <c r="B7" s="19" t="s">
        <v>2585</v>
      </c>
      <c r="C7" s="19" t="s">
        <v>2586</v>
      </c>
      <c r="D7" s="20">
        <v>45383</v>
      </c>
      <c r="E7" s="21">
        <v>151000</v>
      </c>
      <c r="F7" s="19" t="s">
        <v>32</v>
      </c>
      <c r="G7" s="19" t="s">
        <v>33</v>
      </c>
      <c r="H7" s="21">
        <v>151000</v>
      </c>
      <c r="I7" s="21">
        <v>62400</v>
      </c>
      <c r="J7" s="22">
        <f t="shared" si="0"/>
        <v>41.324503311258276</v>
      </c>
      <c r="K7" s="21">
        <v>141819</v>
      </c>
      <c r="L7" s="21">
        <f>H7-124518</f>
        <v>26482</v>
      </c>
      <c r="M7" s="21">
        <v>17301</v>
      </c>
      <c r="N7" s="67">
        <f t="shared" si="1"/>
        <v>0.11457615894039735</v>
      </c>
      <c r="O7" s="23">
        <v>93.51</v>
      </c>
      <c r="P7" s="24">
        <v>177.64</v>
      </c>
      <c r="Q7" s="25">
        <v>0.32600000000000001</v>
      </c>
      <c r="R7" s="25">
        <v>0.32600000000000001</v>
      </c>
      <c r="S7" s="21">
        <f t="shared" si="2"/>
        <v>283.19965779061062</v>
      </c>
      <c r="T7" s="21">
        <f t="shared" si="3"/>
        <v>81233.128834355826</v>
      </c>
      <c r="U7" s="26">
        <f t="shared" si="4"/>
        <v>1.8648560338465525</v>
      </c>
      <c r="V7" s="25">
        <v>80</v>
      </c>
      <c r="W7" s="25">
        <f t="shared" si="5"/>
        <v>30200</v>
      </c>
      <c r="X7" s="25">
        <f t="shared" si="6"/>
        <v>377.5</v>
      </c>
      <c r="Y7" s="27" t="s">
        <v>2434</v>
      </c>
      <c r="Z7" s="19" t="s">
        <v>35</v>
      </c>
      <c r="AA7" s="19" t="s">
        <v>35</v>
      </c>
      <c r="AB7" s="19" t="s">
        <v>2435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4" t="s">
        <v>2435</v>
      </c>
      <c r="B8" s="10" t="s">
        <v>2522</v>
      </c>
      <c r="C8" s="10" t="s">
        <v>2523</v>
      </c>
      <c r="D8" s="11">
        <v>45516</v>
      </c>
      <c r="E8" s="12">
        <v>125000</v>
      </c>
      <c r="F8" s="10" t="s">
        <v>32</v>
      </c>
      <c r="G8" s="10" t="s">
        <v>33</v>
      </c>
      <c r="H8" s="12">
        <v>125000</v>
      </c>
      <c r="I8" s="12">
        <v>52900</v>
      </c>
      <c r="J8" s="13">
        <f t="shared" si="0"/>
        <v>42.32</v>
      </c>
      <c r="K8" s="12">
        <v>121182</v>
      </c>
      <c r="L8" s="12">
        <f>H8-114269</f>
        <v>10731</v>
      </c>
      <c r="M8" s="12">
        <v>6913</v>
      </c>
      <c r="N8" s="66">
        <f t="shared" si="1"/>
        <v>5.5303999999999999E-2</v>
      </c>
      <c r="O8" s="14">
        <v>37.36</v>
      </c>
      <c r="P8" s="15">
        <v>113.46</v>
      </c>
      <c r="Q8" s="16">
        <v>0.104</v>
      </c>
      <c r="R8" s="16">
        <v>0.104</v>
      </c>
      <c r="S8" s="12">
        <f t="shared" si="2"/>
        <v>287.23233404710919</v>
      </c>
      <c r="T8" s="12">
        <f t="shared" si="3"/>
        <v>103182.69230769231</v>
      </c>
      <c r="U8" s="17">
        <f t="shared" si="4"/>
        <v>2.3687486755668576</v>
      </c>
      <c r="V8" s="16">
        <v>40</v>
      </c>
      <c r="W8" s="16">
        <f t="shared" si="5"/>
        <v>25000</v>
      </c>
      <c r="X8" s="16">
        <f t="shared" si="6"/>
        <v>625</v>
      </c>
      <c r="Y8" s="18" t="s">
        <v>2434</v>
      </c>
      <c r="Z8" s="10" t="s">
        <v>35</v>
      </c>
      <c r="AA8" s="10" t="s">
        <v>35</v>
      </c>
      <c r="AB8" s="10" t="s">
        <v>2435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5" t="s">
        <v>2435</v>
      </c>
      <c r="B9" s="19" t="s">
        <v>2571</v>
      </c>
      <c r="C9" s="19" t="s">
        <v>2572</v>
      </c>
      <c r="D9" s="20">
        <v>45422</v>
      </c>
      <c r="E9" s="21">
        <v>187500</v>
      </c>
      <c r="F9" s="19" t="s">
        <v>32</v>
      </c>
      <c r="G9" s="19" t="s">
        <v>33</v>
      </c>
      <c r="H9" s="21">
        <v>187500</v>
      </c>
      <c r="I9" s="21">
        <v>79100</v>
      </c>
      <c r="J9" s="22">
        <f t="shared" si="0"/>
        <v>42.186666666666667</v>
      </c>
      <c r="K9" s="21">
        <v>174836</v>
      </c>
      <c r="L9" s="21">
        <f>H9-152129</f>
        <v>35371</v>
      </c>
      <c r="M9" s="21">
        <v>22707</v>
      </c>
      <c r="N9" s="67">
        <f t="shared" si="1"/>
        <v>0.121104</v>
      </c>
      <c r="O9" s="23">
        <v>122.74</v>
      </c>
      <c r="P9" s="24">
        <v>177.64</v>
      </c>
      <c r="Q9" s="25">
        <v>0.42799999999999999</v>
      </c>
      <c r="R9" s="25">
        <v>0.42799999999999999</v>
      </c>
      <c r="S9" s="21">
        <f t="shared" si="2"/>
        <v>288.17826299494868</v>
      </c>
      <c r="T9" s="21">
        <f t="shared" si="3"/>
        <v>82642.523364485984</v>
      </c>
      <c r="U9" s="26">
        <f t="shared" si="4"/>
        <v>1.8972112801764458</v>
      </c>
      <c r="V9" s="25">
        <v>105</v>
      </c>
      <c r="W9" s="25">
        <f t="shared" si="5"/>
        <v>37500</v>
      </c>
      <c r="X9" s="25">
        <f t="shared" si="6"/>
        <v>357.14285714285717</v>
      </c>
      <c r="Y9" s="27" t="s">
        <v>2434</v>
      </c>
      <c r="Z9" s="19" t="s">
        <v>35</v>
      </c>
      <c r="AA9" s="19" t="s">
        <v>35</v>
      </c>
      <c r="AB9" s="19" t="s">
        <v>2435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x14ac:dyDescent="0.3">
      <c r="A10" s="74" t="s">
        <v>2435</v>
      </c>
      <c r="B10" s="10" t="s">
        <v>2432</v>
      </c>
      <c r="C10" s="10" t="s">
        <v>2433</v>
      </c>
      <c r="D10" s="11">
        <v>45215</v>
      </c>
      <c r="E10" s="12">
        <v>113000</v>
      </c>
      <c r="F10" s="10" t="s">
        <v>32</v>
      </c>
      <c r="G10" s="10" t="s">
        <v>33</v>
      </c>
      <c r="H10" s="12">
        <v>113000</v>
      </c>
      <c r="I10" s="12">
        <v>37400</v>
      </c>
      <c r="J10" s="13">
        <f t="shared" si="0"/>
        <v>33.097345132743364</v>
      </c>
      <c r="K10" s="12">
        <v>93482</v>
      </c>
      <c r="L10" s="12">
        <f>H10-59742</f>
        <v>53258</v>
      </c>
      <c r="M10" s="12">
        <v>33740</v>
      </c>
      <c r="N10" s="66">
        <f t="shared" si="1"/>
        <v>0.29858407079646015</v>
      </c>
      <c r="O10" s="14">
        <v>182.37</v>
      </c>
      <c r="P10" s="15">
        <v>192.18</v>
      </c>
      <c r="Q10" s="16">
        <v>0.66200000000000003</v>
      </c>
      <c r="R10" s="16">
        <v>0.66200000000000003</v>
      </c>
      <c r="S10" s="12">
        <f t="shared" si="2"/>
        <v>292.03268081373034</v>
      </c>
      <c r="T10" s="12">
        <f t="shared" si="3"/>
        <v>80450.151057401803</v>
      </c>
      <c r="U10" s="17">
        <f t="shared" si="4"/>
        <v>1.8468813374059183</v>
      </c>
      <c r="V10" s="16">
        <v>150</v>
      </c>
      <c r="W10" s="16">
        <f t="shared" si="5"/>
        <v>22600</v>
      </c>
      <c r="X10" s="16">
        <f t="shared" si="6"/>
        <v>150.66666666666666</v>
      </c>
      <c r="Y10" s="18" t="s">
        <v>2434</v>
      </c>
      <c r="Z10" s="10" t="s">
        <v>35</v>
      </c>
      <c r="AA10" s="10" t="s">
        <v>35</v>
      </c>
      <c r="AB10" s="10" t="s">
        <v>2435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4" t="s">
        <v>2435</v>
      </c>
      <c r="B11" s="10" t="s">
        <v>2581</v>
      </c>
      <c r="C11" s="10" t="s">
        <v>2582</v>
      </c>
      <c r="D11" s="11">
        <v>45744</v>
      </c>
      <c r="E11" s="12">
        <v>186000</v>
      </c>
      <c r="F11" s="10" t="s">
        <v>32</v>
      </c>
      <c r="G11" s="10" t="s">
        <v>33</v>
      </c>
      <c r="H11" s="12">
        <v>186000</v>
      </c>
      <c r="I11" s="12">
        <v>73200</v>
      </c>
      <c r="J11" s="13">
        <f t="shared" si="0"/>
        <v>39.354838709677423</v>
      </c>
      <c r="K11" s="12">
        <v>161110</v>
      </c>
      <c r="L11" s="12">
        <f>H11-128172</f>
        <v>57828</v>
      </c>
      <c r="M11" s="12">
        <v>32938</v>
      </c>
      <c r="N11" s="66">
        <f t="shared" si="1"/>
        <v>0.17708602150537633</v>
      </c>
      <c r="O11" s="14">
        <v>178.04</v>
      </c>
      <c r="P11" s="15">
        <v>196</v>
      </c>
      <c r="Q11" s="16">
        <v>0.65200000000000002</v>
      </c>
      <c r="R11" s="16">
        <v>0.65200000000000002</v>
      </c>
      <c r="S11" s="12">
        <f t="shared" si="2"/>
        <v>324.80341496292971</v>
      </c>
      <c r="T11" s="12">
        <f t="shared" si="3"/>
        <v>88693.251533742325</v>
      </c>
      <c r="U11" s="17">
        <f t="shared" si="4"/>
        <v>2.0361168855312748</v>
      </c>
      <c r="V11" s="16">
        <v>145</v>
      </c>
      <c r="W11" s="16">
        <f t="shared" si="5"/>
        <v>37200</v>
      </c>
      <c r="X11" s="16">
        <f t="shared" si="6"/>
        <v>256.55172413793105</v>
      </c>
      <c r="Y11" s="18" t="s">
        <v>2434</v>
      </c>
      <c r="Z11" s="10" t="s">
        <v>35</v>
      </c>
      <c r="AA11" s="10" t="s">
        <v>35</v>
      </c>
      <c r="AB11" s="10" t="s">
        <v>2435</v>
      </c>
      <c r="AC11" s="10">
        <v>0</v>
      </c>
      <c r="AD11" s="10">
        <v>1</v>
      </c>
      <c r="AE11" s="10" t="s">
        <v>37</v>
      </c>
      <c r="AF11" s="10" t="s">
        <v>35</v>
      </c>
      <c r="AG11" s="10" t="s">
        <v>38</v>
      </c>
      <c r="AH11" s="10" t="s">
        <v>92</v>
      </c>
    </row>
    <row r="12" spans="1:34" x14ac:dyDescent="0.3">
      <c r="A12" s="75" t="s">
        <v>2435</v>
      </c>
      <c r="B12" s="19" t="s">
        <v>2526</v>
      </c>
      <c r="C12" s="19" t="s">
        <v>2527</v>
      </c>
      <c r="D12" s="20">
        <v>45604</v>
      </c>
      <c r="E12" s="21">
        <v>169000</v>
      </c>
      <c r="F12" s="19" t="s">
        <v>32</v>
      </c>
      <c r="G12" s="19" t="s">
        <v>33</v>
      </c>
      <c r="H12" s="21">
        <v>169000</v>
      </c>
      <c r="I12" s="21">
        <v>72600</v>
      </c>
      <c r="J12" s="22">
        <f t="shared" si="0"/>
        <v>42.958579881656803</v>
      </c>
      <c r="K12" s="21">
        <v>155950</v>
      </c>
      <c r="L12" s="21">
        <f>H12-146203</f>
        <v>22797</v>
      </c>
      <c r="M12" s="21">
        <v>9747</v>
      </c>
      <c r="N12" s="67">
        <f t="shared" si="1"/>
        <v>5.7674556213017751E-2</v>
      </c>
      <c r="O12" s="23">
        <v>52.68</v>
      </c>
      <c r="P12" s="24">
        <v>122</v>
      </c>
      <c r="Q12" s="25">
        <v>0.152</v>
      </c>
      <c r="R12" s="25">
        <v>0.152</v>
      </c>
      <c r="S12" s="21">
        <f t="shared" si="2"/>
        <v>432.74487471526197</v>
      </c>
      <c r="T12" s="21">
        <f t="shared" si="3"/>
        <v>149980.26315789475</v>
      </c>
      <c r="U12" s="26">
        <f t="shared" si="4"/>
        <v>3.4430730752501089</v>
      </c>
      <c r="V12" s="25">
        <v>54.8</v>
      </c>
      <c r="W12" s="25">
        <f t="shared" si="5"/>
        <v>33800</v>
      </c>
      <c r="X12" s="25">
        <f t="shared" si="6"/>
        <v>616.78832116788328</v>
      </c>
      <c r="Y12" s="27" t="s">
        <v>2434</v>
      </c>
      <c r="Z12" s="19" t="s">
        <v>35</v>
      </c>
      <c r="AA12" s="19" t="s">
        <v>35</v>
      </c>
      <c r="AB12" s="19" t="s">
        <v>2435</v>
      </c>
      <c r="AC12" s="19">
        <v>0</v>
      </c>
      <c r="AD12" s="19">
        <v>1</v>
      </c>
      <c r="AE12" s="19" t="s">
        <v>42</v>
      </c>
      <c r="AF12" s="19" t="s">
        <v>35</v>
      </c>
      <c r="AG12" s="19" t="s">
        <v>38</v>
      </c>
      <c r="AH12" s="19" t="s">
        <v>92</v>
      </c>
    </row>
    <row r="13" spans="1:34" x14ac:dyDescent="0.3">
      <c r="A13" s="75" t="s">
        <v>2435</v>
      </c>
      <c r="B13" s="19" t="s">
        <v>2583</v>
      </c>
      <c r="C13" s="19" t="s">
        <v>2584</v>
      </c>
      <c r="D13" s="20">
        <v>45187</v>
      </c>
      <c r="E13" s="21">
        <v>150000</v>
      </c>
      <c r="F13" s="19" t="s">
        <v>32</v>
      </c>
      <c r="G13" s="19" t="s">
        <v>33</v>
      </c>
      <c r="H13" s="21">
        <v>150000</v>
      </c>
      <c r="I13" s="21">
        <v>50100</v>
      </c>
      <c r="J13" s="22">
        <f t="shared" si="0"/>
        <v>33.4</v>
      </c>
      <c r="K13" s="21">
        <v>133974</v>
      </c>
      <c r="L13" s="21">
        <f>H13-122616</f>
        <v>27384</v>
      </c>
      <c r="M13" s="21">
        <v>11358</v>
      </c>
      <c r="N13" s="67">
        <f t="shared" si="1"/>
        <v>7.5719999999999996E-2</v>
      </c>
      <c r="O13" s="23">
        <v>61.39</v>
      </c>
      <c r="P13" s="24">
        <v>196</v>
      </c>
      <c r="Q13" s="25">
        <v>0.22500000000000001</v>
      </c>
      <c r="R13" s="25">
        <v>0.22500000000000001</v>
      </c>
      <c r="S13" s="21">
        <f t="shared" si="2"/>
        <v>446.06613454960092</v>
      </c>
      <c r="T13" s="21">
        <f t="shared" si="3"/>
        <v>121706.66666666666</v>
      </c>
      <c r="U13" s="26">
        <f t="shared" si="4"/>
        <v>2.7940006121824301</v>
      </c>
      <c r="V13" s="25">
        <v>50</v>
      </c>
      <c r="W13" s="25">
        <f t="shared" si="5"/>
        <v>30000</v>
      </c>
      <c r="X13" s="25">
        <f t="shared" si="6"/>
        <v>600</v>
      </c>
      <c r="Y13" s="27" t="s">
        <v>2434</v>
      </c>
      <c r="Z13" s="19" t="s">
        <v>35</v>
      </c>
      <c r="AA13" s="19" t="s">
        <v>35</v>
      </c>
      <c r="AB13" s="19" t="s">
        <v>2435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2435</v>
      </c>
      <c r="B14" s="19" t="s">
        <v>2524</v>
      </c>
      <c r="C14" s="19" t="s">
        <v>2525</v>
      </c>
      <c r="D14" s="20">
        <v>45520</v>
      </c>
      <c r="E14" s="21">
        <v>145000</v>
      </c>
      <c r="F14" s="19" t="s">
        <v>32</v>
      </c>
      <c r="G14" s="19" t="s">
        <v>33</v>
      </c>
      <c r="H14" s="21">
        <v>145000</v>
      </c>
      <c r="I14" s="21">
        <v>60100</v>
      </c>
      <c r="J14" s="22">
        <f t="shared" si="0"/>
        <v>41.448275862068968</v>
      </c>
      <c r="K14" s="21">
        <v>132597</v>
      </c>
      <c r="L14" s="21">
        <f>H14-125056</f>
        <v>19944</v>
      </c>
      <c r="M14" s="21">
        <v>7541</v>
      </c>
      <c r="N14" s="67">
        <f t="shared" si="1"/>
        <v>5.2006896551724136E-2</v>
      </c>
      <c r="O14" s="23">
        <v>40.76</v>
      </c>
      <c r="P14" s="24">
        <v>135</v>
      </c>
      <c r="Q14" s="25">
        <v>0.124</v>
      </c>
      <c r="R14" s="25">
        <v>0.124</v>
      </c>
      <c r="S14" s="21">
        <f t="shared" si="2"/>
        <v>489.30323846908738</v>
      </c>
      <c r="T14" s="21">
        <f t="shared" si="3"/>
        <v>160838.70967741936</v>
      </c>
      <c r="U14" s="26">
        <f t="shared" si="4"/>
        <v>3.692348707011464</v>
      </c>
      <c r="V14" s="25">
        <v>40</v>
      </c>
      <c r="W14" s="25">
        <f t="shared" si="5"/>
        <v>29000</v>
      </c>
      <c r="X14" s="25">
        <f t="shared" si="6"/>
        <v>725</v>
      </c>
      <c r="Y14" s="27" t="s">
        <v>2434</v>
      </c>
      <c r="Z14" s="19" t="s">
        <v>35</v>
      </c>
      <c r="AA14" s="19" t="s">
        <v>35</v>
      </c>
      <c r="AB14" s="19" t="s">
        <v>2435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4" t="s">
        <v>2435</v>
      </c>
      <c r="B15" s="10" t="s">
        <v>2545</v>
      </c>
      <c r="C15" s="10" t="s">
        <v>2546</v>
      </c>
      <c r="D15" s="11">
        <v>45432</v>
      </c>
      <c r="E15" s="12">
        <v>110000</v>
      </c>
      <c r="F15" s="10" t="s">
        <v>32</v>
      </c>
      <c r="G15" s="10" t="s">
        <v>33</v>
      </c>
      <c r="H15" s="12">
        <v>110000</v>
      </c>
      <c r="I15" s="12">
        <v>39700</v>
      </c>
      <c r="J15" s="13">
        <f t="shared" si="0"/>
        <v>36.090909090909093</v>
      </c>
      <c r="K15" s="12">
        <v>94758</v>
      </c>
      <c r="L15" s="12">
        <f>H15-87065</f>
        <v>22935</v>
      </c>
      <c r="M15" s="12">
        <v>7693</v>
      </c>
      <c r="N15" s="66">
        <f t="shared" si="1"/>
        <v>6.993636363636363E-2</v>
      </c>
      <c r="O15" s="14">
        <v>41.58</v>
      </c>
      <c r="P15" s="15">
        <v>140.5</v>
      </c>
      <c r="Q15" s="16">
        <v>0.129</v>
      </c>
      <c r="R15" s="16">
        <v>0.129</v>
      </c>
      <c r="S15" s="12">
        <f t="shared" si="2"/>
        <v>551.58730158730157</v>
      </c>
      <c r="T15" s="12">
        <f t="shared" si="3"/>
        <v>177790.6976744186</v>
      </c>
      <c r="U15" s="17">
        <f t="shared" si="4"/>
        <v>4.0815128024430347</v>
      </c>
      <c r="V15" s="16">
        <v>40</v>
      </c>
      <c r="W15" s="16">
        <f t="shared" si="5"/>
        <v>22000</v>
      </c>
      <c r="X15" s="16">
        <f t="shared" si="6"/>
        <v>550</v>
      </c>
      <c r="Y15" s="18" t="s">
        <v>2434</v>
      </c>
      <c r="Z15" s="10" t="s">
        <v>35</v>
      </c>
      <c r="AA15" s="10" t="s">
        <v>35</v>
      </c>
      <c r="AB15" s="10" t="s">
        <v>2435</v>
      </c>
      <c r="AC15" s="10">
        <v>0</v>
      </c>
      <c r="AD15" s="10">
        <v>1</v>
      </c>
      <c r="AE15" s="10" t="s">
        <v>42</v>
      </c>
      <c r="AF15" s="10" t="s">
        <v>43</v>
      </c>
      <c r="AG15" s="10" t="s">
        <v>38</v>
      </c>
      <c r="AH15" s="10" t="s">
        <v>92</v>
      </c>
    </row>
    <row r="16" spans="1:34" x14ac:dyDescent="0.3">
      <c r="A16" s="74" t="s">
        <v>2435</v>
      </c>
      <c r="B16" s="10" t="s">
        <v>2458</v>
      </c>
      <c r="C16" s="10" t="s">
        <v>2459</v>
      </c>
      <c r="D16" s="11">
        <v>45597</v>
      </c>
      <c r="E16" s="12">
        <v>160000</v>
      </c>
      <c r="F16" s="10" t="s">
        <v>32</v>
      </c>
      <c r="G16" s="10" t="s">
        <v>33</v>
      </c>
      <c r="H16" s="12">
        <v>160000</v>
      </c>
      <c r="I16" s="12">
        <v>62400</v>
      </c>
      <c r="J16" s="13">
        <f t="shared" si="0"/>
        <v>39</v>
      </c>
      <c r="K16" s="12">
        <v>140396</v>
      </c>
      <c r="L16" s="12">
        <f>H16-131195</f>
        <v>28805</v>
      </c>
      <c r="M16" s="12">
        <v>9201</v>
      </c>
      <c r="N16" s="66">
        <f t="shared" si="1"/>
        <v>5.7506250000000002E-2</v>
      </c>
      <c r="O16" s="14">
        <v>49.73</v>
      </c>
      <c r="P16" s="15">
        <v>201</v>
      </c>
      <c r="Q16" s="16">
        <v>0.185</v>
      </c>
      <c r="R16" s="16">
        <v>0.185</v>
      </c>
      <c r="S16" s="12">
        <f t="shared" si="2"/>
        <v>579.22783028353115</v>
      </c>
      <c r="T16" s="12">
        <f t="shared" si="3"/>
        <v>155702.70270270269</v>
      </c>
      <c r="U16" s="17">
        <f t="shared" si="4"/>
        <v>3.5744422108058469</v>
      </c>
      <c r="V16" s="16">
        <v>40</v>
      </c>
      <c r="W16" s="16">
        <f t="shared" si="5"/>
        <v>32000</v>
      </c>
      <c r="X16" s="16">
        <f t="shared" si="6"/>
        <v>800</v>
      </c>
      <c r="Y16" s="18" t="s">
        <v>2434</v>
      </c>
      <c r="Z16" s="10" t="s">
        <v>35</v>
      </c>
      <c r="AA16" s="10" t="s">
        <v>35</v>
      </c>
      <c r="AB16" s="10" t="s">
        <v>2435</v>
      </c>
      <c r="AC16" s="10">
        <v>0</v>
      </c>
      <c r="AD16" s="10">
        <v>1</v>
      </c>
      <c r="AE16" s="10" t="s">
        <v>37</v>
      </c>
      <c r="AF16" s="10" t="s">
        <v>35</v>
      </c>
      <c r="AG16" s="10" t="s">
        <v>38</v>
      </c>
      <c r="AH16" s="10" t="s">
        <v>92</v>
      </c>
    </row>
    <row r="17" spans="1:34" x14ac:dyDescent="0.3">
      <c r="A17" s="75" t="s">
        <v>2435</v>
      </c>
      <c r="B17" s="19" t="s">
        <v>2454</v>
      </c>
      <c r="C17" s="19" t="s">
        <v>2455</v>
      </c>
      <c r="D17" s="20">
        <v>45397</v>
      </c>
      <c r="E17" s="21">
        <v>145000</v>
      </c>
      <c r="F17" s="19" t="s">
        <v>32</v>
      </c>
      <c r="G17" s="19" t="s">
        <v>33</v>
      </c>
      <c r="H17" s="21">
        <v>145000</v>
      </c>
      <c r="I17" s="21">
        <v>56400</v>
      </c>
      <c r="J17" s="22">
        <f t="shared" si="0"/>
        <v>38.896551724137929</v>
      </c>
      <c r="K17" s="21">
        <v>125452</v>
      </c>
      <c r="L17" s="21">
        <f>H17-116529</f>
        <v>28471</v>
      </c>
      <c r="M17" s="21">
        <v>8923</v>
      </c>
      <c r="N17" s="67">
        <f t="shared" si="1"/>
        <v>6.1537931034482761E-2</v>
      </c>
      <c r="O17" s="23">
        <v>48.23</v>
      </c>
      <c r="P17" s="24">
        <v>189</v>
      </c>
      <c r="Q17" s="25">
        <v>0.17399999999999999</v>
      </c>
      <c r="R17" s="25">
        <v>0.17399999999999999</v>
      </c>
      <c r="S17" s="21">
        <f t="shared" si="2"/>
        <v>590.31722993987148</v>
      </c>
      <c r="T17" s="21">
        <f t="shared" si="3"/>
        <v>163626.4367816092</v>
      </c>
      <c r="U17" s="26">
        <f t="shared" si="4"/>
        <v>3.7563461152802846</v>
      </c>
      <c r="V17" s="25">
        <v>40</v>
      </c>
      <c r="W17" s="25">
        <f t="shared" si="5"/>
        <v>29000</v>
      </c>
      <c r="X17" s="25">
        <f t="shared" si="6"/>
        <v>725</v>
      </c>
      <c r="Y17" s="27" t="s">
        <v>2434</v>
      </c>
      <c r="Z17" s="19" t="s">
        <v>35</v>
      </c>
      <c r="AA17" s="19" t="s">
        <v>35</v>
      </c>
      <c r="AB17" s="19" t="s">
        <v>2435</v>
      </c>
      <c r="AC17" s="19">
        <v>0</v>
      </c>
      <c r="AD17" s="19">
        <v>1</v>
      </c>
      <c r="AE17" s="19" t="s">
        <v>37</v>
      </c>
      <c r="AF17" s="19" t="s">
        <v>43</v>
      </c>
      <c r="AG17" s="19" t="s">
        <v>38</v>
      </c>
      <c r="AH17" s="19" t="s">
        <v>92</v>
      </c>
    </row>
    <row r="18" spans="1:34" x14ac:dyDescent="0.3">
      <c r="A18" s="75" t="s">
        <v>2435</v>
      </c>
      <c r="B18" s="19" t="s">
        <v>2577</v>
      </c>
      <c r="C18" s="19" t="s">
        <v>2578</v>
      </c>
      <c r="D18" s="20">
        <v>45448</v>
      </c>
      <c r="E18" s="21">
        <v>181000</v>
      </c>
      <c r="F18" s="19" t="s">
        <v>32</v>
      </c>
      <c r="G18" s="19" t="s">
        <v>33</v>
      </c>
      <c r="H18" s="21">
        <v>181000</v>
      </c>
      <c r="I18" s="21">
        <v>61700</v>
      </c>
      <c r="J18" s="22">
        <f t="shared" si="0"/>
        <v>34.088397790055247</v>
      </c>
      <c r="K18" s="21">
        <v>141951</v>
      </c>
      <c r="L18" s="21">
        <f>H18-124650</f>
        <v>56350</v>
      </c>
      <c r="M18" s="21">
        <v>17301</v>
      </c>
      <c r="N18" s="67">
        <f t="shared" si="1"/>
        <v>9.5585635359116017E-2</v>
      </c>
      <c r="O18" s="23">
        <v>93.51</v>
      </c>
      <c r="P18" s="24">
        <v>177.64</v>
      </c>
      <c r="Q18" s="25">
        <v>0.32600000000000001</v>
      </c>
      <c r="R18" s="25">
        <v>0.32600000000000001</v>
      </c>
      <c r="S18" s="21">
        <f t="shared" si="2"/>
        <v>602.60934659394718</v>
      </c>
      <c r="T18" s="21">
        <f t="shared" si="3"/>
        <v>172852.7607361963</v>
      </c>
      <c r="U18" s="26">
        <f t="shared" si="4"/>
        <v>3.9681533685995478</v>
      </c>
      <c r="V18" s="25">
        <v>80</v>
      </c>
      <c r="W18" s="25">
        <f t="shared" si="5"/>
        <v>36200</v>
      </c>
      <c r="X18" s="25">
        <f t="shared" si="6"/>
        <v>452.5</v>
      </c>
      <c r="Y18" s="27" t="s">
        <v>2434</v>
      </c>
      <c r="Z18" s="19" t="s">
        <v>35</v>
      </c>
      <c r="AA18" s="19" t="s">
        <v>35</v>
      </c>
      <c r="AB18" s="19" t="s">
        <v>2435</v>
      </c>
      <c r="AC18" s="19">
        <v>0</v>
      </c>
      <c r="AD18" s="19">
        <v>1</v>
      </c>
      <c r="AE18" s="19" t="s">
        <v>42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2435</v>
      </c>
      <c r="B19" s="10" t="s">
        <v>2571</v>
      </c>
      <c r="C19" s="10" t="s">
        <v>2572</v>
      </c>
      <c r="D19" s="11">
        <v>45527</v>
      </c>
      <c r="E19" s="12">
        <v>230000</v>
      </c>
      <c r="F19" s="10" t="s">
        <v>32</v>
      </c>
      <c r="G19" s="10" t="s">
        <v>33</v>
      </c>
      <c r="H19" s="12">
        <v>230000</v>
      </c>
      <c r="I19" s="12">
        <v>79100</v>
      </c>
      <c r="J19" s="13">
        <f t="shared" si="0"/>
        <v>34.391304347826086</v>
      </c>
      <c r="K19" s="12">
        <v>174836</v>
      </c>
      <c r="L19" s="12">
        <f>H19-152129</f>
        <v>77871</v>
      </c>
      <c r="M19" s="12">
        <v>22707</v>
      </c>
      <c r="N19" s="66">
        <f t="shared" si="1"/>
        <v>9.8726086956521741E-2</v>
      </c>
      <c r="O19" s="14">
        <v>122.74</v>
      </c>
      <c r="P19" s="15">
        <v>177.64</v>
      </c>
      <c r="Q19" s="16">
        <v>0.42799999999999999</v>
      </c>
      <c r="R19" s="16">
        <v>0.42799999999999999</v>
      </c>
      <c r="S19" s="12">
        <f t="shared" si="2"/>
        <v>634.43865080658304</v>
      </c>
      <c r="T19" s="12">
        <f t="shared" si="3"/>
        <v>181941.58878504674</v>
      </c>
      <c r="U19" s="17">
        <f t="shared" si="4"/>
        <v>4.1768041502535986</v>
      </c>
      <c r="V19" s="16">
        <v>105</v>
      </c>
      <c r="W19" s="16">
        <f t="shared" si="5"/>
        <v>46000</v>
      </c>
      <c r="X19" s="16">
        <f t="shared" si="6"/>
        <v>438.09523809523807</v>
      </c>
      <c r="Y19" s="18" t="s">
        <v>2434</v>
      </c>
      <c r="Z19" s="10" t="s">
        <v>35</v>
      </c>
      <c r="AA19" s="10" t="s">
        <v>35</v>
      </c>
      <c r="AB19" s="10" t="s">
        <v>2435</v>
      </c>
      <c r="AC19" s="10">
        <v>0</v>
      </c>
      <c r="AD19" s="10">
        <v>1</v>
      </c>
      <c r="AE19" s="10" t="s">
        <v>42</v>
      </c>
      <c r="AF19" s="10" t="s">
        <v>43</v>
      </c>
      <c r="AG19" s="10" t="s">
        <v>38</v>
      </c>
      <c r="AH19" s="10" t="s">
        <v>92</v>
      </c>
    </row>
    <row r="20" spans="1:34" x14ac:dyDescent="0.3">
      <c r="A20" s="75" t="s">
        <v>2435</v>
      </c>
      <c r="B20" s="19" t="s">
        <v>2539</v>
      </c>
      <c r="C20" s="19" t="s">
        <v>2540</v>
      </c>
      <c r="D20" s="20">
        <v>45441</v>
      </c>
      <c r="E20" s="21">
        <v>190000</v>
      </c>
      <c r="F20" s="19" t="s">
        <v>32</v>
      </c>
      <c r="G20" s="19" t="s">
        <v>33</v>
      </c>
      <c r="H20" s="21">
        <v>190000</v>
      </c>
      <c r="I20" s="21">
        <v>65800</v>
      </c>
      <c r="J20" s="22">
        <f t="shared" si="0"/>
        <v>34.631578947368418</v>
      </c>
      <c r="K20" s="21">
        <v>150365</v>
      </c>
      <c r="L20" s="21">
        <f>H20-135061</f>
        <v>54939</v>
      </c>
      <c r="M20" s="21">
        <v>15304</v>
      </c>
      <c r="N20" s="67">
        <f t="shared" si="1"/>
        <v>8.0547368421052631E-2</v>
      </c>
      <c r="O20" s="23">
        <v>82.72</v>
      </c>
      <c r="P20" s="24">
        <v>139</v>
      </c>
      <c r="Q20" s="25">
        <v>0.255</v>
      </c>
      <c r="R20" s="25">
        <v>0.255</v>
      </c>
      <c r="S20" s="21">
        <f t="shared" si="2"/>
        <v>664.15618955512571</v>
      </c>
      <c r="T20" s="21">
        <f t="shared" si="3"/>
        <v>215447.0588235294</v>
      </c>
      <c r="U20" s="26">
        <f t="shared" si="4"/>
        <v>4.9459839032031541</v>
      </c>
      <c r="V20" s="25">
        <v>80</v>
      </c>
      <c r="W20" s="25">
        <f t="shared" si="5"/>
        <v>38000</v>
      </c>
      <c r="X20" s="25">
        <f t="shared" si="6"/>
        <v>475</v>
      </c>
      <c r="Y20" s="27" t="s">
        <v>2434</v>
      </c>
      <c r="Z20" s="19" t="s">
        <v>35</v>
      </c>
      <c r="AA20" s="19" t="s">
        <v>35</v>
      </c>
      <c r="AB20" s="19" t="s">
        <v>2435</v>
      </c>
      <c r="AC20" s="19">
        <v>0</v>
      </c>
      <c r="AD20" s="19">
        <v>1</v>
      </c>
      <c r="AE20" s="19" t="s">
        <v>37</v>
      </c>
      <c r="AF20" s="19" t="s">
        <v>43</v>
      </c>
      <c r="AG20" s="19" t="s">
        <v>38</v>
      </c>
      <c r="AH20" s="19" t="s">
        <v>92</v>
      </c>
    </row>
    <row r="21" spans="1:34" x14ac:dyDescent="0.3">
      <c r="A21" s="74" t="s">
        <v>2435</v>
      </c>
      <c r="B21" s="10" t="s">
        <v>2535</v>
      </c>
      <c r="C21" s="10" t="s">
        <v>2536</v>
      </c>
      <c r="D21" s="11">
        <v>45688</v>
      </c>
      <c r="E21" s="12">
        <v>111000</v>
      </c>
      <c r="F21" s="10" t="s">
        <v>32</v>
      </c>
      <c r="G21" s="10" t="s">
        <v>33</v>
      </c>
      <c r="H21" s="12">
        <v>111000</v>
      </c>
      <c r="I21" s="12">
        <v>38700</v>
      </c>
      <c r="J21" s="13">
        <f t="shared" si="0"/>
        <v>34.864864864864863</v>
      </c>
      <c r="K21" s="12">
        <v>89382</v>
      </c>
      <c r="L21" s="12">
        <f>H21-81730</f>
        <v>29270</v>
      </c>
      <c r="M21" s="12">
        <v>7652</v>
      </c>
      <c r="N21" s="66">
        <f t="shared" si="1"/>
        <v>6.8936936936936935E-2</v>
      </c>
      <c r="O21" s="14">
        <v>41.36</v>
      </c>
      <c r="P21" s="15">
        <v>139</v>
      </c>
      <c r="Q21" s="16">
        <v>0.128</v>
      </c>
      <c r="R21" s="16">
        <v>0.128</v>
      </c>
      <c r="S21" s="12">
        <f t="shared" si="2"/>
        <v>707.68858800773694</v>
      </c>
      <c r="T21" s="12">
        <f t="shared" si="3"/>
        <v>228671.875</v>
      </c>
      <c r="U21" s="17">
        <f t="shared" si="4"/>
        <v>5.2495839072543617</v>
      </c>
      <c r="V21" s="16">
        <v>40</v>
      </c>
      <c r="W21" s="16">
        <f t="shared" si="5"/>
        <v>22200</v>
      </c>
      <c r="X21" s="16">
        <f t="shared" si="6"/>
        <v>555</v>
      </c>
      <c r="Y21" s="18" t="s">
        <v>2434</v>
      </c>
      <c r="Z21" s="10" t="s">
        <v>35</v>
      </c>
      <c r="AA21" s="10" t="s">
        <v>35</v>
      </c>
      <c r="AB21" s="10" t="s">
        <v>2435</v>
      </c>
      <c r="AC21" s="10">
        <v>0</v>
      </c>
      <c r="AD21" s="10">
        <v>1</v>
      </c>
      <c r="AE21" s="10" t="s">
        <v>42</v>
      </c>
      <c r="AF21" s="10" t="s">
        <v>35</v>
      </c>
      <c r="AG21" s="10" t="s">
        <v>38</v>
      </c>
      <c r="AH21" s="10" t="s">
        <v>92</v>
      </c>
    </row>
    <row r="22" spans="1:34" x14ac:dyDescent="0.3">
      <c r="A22" s="74" t="s">
        <v>2435</v>
      </c>
      <c r="B22" s="10" t="s">
        <v>2543</v>
      </c>
      <c r="C22" s="10" t="s">
        <v>2544</v>
      </c>
      <c r="D22" s="11">
        <v>45413</v>
      </c>
      <c r="E22" s="12">
        <v>110000</v>
      </c>
      <c r="F22" s="10" t="s">
        <v>32</v>
      </c>
      <c r="G22" s="10" t="s">
        <v>33</v>
      </c>
      <c r="H22" s="12">
        <v>110000</v>
      </c>
      <c r="I22" s="12">
        <v>38100</v>
      </c>
      <c r="J22" s="13">
        <f t="shared" si="0"/>
        <v>34.63636363636364</v>
      </c>
      <c r="K22" s="12">
        <v>86310</v>
      </c>
      <c r="L22" s="12">
        <f>H22-78602</f>
        <v>31398</v>
      </c>
      <c r="M22" s="12">
        <v>7708</v>
      </c>
      <c r="N22" s="66">
        <f t="shared" si="1"/>
        <v>7.0072727272727273E-2</v>
      </c>
      <c r="O22" s="14">
        <v>41.66</v>
      </c>
      <c r="P22" s="15">
        <v>141.06</v>
      </c>
      <c r="Q22" s="16">
        <v>0.13</v>
      </c>
      <c r="R22" s="16">
        <v>0.13</v>
      </c>
      <c r="S22" s="12">
        <f t="shared" si="2"/>
        <v>753.67258761401831</v>
      </c>
      <c r="T22" s="12">
        <f t="shared" si="3"/>
        <v>241523.07692307691</v>
      </c>
      <c r="U22" s="17">
        <f t="shared" si="4"/>
        <v>5.5446069082432716</v>
      </c>
      <c r="V22" s="16">
        <v>40</v>
      </c>
      <c r="W22" s="16">
        <f t="shared" si="5"/>
        <v>22000</v>
      </c>
      <c r="X22" s="16">
        <f t="shared" si="6"/>
        <v>550</v>
      </c>
      <c r="Y22" s="18" t="s">
        <v>2434</v>
      </c>
      <c r="Z22" s="10" t="s">
        <v>35</v>
      </c>
      <c r="AA22" s="10" t="s">
        <v>35</v>
      </c>
      <c r="AB22" s="10" t="s">
        <v>2435</v>
      </c>
      <c r="AC22" s="10">
        <v>0</v>
      </c>
      <c r="AD22" s="10">
        <v>1</v>
      </c>
      <c r="AE22" s="10" t="s">
        <v>42</v>
      </c>
      <c r="AF22" s="10" t="s">
        <v>43</v>
      </c>
      <c r="AG22" s="10" t="s">
        <v>38</v>
      </c>
      <c r="AH22" s="10" t="s">
        <v>92</v>
      </c>
    </row>
    <row r="23" spans="1:34" x14ac:dyDescent="0.3">
      <c r="A23" s="74" t="s">
        <v>2435</v>
      </c>
      <c r="B23" s="10" t="s">
        <v>2579</v>
      </c>
      <c r="C23" s="10" t="s">
        <v>2580</v>
      </c>
      <c r="D23" s="11">
        <v>45665</v>
      </c>
      <c r="E23" s="12">
        <v>160000</v>
      </c>
      <c r="F23" s="10" t="s">
        <v>32</v>
      </c>
      <c r="G23" s="10" t="s">
        <v>33</v>
      </c>
      <c r="H23" s="12">
        <v>160000</v>
      </c>
      <c r="I23" s="12">
        <v>59400</v>
      </c>
      <c r="J23" s="13">
        <f t="shared" si="0"/>
        <v>37.125</v>
      </c>
      <c r="K23" s="12">
        <v>132523</v>
      </c>
      <c r="L23" s="12">
        <f>H23-123873</f>
        <v>36127</v>
      </c>
      <c r="M23" s="12">
        <v>8650</v>
      </c>
      <c r="N23" s="66">
        <f t="shared" si="1"/>
        <v>5.4062499999999999E-2</v>
      </c>
      <c r="O23" s="14">
        <v>46.75</v>
      </c>
      <c r="P23" s="15">
        <v>177.64</v>
      </c>
      <c r="Q23" s="16">
        <v>0.16300000000000001</v>
      </c>
      <c r="R23" s="16">
        <v>0.16300000000000001</v>
      </c>
      <c r="S23" s="12">
        <f t="shared" si="2"/>
        <v>772.77005347593581</v>
      </c>
      <c r="T23" s="12">
        <f t="shared" si="3"/>
        <v>221638.03680981594</v>
      </c>
      <c r="U23" s="17">
        <f t="shared" si="4"/>
        <v>5.0881092013272715</v>
      </c>
      <c r="V23" s="16">
        <v>40</v>
      </c>
      <c r="W23" s="16">
        <f t="shared" si="5"/>
        <v>32000</v>
      </c>
      <c r="X23" s="16">
        <f t="shared" si="6"/>
        <v>800</v>
      </c>
      <c r="Y23" s="18" t="s">
        <v>2434</v>
      </c>
      <c r="Z23" s="10" t="s">
        <v>35</v>
      </c>
      <c r="AA23" s="10" t="s">
        <v>35</v>
      </c>
      <c r="AB23" s="10" t="s">
        <v>2435</v>
      </c>
      <c r="AC23" s="10">
        <v>0</v>
      </c>
      <c r="AD23" s="10">
        <v>1</v>
      </c>
      <c r="AE23" s="10" t="s">
        <v>37</v>
      </c>
      <c r="AF23" s="10" t="s">
        <v>35</v>
      </c>
      <c r="AG23" s="10" t="s">
        <v>38</v>
      </c>
      <c r="AH23" s="10" t="s">
        <v>92</v>
      </c>
    </row>
    <row r="24" spans="1:34" ht="15" thickBot="1" x14ac:dyDescent="0.35">
      <c r="A24" s="75" t="s">
        <v>2435</v>
      </c>
      <c r="B24" s="19" t="s">
        <v>2533</v>
      </c>
      <c r="C24" s="19" t="s">
        <v>2534</v>
      </c>
      <c r="D24" s="20">
        <v>45183</v>
      </c>
      <c r="E24" s="21">
        <v>135000</v>
      </c>
      <c r="F24" s="19" t="s">
        <v>32</v>
      </c>
      <c r="G24" s="19" t="s">
        <v>33</v>
      </c>
      <c r="H24" s="21">
        <v>135000</v>
      </c>
      <c r="I24" s="21">
        <v>40700</v>
      </c>
      <c r="J24" s="22">
        <f t="shared" si="0"/>
        <v>30.148148148148145</v>
      </c>
      <c r="K24" s="21">
        <v>110307</v>
      </c>
      <c r="L24" s="21">
        <f>H24-102655</f>
        <v>32345</v>
      </c>
      <c r="M24" s="21">
        <v>7652</v>
      </c>
      <c r="N24" s="67">
        <f t="shared" si="1"/>
        <v>5.6681481481481479E-2</v>
      </c>
      <c r="O24" s="23">
        <v>41.36</v>
      </c>
      <c r="P24" s="24">
        <v>139</v>
      </c>
      <c r="Q24" s="25">
        <v>0.128</v>
      </c>
      <c r="R24" s="25">
        <v>0.128</v>
      </c>
      <c r="S24" s="21">
        <f t="shared" si="2"/>
        <v>782.03578336557064</v>
      </c>
      <c r="T24" s="21">
        <f t="shared" si="3"/>
        <v>252695.3125</v>
      </c>
      <c r="U24" s="26">
        <f t="shared" si="4"/>
        <v>5.8010861455463729</v>
      </c>
      <c r="V24" s="25">
        <v>40</v>
      </c>
      <c r="W24" s="25">
        <f t="shared" si="5"/>
        <v>27000</v>
      </c>
      <c r="X24" s="25">
        <f t="shared" si="6"/>
        <v>675</v>
      </c>
      <c r="Y24" s="27" t="s">
        <v>2434</v>
      </c>
      <c r="Z24" s="19" t="s">
        <v>35</v>
      </c>
      <c r="AA24" s="19" t="s">
        <v>35</v>
      </c>
      <c r="AB24" s="19" t="s">
        <v>2435</v>
      </c>
      <c r="AC24" s="19">
        <v>0</v>
      </c>
      <c r="AD24" s="19">
        <v>1</v>
      </c>
      <c r="AE24" s="19" t="s">
        <v>42</v>
      </c>
      <c r="AF24" s="19" t="s">
        <v>43</v>
      </c>
      <c r="AG24" s="19" t="s">
        <v>38</v>
      </c>
      <c r="AH24" s="19" t="s">
        <v>92</v>
      </c>
    </row>
    <row r="25" spans="1:34" ht="15" thickTop="1" x14ac:dyDescent="0.3">
      <c r="A25" s="76"/>
      <c r="B25" s="37"/>
      <c r="C25" s="37"/>
      <c r="D25" s="38" t="s">
        <v>2876</v>
      </c>
      <c r="E25" s="39">
        <f>+SUM(E2:E24)</f>
        <v>3482500</v>
      </c>
      <c r="F25" s="37"/>
      <c r="G25" s="37"/>
      <c r="H25" s="39">
        <f>+SUM(H2:H24)</f>
        <v>3482500</v>
      </c>
      <c r="I25" s="39">
        <f>+SUM(I2:I24)</f>
        <v>1331000</v>
      </c>
      <c r="J25" s="40"/>
      <c r="K25" s="39">
        <f>+SUM(K2:K24)</f>
        <v>3091267</v>
      </c>
      <c r="L25" s="39">
        <f>+SUM(L2:L24)</f>
        <v>700074</v>
      </c>
      <c r="M25" s="39">
        <f>+SUM(M2:M24)</f>
        <v>308841</v>
      </c>
      <c r="N25" s="81">
        <f>AVERAGE(N2:N24)</f>
        <v>8.8353306694044273E-2</v>
      </c>
      <c r="O25" s="41">
        <f>+SUM(O2:O24)</f>
        <v>1669.2999999999997</v>
      </c>
      <c r="P25" s="42"/>
      <c r="Q25" s="43">
        <f>+SUM(Q2:Q24)</f>
        <v>5.7600000000000007</v>
      </c>
      <c r="R25" s="43">
        <f>+SUM(R2:R24)</f>
        <v>5.7600000000000007</v>
      </c>
      <c r="S25" s="39"/>
      <c r="T25" s="39"/>
      <c r="U25" s="44"/>
      <c r="V25" s="43"/>
      <c r="W25" s="82">
        <f>AVERAGE(W2:W24)</f>
        <v>30282.608695652172</v>
      </c>
      <c r="X25" s="83">
        <f>AVERAGE(X2:X24)</f>
        <v>561.93154478704969</v>
      </c>
      <c r="Y25" s="45"/>
      <c r="Z25" s="37"/>
      <c r="AA25" s="37"/>
      <c r="AB25" s="37"/>
      <c r="AC25" s="37"/>
      <c r="AD25" s="37"/>
      <c r="AE25" s="37"/>
      <c r="AF25" s="37"/>
      <c r="AG25" s="37"/>
      <c r="AH25" s="37"/>
    </row>
    <row r="26" spans="1:34" x14ac:dyDescent="0.3">
      <c r="A26" s="77"/>
      <c r="B26" s="28"/>
      <c r="C26" s="28"/>
      <c r="D26" s="29"/>
      <c r="E26" s="30"/>
      <c r="F26" s="28"/>
      <c r="G26" s="28"/>
      <c r="H26" s="30"/>
      <c r="I26" s="30" t="s">
        <v>2877</v>
      </c>
      <c r="J26" s="31">
        <f>I25/H25*100</f>
        <v>38.219669777458719</v>
      </c>
      <c r="K26" s="30"/>
      <c r="L26" s="30"/>
      <c r="M26" s="30" t="s">
        <v>2879</v>
      </c>
      <c r="N26" s="79"/>
      <c r="O26" s="32"/>
      <c r="P26" s="33"/>
      <c r="Q26" s="34" t="s">
        <v>2879</v>
      </c>
      <c r="R26" s="34"/>
      <c r="S26" s="30"/>
      <c r="T26" s="30" t="s">
        <v>2879</v>
      </c>
      <c r="U26" s="35"/>
      <c r="V26" s="34"/>
      <c r="W26" s="63"/>
      <c r="X26" s="68"/>
      <c r="Y26" s="36"/>
      <c r="Z26" s="28"/>
      <c r="AA26" s="28"/>
      <c r="AB26" s="28"/>
      <c r="AC26" s="28"/>
      <c r="AD26" s="28"/>
      <c r="AE26" s="28"/>
      <c r="AF26" s="28"/>
      <c r="AG26" s="28"/>
      <c r="AH26" s="28"/>
    </row>
    <row r="27" spans="1:34" x14ac:dyDescent="0.3">
      <c r="A27" s="78"/>
      <c r="B27" s="46"/>
      <c r="C27" s="46"/>
      <c r="D27" s="47"/>
      <c r="E27" s="48"/>
      <c r="F27" s="46"/>
      <c r="G27" s="46"/>
      <c r="H27" s="48"/>
      <c r="I27" s="48" t="s">
        <v>2878</v>
      </c>
      <c r="J27" s="49">
        <f>STDEV(J2:J24)</f>
        <v>4.1474878877213666</v>
      </c>
      <c r="K27" s="48"/>
      <c r="L27" s="48"/>
      <c r="M27" s="48" t="s">
        <v>2880</v>
      </c>
      <c r="N27" s="80"/>
      <c r="O27" s="54">
        <f>L25/O25</f>
        <v>419.38177679266767</v>
      </c>
      <c r="P27" s="50"/>
      <c r="Q27" s="51" t="s">
        <v>2881</v>
      </c>
      <c r="R27" s="51">
        <f>L25/Q25</f>
        <v>121540.62499999999</v>
      </c>
      <c r="S27" s="48"/>
      <c r="T27" s="48" t="s">
        <v>2882</v>
      </c>
      <c r="U27" s="52">
        <f>L25/Q25/43560</f>
        <v>2.7901888200183653</v>
      </c>
      <c r="V27" s="51"/>
      <c r="W27" s="64"/>
      <c r="X27" s="69"/>
      <c r="Y27" s="53"/>
      <c r="Z27" s="46"/>
      <c r="AA27" s="46"/>
      <c r="AB27" s="46"/>
      <c r="AC27" s="46"/>
      <c r="AD27" s="46"/>
      <c r="AE27" s="46"/>
      <c r="AF27" s="46"/>
      <c r="AG27" s="46"/>
      <c r="AH27" s="46"/>
    </row>
    <row r="28" spans="1:34" x14ac:dyDescent="0.3">
      <c r="E28" s="94" t="s">
        <v>3099</v>
      </c>
      <c r="L28" s="95"/>
    </row>
    <row r="29" spans="1:34" x14ac:dyDescent="0.3">
      <c r="E29" s="383" t="s">
        <v>3163</v>
      </c>
      <c r="F29" s="383"/>
      <c r="G29" s="383"/>
      <c r="H29" s="383"/>
      <c r="I29" s="383"/>
      <c r="J29" s="383"/>
      <c r="K29" s="383"/>
      <c r="L29" s="383"/>
    </row>
    <row r="30" spans="1:34" x14ac:dyDescent="0.3">
      <c r="E30" s="383" t="s">
        <v>3164</v>
      </c>
      <c r="F30" s="383"/>
      <c r="G30" s="383"/>
      <c r="H30" s="383"/>
      <c r="I30" s="383"/>
      <c r="J30" s="383"/>
      <c r="K30" s="383"/>
      <c r="L30" s="383"/>
    </row>
    <row r="31" spans="1:34" x14ac:dyDescent="0.3">
      <c r="E31" s="383" t="s">
        <v>3165</v>
      </c>
      <c r="F31" s="383"/>
      <c r="G31" s="383"/>
      <c r="H31" s="383"/>
      <c r="I31" s="383"/>
      <c r="J31" s="383"/>
      <c r="K31" s="383"/>
      <c r="L31" s="383"/>
    </row>
    <row r="32" spans="1:34" x14ac:dyDescent="0.3">
      <c r="E32" s="383" t="s">
        <v>3166</v>
      </c>
      <c r="F32" s="383"/>
      <c r="G32" s="383"/>
      <c r="H32" s="383"/>
      <c r="I32" s="383"/>
      <c r="J32" s="96"/>
      <c r="K32" s="96"/>
      <c r="L32" s="96"/>
    </row>
    <row r="33" spans="1:34" x14ac:dyDescent="0.3">
      <c r="E33" s="383" t="s">
        <v>3167</v>
      </c>
      <c r="F33" s="383"/>
      <c r="G33" s="383"/>
      <c r="H33" s="383"/>
      <c r="I33" s="383"/>
      <c r="L33" s="95"/>
    </row>
    <row r="34" spans="1:34" x14ac:dyDescent="0.3">
      <c r="E34" s="383" t="s">
        <v>3100</v>
      </c>
      <c r="F34" s="383"/>
      <c r="G34" s="383"/>
      <c r="H34" s="383"/>
      <c r="I34" s="383"/>
      <c r="L34" s="95"/>
    </row>
    <row r="35" spans="1:34" x14ac:dyDescent="0.3">
      <c r="E35" s="96"/>
      <c r="F35" s="96"/>
      <c r="G35" s="96"/>
      <c r="H35" s="96"/>
      <c r="I35" s="96"/>
      <c r="L35" s="95"/>
    </row>
    <row r="36" spans="1:34" x14ac:dyDescent="0.3">
      <c r="A36" s="55" t="s">
        <v>3092</v>
      </c>
      <c r="E36" s="96"/>
      <c r="F36" s="96"/>
      <c r="G36" s="96"/>
      <c r="H36" s="96"/>
      <c r="I36" s="96"/>
      <c r="L36" s="95"/>
    </row>
    <row r="37" spans="1:34" x14ac:dyDescent="0.3">
      <c r="A37" s="74" t="s">
        <v>2435</v>
      </c>
      <c r="B37" s="10" t="s">
        <v>2568</v>
      </c>
      <c r="C37" s="10" t="s">
        <v>583</v>
      </c>
      <c r="D37" s="11">
        <v>45663</v>
      </c>
      <c r="E37" s="12">
        <v>149000</v>
      </c>
      <c r="F37" s="10" t="s">
        <v>32</v>
      </c>
      <c r="G37" s="10" t="s">
        <v>66</v>
      </c>
      <c r="H37" s="12">
        <v>149000</v>
      </c>
      <c r="I37" s="12">
        <v>64700</v>
      </c>
      <c r="J37" s="13">
        <f t="shared" ref="J37:J51" si="7">I37/H37*100</f>
        <v>43.422818791946312</v>
      </c>
      <c r="K37" s="12">
        <v>264699</v>
      </c>
      <c r="L37" s="12">
        <f>H37-230680</f>
        <v>-81680</v>
      </c>
      <c r="M37" s="12">
        <v>18172</v>
      </c>
      <c r="N37" s="66">
        <f t="shared" ref="N37:N51" si="8">M37/E37</f>
        <v>0.12195973154362416</v>
      </c>
      <c r="O37" s="14">
        <v>98.23</v>
      </c>
      <c r="P37" s="15">
        <v>392</v>
      </c>
      <c r="Q37" s="16">
        <v>0.36</v>
      </c>
      <c r="R37" s="16">
        <v>0.18</v>
      </c>
      <c r="S37" s="12">
        <f t="shared" ref="S37:S51" si="9">L37/O37</f>
        <v>-831.51786623231192</v>
      </c>
      <c r="T37" s="12">
        <f t="shared" ref="T37:T51" si="10">L37/Q37</f>
        <v>-226888.88888888891</v>
      </c>
      <c r="U37" s="17">
        <f t="shared" ref="U37:U51" si="11">L37/Q37/43560</f>
        <v>-5.2086521783491486</v>
      </c>
      <c r="V37" s="16">
        <v>80</v>
      </c>
      <c r="W37" s="16">
        <f t="shared" ref="W37:W51" si="12">0.2*E37</f>
        <v>29800</v>
      </c>
      <c r="X37" s="16">
        <f t="shared" ref="X37:X51" si="13">W37/V37</f>
        <v>372.5</v>
      </c>
      <c r="Y37" s="18" t="s">
        <v>2434</v>
      </c>
      <c r="Z37" s="10" t="s">
        <v>35</v>
      </c>
      <c r="AA37" s="10" t="s">
        <v>2569</v>
      </c>
      <c r="AB37" s="10" t="s">
        <v>2435</v>
      </c>
      <c r="AC37" s="10">
        <v>0</v>
      </c>
      <c r="AD37" s="10">
        <v>1</v>
      </c>
      <c r="AE37" s="10" t="s">
        <v>37</v>
      </c>
      <c r="AF37" s="10" t="s">
        <v>35</v>
      </c>
      <c r="AG37" s="10" t="s">
        <v>61</v>
      </c>
      <c r="AH37" s="10" t="s">
        <v>92</v>
      </c>
    </row>
    <row r="38" spans="1:34" s="171" customFormat="1" x14ac:dyDescent="0.3">
      <c r="A38" s="175" t="s">
        <v>2435</v>
      </c>
      <c r="B38" s="176" t="s">
        <v>2537</v>
      </c>
      <c r="C38" s="176" t="s">
        <v>2538</v>
      </c>
      <c r="D38" s="177">
        <v>45672</v>
      </c>
      <c r="E38" s="178">
        <v>125000</v>
      </c>
      <c r="F38" s="176" t="s">
        <v>32</v>
      </c>
      <c r="G38" s="176" t="s">
        <v>33</v>
      </c>
      <c r="H38" s="178">
        <v>125000</v>
      </c>
      <c r="I38" s="178">
        <v>22200</v>
      </c>
      <c r="J38" s="179">
        <f t="shared" si="7"/>
        <v>17.760000000000002</v>
      </c>
      <c r="K38" s="178">
        <v>50066</v>
      </c>
      <c r="L38" s="178">
        <f>H38-42414</f>
        <v>82586</v>
      </c>
      <c r="M38" s="178">
        <v>7652</v>
      </c>
      <c r="N38" s="180">
        <f t="shared" si="8"/>
        <v>6.1216E-2</v>
      </c>
      <c r="O38" s="181">
        <v>41.36</v>
      </c>
      <c r="P38" s="182">
        <v>139</v>
      </c>
      <c r="Q38" s="183">
        <v>0.128</v>
      </c>
      <c r="R38" s="183">
        <v>0.128</v>
      </c>
      <c r="S38" s="178">
        <f t="shared" si="9"/>
        <v>1996.7601547388781</v>
      </c>
      <c r="T38" s="178">
        <f t="shared" si="10"/>
        <v>645203.125</v>
      </c>
      <c r="U38" s="184">
        <f t="shared" si="11"/>
        <v>14.811825642791552</v>
      </c>
      <c r="V38" s="183">
        <v>40</v>
      </c>
      <c r="W38" s="183">
        <f t="shared" si="12"/>
        <v>25000</v>
      </c>
      <c r="X38" s="183">
        <f t="shared" si="13"/>
        <v>625</v>
      </c>
      <c r="Y38" s="185" t="s">
        <v>2434</v>
      </c>
      <c r="Z38" s="176" t="s">
        <v>35</v>
      </c>
      <c r="AA38" s="176" t="s">
        <v>35</v>
      </c>
      <c r="AB38" s="176" t="s">
        <v>2435</v>
      </c>
      <c r="AC38" s="176">
        <v>0</v>
      </c>
      <c r="AD38" s="176">
        <v>1</v>
      </c>
      <c r="AE38" s="176" t="s">
        <v>42</v>
      </c>
      <c r="AF38" s="176" t="s">
        <v>35</v>
      </c>
      <c r="AG38" s="176" t="s">
        <v>38</v>
      </c>
      <c r="AH38" s="176" t="s">
        <v>92</v>
      </c>
    </row>
    <row r="39" spans="1:34" x14ac:dyDescent="0.3">
      <c r="A39" s="75" t="s">
        <v>2435</v>
      </c>
      <c r="B39" s="19" t="s">
        <v>2541</v>
      </c>
      <c r="C39" s="19" t="s">
        <v>2542</v>
      </c>
      <c r="D39" s="20">
        <v>45138</v>
      </c>
      <c r="E39" s="21">
        <v>70000</v>
      </c>
      <c r="F39" s="19" t="s">
        <v>32</v>
      </c>
      <c r="G39" s="19" t="s">
        <v>33</v>
      </c>
      <c r="H39" s="21">
        <v>70000</v>
      </c>
      <c r="I39" s="21">
        <v>36800</v>
      </c>
      <c r="J39" s="22">
        <f t="shared" si="7"/>
        <v>52.571428571428569</v>
      </c>
      <c r="K39" s="21">
        <v>103487</v>
      </c>
      <c r="L39" s="21">
        <f>H39-95835</f>
        <v>-25835</v>
      </c>
      <c r="M39" s="21">
        <v>7652</v>
      </c>
      <c r="N39" s="67">
        <f t="shared" si="8"/>
        <v>0.10931428571428571</v>
      </c>
      <c r="O39" s="23">
        <v>41.36</v>
      </c>
      <c r="P39" s="24">
        <v>139</v>
      </c>
      <c r="Q39" s="25">
        <v>0.128</v>
      </c>
      <c r="R39" s="25">
        <v>0.128</v>
      </c>
      <c r="S39" s="21">
        <f t="shared" si="9"/>
        <v>-624.63733075435209</v>
      </c>
      <c r="T39" s="21">
        <f t="shared" si="10"/>
        <v>-201835.9375</v>
      </c>
      <c r="U39" s="26">
        <f t="shared" si="11"/>
        <v>-4.6335155532598717</v>
      </c>
      <c r="V39" s="25">
        <v>40</v>
      </c>
      <c r="W39" s="25">
        <f t="shared" si="12"/>
        <v>14000</v>
      </c>
      <c r="X39" s="25">
        <f t="shared" si="13"/>
        <v>350</v>
      </c>
      <c r="Y39" s="27" t="s">
        <v>2434</v>
      </c>
      <c r="Z39" s="19" t="s">
        <v>35</v>
      </c>
      <c r="AA39" s="19" t="s">
        <v>35</v>
      </c>
      <c r="AB39" s="19" t="s">
        <v>2435</v>
      </c>
      <c r="AC39" s="19">
        <v>0</v>
      </c>
      <c r="AD39" s="19">
        <v>1</v>
      </c>
      <c r="AE39" s="19" t="s">
        <v>42</v>
      </c>
      <c r="AF39" s="19" t="s">
        <v>43</v>
      </c>
      <c r="AG39" s="19" t="s">
        <v>38</v>
      </c>
      <c r="AH39" s="19" t="s">
        <v>92</v>
      </c>
    </row>
    <row r="40" spans="1:34" x14ac:dyDescent="0.3">
      <c r="A40" s="75" t="s">
        <v>2435</v>
      </c>
      <c r="B40" s="19" t="s">
        <v>2448</v>
      </c>
      <c r="C40" s="19" t="s">
        <v>2449</v>
      </c>
      <c r="D40" s="20">
        <v>45706</v>
      </c>
      <c r="E40" s="21">
        <v>80000</v>
      </c>
      <c r="F40" s="19" t="s">
        <v>32</v>
      </c>
      <c r="G40" s="19" t="s">
        <v>33</v>
      </c>
      <c r="H40" s="21">
        <v>80000</v>
      </c>
      <c r="I40" s="21">
        <v>54500</v>
      </c>
      <c r="J40" s="22">
        <f t="shared" si="7"/>
        <v>68.125</v>
      </c>
      <c r="K40" s="21">
        <v>124510</v>
      </c>
      <c r="L40" s="21">
        <f>H40-113536</f>
        <v>-33536</v>
      </c>
      <c r="M40" s="21">
        <v>10974</v>
      </c>
      <c r="N40" s="67">
        <f t="shared" si="8"/>
        <v>0.13717499999999999</v>
      </c>
      <c r="O40" s="23">
        <v>59.31</v>
      </c>
      <c r="P40" s="24">
        <v>182.97</v>
      </c>
      <c r="Q40" s="25">
        <v>0.21</v>
      </c>
      <c r="R40" s="25">
        <v>0.21</v>
      </c>
      <c r="S40" s="21">
        <f t="shared" si="9"/>
        <v>-565.43584555724158</v>
      </c>
      <c r="T40" s="21">
        <f t="shared" si="10"/>
        <v>-159695.23809523811</v>
      </c>
      <c r="U40" s="26">
        <f t="shared" si="11"/>
        <v>-3.6660982115527574</v>
      </c>
      <c r="V40" s="25">
        <v>50</v>
      </c>
      <c r="W40" s="25">
        <f t="shared" si="12"/>
        <v>16000</v>
      </c>
      <c r="X40" s="25">
        <f t="shared" si="13"/>
        <v>320</v>
      </c>
      <c r="Y40" s="27" t="s">
        <v>2434</v>
      </c>
      <c r="Z40" s="19" t="s">
        <v>35</v>
      </c>
      <c r="AA40" s="19" t="s">
        <v>35</v>
      </c>
      <c r="AB40" s="19" t="s">
        <v>2435</v>
      </c>
      <c r="AC40" s="19">
        <v>0</v>
      </c>
      <c r="AD40" s="19">
        <v>1</v>
      </c>
      <c r="AE40" s="19" t="s">
        <v>412</v>
      </c>
      <c r="AF40" s="19" t="s">
        <v>35</v>
      </c>
      <c r="AG40" s="19" t="s">
        <v>38</v>
      </c>
      <c r="AH40" s="19" t="s">
        <v>92</v>
      </c>
    </row>
    <row r="41" spans="1:34" x14ac:dyDescent="0.3">
      <c r="A41" s="75" t="s">
        <v>2435</v>
      </c>
      <c r="B41" s="19" t="s">
        <v>2569</v>
      </c>
      <c r="C41" s="19" t="s">
        <v>2570</v>
      </c>
      <c r="D41" s="20">
        <v>45566</v>
      </c>
      <c r="E41" s="21">
        <v>80000</v>
      </c>
      <c r="F41" s="19" t="s">
        <v>32</v>
      </c>
      <c r="G41" s="19" t="s">
        <v>66</v>
      </c>
      <c r="H41" s="21">
        <v>80000</v>
      </c>
      <c r="I41" s="21">
        <v>64700</v>
      </c>
      <c r="J41" s="22">
        <f t="shared" si="7"/>
        <v>80.875</v>
      </c>
      <c r="K41" s="21">
        <v>143219</v>
      </c>
      <c r="L41" s="21">
        <f>H41-125047</f>
        <v>-45047</v>
      </c>
      <c r="M41" s="21">
        <v>18172</v>
      </c>
      <c r="N41" s="67">
        <f t="shared" si="8"/>
        <v>0.22714999999999999</v>
      </c>
      <c r="O41" s="23">
        <v>98.23</v>
      </c>
      <c r="P41" s="24">
        <v>392</v>
      </c>
      <c r="Q41" s="25">
        <v>0.36</v>
      </c>
      <c r="R41" s="25">
        <v>0.18</v>
      </c>
      <c r="S41" s="21">
        <f t="shared" si="9"/>
        <v>-458.58698971800874</v>
      </c>
      <c r="T41" s="21">
        <f t="shared" si="10"/>
        <v>-125130.55555555556</v>
      </c>
      <c r="U41" s="26">
        <f t="shared" si="11"/>
        <v>-2.8726022854810735</v>
      </c>
      <c r="V41" s="25">
        <v>80</v>
      </c>
      <c r="W41" s="25">
        <f t="shared" si="12"/>
        <v>16000</v>
      </c>
      <c r="X41" s="25">
        <f t="shared" si="13"/>
        <v>200</v>
      </c>
      <c r="Y41" s="27" t="s">
        <v>2434</v>
      </c>
      <c r="Z41" s="19" t="s">
        <v>35</v>
      </c>
      <c r="AA41" s="19" t="s">
        <v>2568</v>
      </c>
      <c r="AB41" s="19" t="s">
        <v>2435</v>
      </c>
      <c r="AC41" s="19">
        <v>0</v>
      </c>
      <c r="AD41" s="19">
        <v>1</v>
      </c>
      <c r="AE41" s="19" t="s">
        <v>37</v>
      </c>
      <c r="AF41" s="19" t="s">
        <v>35</v>
      </c>
      <c r="AG41" s="19" t="s">
        <v>38</v>
      </c>
      <c r="AH41" s="19" t="s">
        <v>92</v>
      </c>
    </row>
    <row r="42" spans="1:34" x14ac:dyDescent="0.3">
      <c r="A42" s="74" t="s">
        <v>2435</v>
      </c>
      <c r="B42" s="10" t="s">
        <v>2531</v>
      </c>
      <c r="C42" s="10" t="s">
        <v>2532</v>
      </c>
      <c r="D42" s="11">
        <v>45502</v>
      </c>
      <c r="E42" s="12">
        <v>96000</v>
      </c>
      <c r="F42" s="10" t="s">
        <v>32</v>
      </c>
      <c r="G42" s="10" t="s">
        <v>33</v>
      </c>
      <c r="H42" s="12">
        <v>96000</v>
      </c>
      <c r="I42" s="12">
        <v>52200</v>
      </c>
      <c r="J42" s="13">
        <f t="shared" si="7"/>
        <v>54.374999999999993</v>
      </c>
      <c r="K42" s="12">
        <v>121300</v>
      </c>
      <c r="L42" s="12">
        <f>H42-113648</f>
        <v>-17648</v>
      </c>
      <c r="M42" s="12">
        <v>7652</v>
      </c>
      <c r="N42" s="66">
        <f t="shared" si="8"/>
        <v>7.9708333333333339E-2</v>
      </c>
      <c r="O42" s="14">
        <v>41.36</v>
      </c>
      <c r="P42" s="15">
        <v>139</v>
      </c>
      <c r="Q42" s="16">
        <v>0.128</v>
      </c>
      <c r="R42" s="16">
        <v>0.128</v>
      </c>
      <c r="S42" s="12">
        <f t="shared" si="9"/>
        <v>-426.69245647969052</v>
      </c>
      <c r="T42" s="12">
        <f t="shared" si="10"/>
        <v>-137875</v>
      </c>
      <c r="U42" s="17">
        <f t="shared" si="11"/>
        <v>-3.1651744719926538</v>
      </c>
      <c r="V42" s="16">
        <v>40</v>
      </c>
      <c r="W42" s="16">
        <f t="shared" si="12"/>
        <v>19200</v>
      </c>
      <c r="X42" s="16">
        <f t="shared" si="13"/>
        <v>480</v>
      </c>
      <c r="Y42" s="18" t="s">
        <v>2434</v>
      </c>
      <c r="Z42" s="10" t="s">
        <v>35</v>
      </c>
      <c r="AA42" s="10" t="s">
        <v>35</v>
      </c>
      <c r="AB42" s="10" t="s">
        <v>2435</v>
      </c>
      <c r="AC42" s="10">
        <v>0</v>
      </c>
      <c r="AD42" s="10">
        <v>1</v>
      </c>
      <c r="AE42" s="10" t="s">
        <v>37</v>
      </c>
      <c r="AF42" s="10" t="s">
        <v>43</v>
      </c>
      <c r="AG42" s="10" t="s">
        <v>38</v>
      </c>
      <c r="AH42" s="10" t="s">
        <v>92</v>
      </c>
    </row>
    <row r="43" spans="1:34" x14ac:dyDescent="0.3">
      <c r="A43" s="75" t="s">
        <v>2435</v>
      </c>
      <c r="B43" s="19" t="s">
        <v>2535</v>
      </c>
      <c r="C43" s="19" t="s">
        <v>2536</v>
      </c>
      <c r="D43" s="20">
        <v>45604</v>
      </c>
      <c r="E43" s="21">
        <v>66000</v>
      </c>
      <c r="F43" s="19" t="s">
        <v>32</v>
      </c>
      <c r="G43" s="19" t="s">
        <v>33</v>
      </c>
      <c r="H43" s="21">
        <v>66000</v>
      </c>
      <c r="I43" s="21">
        <v>38700</v>
      </c>
      <c r="J43" s="22">
        <f t="shared" si="7"/>
        <v>58.636363636363633</v>
      </c>
      <c r="K43" s="21">
        <v>89382</v>
      </c>
      <c r="L43" s="21">
        <f>H43-81730</f>
        <v>-15730</v>
      </c>
      <c r="M43" s="21">
        <v>7652</v>
      </c>
      <c r="N43" s="67">
        <f t="shared" si="8"/>
        <v>0.11593939393939394</v>
      </c>
      <c r="O43" s="23">
        <v>41.36</v>
      </c>
      <c r="P43" s="24">
        <v>139</v>
      </c>
      <c r="Q43" s="25">
        <v>0.128</v>
      </c>
      <c r="R43" s="25">
        <v>0.128</v>
      </c>
      <c r="S43" s="21">
        <f t="shared" si="9"/>
        <v>-380.31914893617022</v>
      </c>
      <c r="T43" s="21">
        <f t="shared" si="10"/>
        <v>-122890.625</v>
      </c>
      <c r="U43" s="26">
        <f t="shared" si="11"/>
        <v>-2.8211805555555554</v>
      </c>
      <c r="V43" s="25">
        <v>40</v>
      </c>
      <c r="W43" s="25">
        <f t="shared" si="12"/>
        <v>13200</v>
      </c>
      <c r="X43" s="25">
        <f t="shared" si="13"/>
        <v>330</v>
      </c>
      <c r="Y43" s="27" t="s">
        <v>2434</v>
      </c>
      <c r="Z43" s="19" t="s">
        <v>35</v>
      </c>
      <c r="AA43" s="19" t="s">
        <v>35</v>
      </c>
      <c r="AB43" s="19" t="s">
        <v>2435</v>
      </c>
      <c r="AC43" s="19">
        <v>0</v>
      </c>
      <c r="AD43" s="19">
        <v>1</v>
      </c>
      <c r="AE43" s="19" t="s">
        <v>42</v>
      </c>
      <c r="AF43" s="19" t="s">
        <v>35</v>
      </c>
      <c r="AG43" s="19" t="s">
        <v>38</v>
      </c>
      <c r="AH43" s="19" t="s">
        <v>92</v>
      </c>
    </row>
    <row r="44" spans="1:34" x14ac:dyDescent="0.3">
      <c r="A44" s="74" t="s">
        <v>2435</v>
      </c>
      <c r="B44" s="10" t="s">
        <v>2528</v>
      </c>
      <c r="C44" s="10" t="s">
        <v>2529</v>
      </c>
      <c r="D44" s="11">
        <v>45205</v>
      </c>
      <c r="E44" s="12">
        <v>260000</v>
      </c>
      <c r="F44" s="10" t="s">
        <v>32</v>
      </c>
      <c r="G44" s="10" t="s">
        <v>33</v>
      </c>
      <c r="H44" s="12">
        <v>260000</v>
      </c>
      <c r="I44" s="12">
        <v>106300</v>
      </c>
      <c r="J44" s="13">
        <f t="shared" si="7"/>
        <v>40.884615384615387</v>
      </c>
      <c r="K44" s="12">
        <v>278820</v>
      </c>
      <c r="L44" s="12">
        <f>H44-271651</f>
        <v>-11651</v>
      </c>
      <c r="M44" s="12">
        <v>7169</v>
      </c>
      <c r="N44" s="66">
        <f t="shared" si="8"/>
        <v>2.7573076923076922E-2</v>
      </c>
      <c r="O44" s="14">
        <v>38.74</v>
      </c>
      <c r="P44" s="15">
        <v>122</v>
      </c>
      <c r="Q44" s="16">
        <v>0.112</v>
      </c>
      <c r="R44" s="16">
        <v>0.112</v>
      </c>
      <c r="S44" s="12">
        <f t="shared" si="9"/>
        <v>-300.74858027878162</v>
      </c>
      <c r="T44" s="12">
        <f t="shared" si="10"/>
        <v>-104026.78571428571</v>
      </c>
      <c r="U44" s="17">
        <f t="shared" si="11"/>
        <v>-2.388126393808212</v>
      </c>
      <c r="V44" s="16">
        <v>40</v>
      </c>
      <c r="W44" s="16">
        <f t="shared" si="12"/>
        <v>52000</v>
      </c>
      <c r="X44" s="16">
        <f t="shared" si="13"/>
        <v>1300</v>
      </c>
      <c r="Y44" s="18" t="s">
        <v>2434</v>
      </c>
      <c r="Z44" s="10" t="s">
        <v>35</v>
      </c>
      <c r="AA44" s="10" t="s">
        <v>35</v>
      </c>
      <c r="AB44" s="10" t="s">
        <v>2435</v>
      </c>
      <c r="AC44" s="10">
        <v>0</v>
      </c>
      <c r="AD44" s="10">
        <v>1</v>
      </c>
      <c r="AE44" s="10" t="s">
        <v>2530</v>
      </c>
      <c r="AF44" s="10" t="s">
        <v>43</v>
      </c>
      <c r="AG44" s="10" t="s">
        <v>38</v>
      </c>
      <c r="AH44" s="10" t="s">
        <v>92</v>
      </c>
    </row>
    <row r="45" spans="1:34" x14ac:dyDescent="0.3">
      <c r="A45" s="75" t="s">
        <v>2435</v>
      </c>
      <c r="B45" s="19" t="s">
        <v>2438</v>
      </c>
      <c r="C45" s="19" t="s">
        <v>2439</v>
      </c>
      <c r="D45" s="20">
        <v>45128</v>
      </c>
      <c r="E45" s="21">
        <v>108000</v>
      </c>
      <c r="F45" s="19" t="s">
        <v>32</v>
      </c>
      <c r="G45" s="19" t="s">
        <v>33</v>
      </c>
      <c r="H45" s="21">
        <v>108000</v>
      </c>
      <c r="I45" s="21">
        <v>49700</v>
      </c>
      <c r="J45" s="22">
        <f t="shared" si="7"/>
        <v>46.018518518518519</v>
      </c>
      <c r="K45" s="21">
        <v>127629</v>
      </c>
      <c r="L45" s="21">
        <f>H45-118946</f>
        <v>-10946</v>
      </c>
      <c r="M45" s="21">
        <v>8683</v>
      </c>
      <c r="N45" s="67">
        <f t="shared" si="8"/>
        <v>8.0398148148148149E-2</v>
      </c>
      <c r="O45" s="23">
        <v>46.93</v>
      </c>
      <c r="P45" s="24">
        <v>178.97</v>
      </c>
      <c r="Q45" s="25">
        <v>0.16400000000000001</v>
      </c>
      <c r="R45" s="25">
        <v>0.16400000000000001</v>
      </c>
      <c r="S45" s="21">
        <f t="shared" si="9"/>
        <v>-233.2409972299169</v>
      </c>
      <c r="T45" s="21">
        <f t="shared" si="10"/>
        <v>-66743.902439024387</v>
      </c>
      <c r="U45" s="26">
        <f t="shared" si="11"/>
        <v>-1.5322291652668591</v>
      </c>
      <c r="V45" s="25">
        <v>40</v>
      </c>
      <c r="W45" s="25">
        <f t="shared" si="12"/>
        <v>21600</v>
      </c>
      <c r="X45" s="25">
        <f t="shared" si="13"/>
        <v>540</v>
      </c>
      <c r="Y45" s="27" t="s">
        <v>2434</v>
      </c>
      <c r="Z45" s="19" t="s">
        <v>35</v>
      </c>
      <c r="AA45" s="19" t="s">
        <v>35</v>
      </c>
      <c r="AB45" s="19" t="s">
        <v>2435</v>
      </c>
      <c r="AC45" s="19">
        <v>0</v>
      </c>
      <c r="AD45" s="19">
        <v>1</v>
      </c>
      <c r="AE45" s="19" t="s">
        <v>37</v>
      </c>
      <c r="AF45" s="19" t="s">
        <v>43</v>
      </c>
      <c r="AG45" s="19" t="s">
        <v>38</v>
      </c>
      <c r="AH45" s="19" t="s">
        <v>92</v>
      </c>
    </row>
    <row r="46" spans="1:34" x14ac:dyDescent="0.3">
      <c r="A46" s="74" t="s">
        <v>2435</v>
      </c>
      <c r="B46" s="10" t="s">
        <v>2452</v>
      </c>
      <c r="C46" s="10" t="s">
        <v>2453</v>
      </c>
      <c r="D46" s="11">
        <v>45097</v>
      </c>
      <c r="E46" s="12">
        <v>120000</v>
      </c>
      <c r="F46" s="10" t="s">
        <v>32</v>
      </c>
      <c r="G46" s="10" t="s">
        <v>33</v>
      </c>
      <c r="H46" s="12">
        <v>120000</v>
      </c>
      <c r="I46" s="12">
        <v>53200</v>
      </c>
      <c r="J46" s="13">
        <f t="shared" si="7"/>
        <v>44.333333333333336</v>
      </c>
      <c r="K46" s="12">
        <v>136950</v>
      </c>
      <c r="L46" s="12">
        <f>H46-128171</f>
        <v>-8171</v>
      </c>
      <c r="M46" s="12">
        <v>8779</v>
      </c>
      <c r="N46" s="66">
        <f t="shared" si="8"/>
        <v>7.3158333333333339E-2</v>
      </c>
      <c r="O46" s="14">
        <v>47.45</v>
      </c>
      <c r="P46" s="15">
        <v>182.97</v>
      </c>
      <c r="Q46" s="16">
        <v>0.16800000000000001</v>
      </c>
      <c r="R46" s="16">
        <v>0.16800000000000001</v>
      </c>
      <c r="S46" s="12">
        <f t="shared" si="9"/>
        <v>-172.20231822971547</v>
      </c>
      <c r="T46" s="12">
        <f t="shared" si="10"/>
        <v>-48636.904761904756</v>
      </c>
      <c r="U46" s="17">
        <f t="shared" si="11"/>
        <v>-1.1165496960951504</v>
      </c>
      <c r="V46" s="16">
        <v>40</v>
      </c>
      <c r="W46" s="16">
        <f t="shared" si="12"/>
        <v>24000</v>
      </c>
      <c r="X46" s="16">
        <f t="shared" si="13"/>
        <v>600</v>
      </c>
      <c r="Y46" s="18" t="s">
        <v>2434</v>
      </c>
      <c r="Z46" s="10" t="s">
        <v>35</v>
      </c>
      <c r="AA46" s="10" t="s">
        <v>35</v>
      </c>
      <c r="AB46" s="10" t="s">
        <v>2435</v>
      </c>
      <c r="AC46" s="10">
        <v>0</v>
      </c>
      <c r="AD46" s="10">
        <v>1</v>
      </c>
      <c r="AE46" s="10" t="s">
        <v>37</v>
      </c>
      <c r="AF46" s="10" t="s">
        <v>43</v>
      </c>
      <c r="AG46" s="10" t="s">
        <v>38</v>
      </c>
      <c r="AH46" s="10" t="s">
        <v>92</v>
      </c>
    </row>
    <row r="47" spans="1:34" x14ac:dyDescent="0.3">
      <c r="A47" s="74" t="s">
        <v>2435</v>
      </c>
      <c r="B47" s="10" t="s">
        <v>2442</v>
      </c>
      <c r="C47" s="10" t="s">
        <v>2443</v>
      </c>
      <c r="D47" s="11">
        <v>45037</v>
      </c>
      <c r="E47" s="12">
        <v>92900</v>
      </c>
      <c r="F47" s="10" t="s">
        <v>32</v>
      </c>
      <c r="G47" s="10" t="s">
        <v>33</v>
      </c>
      <c r="H47" s="12">
        <v>92900</v>
      </c>
      <c r="I47" s="12">
        <v>40400</v>
      </c>
      <c r="J47" s="13">
        <f t="shared" si="7"/>
        <v>43.487621097954793</v>
      </c>
      <c r="K47" s="12">
        <v>108119</v>
      </c>
      <c r="L47" s="12">
        <f>H47-99436</f>
        <v>-6536</v>
      </c>
      <c r="M47" s="12">
        <v>8683</v>
      </c>
      <c r="N47" s="66">
        <f t="shared" si="8"/>
        <v>9.3466092572658768E-2</v>
      </c>
      <c r="O47" s="14">
        <v>46.93</v>
      </c>
      <c r="P47" s="15">
        <v>178.97</v>
      </c>
      <c r="Q47" s="16">
        <v>0.16400000000000001</v>
      </c>
      <c r="R47" s="16">
        <v>0.16400000000000001</v>
      </c>
      <c r="S47" s="12">
        <f t="shared" si="9"/>
        <v>-139.27125506072875</v>
      </c>
      <c r="T47" s="12">
        <f t="shared" si="10"/>
        <v>-39853.658536585361</v>
      </c>
      <c r="U47" s="17">
        <f t="shared" si="11"/>
        <v>-0.91491410781876403</v>
      </c>
      <c r="V47" s="16">
        <v>40</v>
      </c>
      <c r="W47" s="16">
        <f t="shared" si="12"/>
        <v>18580</v>
      </c>
      <c r="X47" s="16">
        <f t="shared" si="13"/>
        <v>464.5</v>
      </c>
      <c r="Y47" s="18" t="s">
        <v>2434</v>
      </c>
      <c r="Z47" s="10" t="s">
        <v>35</v>
      </c>
      <c r="AA47" s="10" t="s">
        <v>35</v>
      </c>
      <c r="AB47" s="10" t="s">
        <v>2435</v>
      </c>
      <c r="AC47" s="10">
        <v>0</v>
      </c>
      <c r="AD47" s="10">
        <v>1</v>
      </c>
      <c r="AE47" s="10" t="s">
        <v>42</v>
      </c>
      <c r="AF47" s="10" t="s">
        <v>43</v>
      </c>
      <c r="AG47" s="10" t="s">
        <v>38</v>
      </c>
      <c r="AH47" s="10" t="s">
        <v>92</v>
      </c>
    </row>
    <row r="48" spans="1:34" x14ac:dyDescent="0.3">
      <c r="A48" s="74" t="s">
        <v>2435</v>
      </c>
      <c r="B48" s="10" t="s">
        <v>2520</v>
      </c>
      <c r="C48" s="10" t="s">
        <v>2521</v>
      </c>
      <c r="D48" s="11">
        <v>45044</v>
      </c>
      <c r="E48" s="12">
        <v>165000</v>
      </c>
      <c r="F48" s="10" t="s">
        <v>32</v>
      </c>
      <c r="G48" s="10" t="s">
        <v>33</v>
      </c>
      <c r="H48" s="12">
        <v>165000</v>
      </c>
      <c r="I48" s="12">
        <v>67800</v>
      </c>
      <c r="J48" s="13">
        <f t="shared" si="7"/>
        <v>41.090909090909086</v>
      </c>
      <c r="K48" s="12">
        <v>175395</v>
      </c>
      <c r="L48" s="12">
        <f>H48-168380</f>
        <v>-3380</v>
      </c>
      <c r="M48" s="12">
        <v>7015</v>
      </c>
      <c r="N48" s="66">
        <f t="shared" si="8"/>
        <v>4.2515151515151513E-2</v>
      </c>
      <c r="O48" s="14">
        <v>37.92</v>
      </c>
      <c r="P48" s="15">
        <v>119.65</v>
      </c>
      <c r="Q48" s="16">
        <v>0.108</v>
      </c>
      <c r="R48" s="16">
        <v>0.108</v>
      </c>
      <c r="S48" s="12">
        <f t="shared" si="9"/>
        <v>-89.135021097046405</v>
      </c>
      <c r="T48" s="12">
        <f t="shared" si="10"/>
        <v>-31296.296296296296</v>
      </c>
      <c r="U48" s="17">
        <f t="shared" si="11"/>
        <v>-0.71846410230248614</v>
      </c>
      <c r="V48" s="16">
        <v>39.67</v>
      </c>
      <c r="W48" s="16">
        <f t="shared" si="12"/>
        <v>33000</v>
      </c>
      <c r="X48" s="16">
        <f t="shared" si="13"/>
        <v>831.86286866649857</v>
      </c>
      <c r="Y48" s="18" t="s">
        <v>2434</v>
      </c>
      <c r="Z48" s="10" t="s">
        <v>35</v>
      </c>
      <c r="AA48" s="10" t="s">
        <v>35</v>
      </c>
      <c r="AB48" s="10" t="s">
        <v>2435</v>
      </c>
      <c r="AC48" s="10">
        <v>0</v>
      </c>
      <c r="AD48" s="10">
        <v>1</v>
      </c>
      <c r="AE48" s="10" t="s">
        <v>37</v>
      </c>
      <c r="AF48" s="10" t="s">
        <v>43</v>
      </c>
      <c r="AG48" s="10" t="s">
        <v>38</v>
      </c>
      <c r="AH48" s="10" t="s">
        <v>92</v>
      </c>
    </row>
    <row r="49" spans="1:34" x14ac:dyDescent="0.3">
      <c r="A49" s="75" t="s">
        <v>2435</v>
      </c>
      <c r="B49" s="19" t="s">
        <v>2575</v>
      </c>
      <c r="C49" s="19" t="s">
        <v>2576</v>
      </c>
      <c r="D49" s="20">
        <v>45615</v>
      </c>
      <c r="E49" s="21">
        <v>99900</v>
      </c>
      <c r="F49" s="19" t="s">
        <v>32</v>
      </c>
      <c r="G49" s="19" t="s">
        <v>33</v>
      </c>
      <c r="H49" s="21">
        <v>99900</v>
      </c>
      <c r="I49" s="21">
        <v>48600</v>
      </c>
      <c r="J49" s="22">
        <f t="shared" si="7"/>
        <v>48.648648648648653</v>
      </c>
      <c r="K49" s="21">
        <v>110897</v>
      </c>
      <c r="L49" s="21">
        <f>H49-102247</f>
        <v>-2347</v>
      </c>
      <c r="M49" s="21">
        <v>8650</v>
      </c>
      <c r="N49" s="67">
        <f t="shared" si="8"/>
        <v>8.6586586586586592E-2</v>
      </c>
      <c r="O49" s="23">
        <v>46.75</v>
      </c>
      <c r="P49" s="24">
        <v>177.64</v>
      </c>
      <c r="Q49" s="25">
        <v>0.16300000000000001</v>
      </c>
      <c r="R49" s="25">
        <v>0.16300000000000001</v>
      </c>
      <c r="S49" s="21">
        <f t="shared" si="9"/>
        <v>-50.203208556149733</v>
      </c>
      <c r="T49" s="21">
        <f t="shared" si="10"/>
        <v>-14398.773006134968</v>
      </c>
      <c r="U49" s="26">
        <f t="shared" si="11"/>
        <v>-0.33055034449345655</v>
      </c>
      <c r="V49" s="25">
        <v>40</v>
      </c>
      <c r="W49" s="25">
        <f t="shared" si="12"/>
        <v>19980</v>
      </c>
      <c r="X49" s="25">
        <f t="shared" si="13"/>
        <v>499.5</v>
      </c>
      <c r="Y49" s="27" t="s">
        <v>2434</v>
      </c>
      <c r="Z49" s="19" t="s">
        <v>35</v>
      </c>
      <c r="AA49" s="19" t="s">
        <v>35</v>
      </c>
      <c r="AB49" s="19" t="s">
        <v>2435</v>
      </c>
      <c r="AC49" s="19">
        <v>0</v>
      </c>
      <c r="AD49" s="19">
        <v>1</v>
      </c>
      <c r="AE49" s="19" t="s">
        <v>42</v>
      </c>
      <c r="AF49" s="19" t="s">
        <v>35</v>
      </c>
      <c r="AG49" s="19" t="s">
        <v>38</v>
      </c>
      <c r="AH49" s="19" t="s">
        <v>92</v>
      </c>
    </row>
    <row r="50" spans="1:34" x14ac:dyDescent="0.3">
      <c r="A50" s="75" t="s">
        <v>2435</v>
      </c>
      <c r="B50" s="19" t="s">
        <v>2446</v>
      </c>
      <c r="C50" s="19" t="s">
        <v>2447</v>
      </c>
      <c r="D50" s="20">
        <v>45054</v>
      </c>
      <c r="E50" s="21">
        <v>95000</v>
      </c>
      <c r="F50" s="19" t="s">
        <v>32</v>
      </c>
      <c r="G50" s="19" t="s">
        <v>33</v>
      </c>
      <c r="H50" s="21">
        <v>95000</v>
      </c>
      <c r="I50" s="21">
        <v>45500</v>
      </c>
      <c r="J50" s="22">
        <f t="shared" si="7"/>
        <v>47.89473684210526</v>
      </c>
      <c r="K50" s="21">
        <v>116554</v>
      </c>
      <c r="L50" s="21">
        <f>H50-90506</f>
        <v>4494</v>
      </c>
      <c r="M50" s="21">
        <v>26048</v>
      </c>
      <c r="N50" s="67">
        <f t="shared" si="8"/>
        <v>0.27418947368421054</v>
      </c>
      <c r="O50" s="23">
        <v>140.79</v>
      </c>
      <c r="P50" s="24">
        <v>178.97</v>
      </c>
      <c r="Q50" s="25">
        <v>0.49299999999999999</v>
      </c>
      <c r="R50" s="25">
        <v>0.49299999999999999</v>
      </c>
      <c r="S50" s="21">
        <f t="shared" si="9"/>
        <v>31.919880673343279</v>
      </c>
      <c r="T50" s="21">
        <f t="shared" si="10"/>
        <v>9115.6186612576057</v>
      </c>
      <c r="U50" s="26">
        <f t="shared" si="11"/>
        <v>0.2092658094870892</v>
      </c>
      <c r="V50" s="25">
        <v>120</v>
      </c>
      <c r="W50" s="25">
        <f t="shared" si="12"/>
        <v>19000</v>
      </c>
      <c r="X50" s="25">
        <f t="shared" si="13"/>
        <v>158.33333333333334</v>
      </c>
      <c r="Y50" s="27" t="s">
        <v>2434</v>
      </c>
      <c r="Z50" s="19" t="s">
        <v>35</v>
      </c>
      <c r="AA50" s="19" t="s">
        <v>35</v>
      </c>
      <c r="AB50" s="19" t="s">
        <v>2435</v>
      </c>
      <c r="AC50" s="19">
        <v>0</v>
      </c>
      <c r="AD50" s="19">
        <v>1</v>
      </c>
      <c r="AE50" s="19" t="s">
        <v>42</v>
      </c>
      <c r="AF50" s="19" t="s">
        <v>43</v>
      </c>
      <c r="AG50" s="19" t="s">
        <v>38</v>
      </c>
      <c r="AH50" s="19" t="s">
        <v>92</v>
      </c>
    </row>
    <row r="51" spans="1:34" x14ac:dyDescent="0.3">
      <c r="A51" s="74" t="s">
        <v>2435</v>
      </c>
      <c r="B51" s="10" t="s">
        <v>2573</v>
      </c>
      <c r="C51" s="10" t="s">
        <v>2574</v>
      </c>
      <c r="D51" s="11">
        <v>45212</v>
      </c>
      <c r="E51" s="12">
        <v>138000</v>
      </c>
      <c r="F51" s="10" t="s">
        <v>32</v>
      </c>
      <c r="G51" s="10" t="s">
        <v>33</v>
      </c>
      <c r="H51" s="12">
        <v>138000</v>
      </c>
      <c r="I51" s="12">
        <v>56100</v>
      </c>
      <c r="J51" s="13">
        <f t="shared" si="7"/>
        <v>40.652173913043477</v>
      </c>
      <c r="K51" s="12">
        <v>144221</v>
      </c>
      <c r="L51" s="12">
        <f>H51-135571</f>
        <v>2429</v>
      </c>
      <c r="M51" s="12">
        <v>8650</v>
      </c>
      <c r="N51" s="66">
        <f t="shared" si="8"/>
        <v>6.2681159420289859E-2</v>
      </c>
      <c r="O51" s="14">
        <v>46.75</v>
      </c>
      <c r="P51" s="15">
        <v>177.64</v>
      </c>
      <c r="Q51" s="16">
        <v>0.16300000000000001</v>
      </c>
      <c r="R51" s="16">
        <v>0.16300000000000001</v>
      </c>
      <c r="S51" s="12">
        <f t="shared" si="9"/>
        <v>51.957219251336902</v>
      </c>
      <c r="T51" s="12">
        <f t="shared" si="10"/>
        <v>14901.840490797545</v>
      </c>
      <c r="U51" s="17">
        <f t="shared" si="11"/>
        <v>0.34209918482088031</v>
      </c>
      <c r="V51" s="16">
        <v>40</v>
      </c>
      <c r="W51" s="16">
        <f t="shared" si="12"/>
        <v>27600</v>
      </c>
      <c r="X51" s="16">
        <f t="shared" si="13"/>
        <v>690</v>
      </c>
      <c r="Y51" s="18" t="s">
        <v>2434</v>
      </c>
      <c r="Z51" s="10" t="s">
        <v>35</v>
      </c>
      <c r="AA51" s="10" t="s">
        <v>35</v>
      </c>
      <c r="AB51" s="10" t="s">
        <v>2435</v>
      </c>
      <c r="AC51" s="10">
        <v>0</v>
      </c>
      <c r="AD51" s="10">
        <v>1</v>
      </c>
      <c r="AE51" s="10" t="s">
        <v>42</v>
      </c>
      <c r="AF51" s="10" t="s">
        <v>43</v>
      </c>
      <c r="AG51" s="10" t="s">
        <v>38</v>
      </c>
      <c r="AH51" s="10" t="s">
        <v>92</v>
      </c>
    </row>
  </sheetData>
  <sortState xmlns:xlrd2="http://schemas.microsoft.com/office/spreadsheetml/2017/richdata2" ref="A2:AH39">
    <sortCondition ref="S2:S39"/>
  </sortState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8">
    <tabColor rgb="FF00B050"/>
  </sheetPr>
  <dimension ref="A1:AH47"/>
  <sheetViews>
    <sheetView workbookViewId="0">
      <selection activeCell="E27" sqref="E27:L3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66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4414062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2594</v>
      </c>
      <c r="B2" s="10" t="s">
        <v>2613</v>
      </c>
      <c r="C2" s="10" t="s">
        <v>2614</v>
      </c>
      <c r="D2" s="11">
        <v>45023</v>
      </c>
      <c r="E2" s="12">
        <v>144000</v>
      </c>
      <c r="F2" s="10" t="s">
        <v>32</v>
      </c>
      <c r="G2" s="10" t="s">
        <v>33</v>
      </c>
      <c r="H2" s="12">
        <v>144000</v>
      </c>
      <c r="I2" s="12">
        <v>53500</v>
      </c>
      <c r="J2" s="13">
        <f t="shared" ref="J2:J23" si="0">I2/H2*100</f>
        <v>37.152777777777779</v>
      </c>
      <c r="K2" s="12">
        <v>145456</v>
      </c>
      <c r="L2" s="12">
        <f>H2-131424</f>
        <v>12576</v>
      </c>
      <c r="M2" s="12">
        <v>14032</v>
      </c>
      <c r="N2" s="66">
        <f t="shared" ref="N2:N23" si="1">M2/E2</f>
        <v>9.7444444444444445E-2</v>
      </c>
      <c r="O2" s="14">
        <v>62.08</v>
      </c>
      <c r="P2" s="15">
        <v>118.87</v>
      </c>
      <c r="Q2" s="16">
        <v>0.17899999999999999</v>
      </c>
      <c r="R2" s="16">
        <v>0.17899999999999999</v>
      </c>
      <c r="S2" s="12">
        <f t="shared" ref="S2:S23" si="2">L2/O2</f>
        <v>202.57731958762886</v>
      </c>
      <c r="T2" s="12">
        <f t="shared" ref="T2:T23" si="3">L2/Q2</f>
        <v>70256.983240223461</v>
      </c>
      <c r="U2" s="17">
        <f t="shared" ref="U2:U23" si="4">L2/Q2/43560</f>
        <v>1.6128784031272603</v>
      </c>
      <c r="V2" s="16">
        <v>55.89</v>
      </c>
      <c r="W2" s="16">
        <f t="shared" ref="W2:W23" si="5">0.2*E2</f>
        <v>28800</v>
      </c>
      <c r="X2" s="16">
        <f t="shared" ref="X2:X23" si="6">W2/V2</f>
        <v>515.29790660225444</v>
      </c>
      <c r="Y2" s="18" t="s">
        <v>2593</v>
      </c>
      <c r="Z2" s="10" t="s">
        <v>35</v>
      </c>
      <c r="AA2" s="10" t="s">
        <v>35</v>
      </c>
      <c r="AB2" s="10" t="s">
        <v>2594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2594</v>
      </c>
      <c r="B3" s="19" t="s">
        <v>2609</v>
      </c>
      <c r="C3" s="19" t="s">
        <v>2610</v>
      </c>
      <c r="D3" s="20">
        <v>45513</v>
      </c>
      <c r="E3" s="21">
        <v>130000</v>
      </c>
      <c r="F3" s="19" t="s">
        <v>32</v>
      </c>
      <c r="G3" s="19" t="s">
        <v>33</v>
      </c>
      <c r="H3" s="21">
        <v>130000</v>
      </c>
      <c r="I3" s="21">
        <v>56900</v>
      </c>
      <c r="J3" s="22">
        <f t="shared" si="0"/>
        <v>43.769230769230774</v>
      </c>
      <c r="K3" s="21">
        <v>129498</v>
      </c>
      <c r="L3" s="21">
        <f>H3-115938</f>
        <v>14062</v>
      </c>
      <c r="M3" s="21">
        <v>13560</v>
      </c>
      <c r="N3" s="67">
        <f t="shared" si="1"/>
        <v>0.10430769230769231</v>
      </c>
      <c r="O3" s="23">
        <v>60</v>
      </c>
      <c r="P3" s="24">
        <v>120</v>
      </c>
      <c r="Q3" s="25">
        <v>0.16500000000000001</v>
      </c>
      <c r="R3" s="25">
        <v>0.16500000000000001</v>
      </c>
      <c r="S3" s="21">
        <f t="shared" si="2"/>
        <v>234.36666666666667</v>
      </c>
      <c r="T3" s="21">
        <f t="shared" si="3"/>
        <v>85224.242424242417</v>
      </c>
      <c r="U3" s="26">
        <f t="shared" si="4"/>
        <v>1.9564793944959233</v>
      </c>
      <c r="V3" s="25">
        <v>60</v>
      </c>
      <c r="W3" s="25">
        <f t="shared" si="5"/>
        <v>26000</v>
      </c>
      <c r="X3" s="25">
        <f t="shared" si="6"/>
        <v>433.33333333333331</v>
      </c>
      <c r="Y3" s="27" t="s">
        <v>2593</v>
      </c>
      <c r="Z3" s="19" t="s">
        <v>35</v>
      </c>
      <c r="AA3" s="19" t="s">
        <v>35</v>
      </c>
      <c r="AB3" s="19" t="s">
        <v>2594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2594</v>
      </c>
      <c r="B4" s="10" t="s">
        <v>2607</v>
      </c>
      <c r="C4" s="10" t="s">
        <v>2608</v>
      </c>
      <c r="D4" s="11">
        <v>45397</v>
      </c>
      <c r="E4" s="12">
        <v>143900</v>
      </c>
      <c r="F4" s="10" t="s">
        <v>32</v>
      </c>
      <c r="G4" s="10" t="s">
        <v>33</v>
      </c>
      <c r="H4" s="12">
        <v>143900</v>
      </c>
      <c r="I4" s="12">
        <v>62800</v>
      </c>
      <c r="J4" s="13">
        <f t="shared" si="0"/>
        <v>43.641417651146632</v>
      </c>
      <c r="K4" s="12">
        <v>141569</v>
      </c>
      <c r="L4" s="12">
        <f>H4-128009</f>
        <v>15891</v>
      </c>
      <c r="M4" s="12">
        <v>13560</v>
      </c>
      <c r="N4" s="66">
        <f t="shared" si="1"/>
        <v>9.4232105628908963E-2</v>
      </c>
      <c r="O4" s="14">
        <v>60</v>
      </c>
      <c r="P4" s="15">
        <v>120</v>
      </c>
      <c r="Q4" s="16">
        <v>0.16500000000000001</v>
      </c>
      <c r="R4" s="16">
        <v>0.16500000000000001</v>
      </c>
      <c r="S4" s="12">
        <f t="shared" si="2"/>
        <v>264.85000000000002</v>
      </c>
      <c r="T4" s="12">
        <f t="shared" si="3"/>
        <v>96309.090909090912</v>
      </c>
      <c r="U4" s="17">
        <f t="shared" si="4"/>
        <v>2.2109525002086987</v>
      </c>
      <c r="V4" s="16">
        <v>60</v>
      </c>
      <c r="W4" s="16">
        <f t="shared" si="5"/>
        <v>28780</v>
      </c>
      <c r="X4" s="16">
        <f t="shared" si="6"/>
        <v>479.66666666666669</v>
      </c>
      <c r="Y4" s="18" t="s">
        <v>2593</v>
      </c>
      <c r="Z4" s="10" t="s">
        <v>35</v>
      </c>
      <c r="AA4" s="10" t="s">
        <v>35</v>
      </c>
      <c r="AB4" s="10" t="s">
        <v>2594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2594</v>
      </c>
      <c r="B5" s="10" t="s">
        <v>2640</v>
      </c>
      <c r="C5" s="10" t="s">
        <v>2641</v>
      </c>
      <c r="D5" s="11">
        <v>45244</v>
      </c>
      <c r="E5" s="12">
        <v>165000</v>
      </c>
      <c r="F5" s="10" t="s">
        <v>32</v>
      </c>
      <c r="G5" s="10" t="s">
        <v>33</v>
      </c>
      <c r="H5" s="12">
        <v>165000</v>
      </c>
      <c r="I5" s="12">
        <v>59200</v>
      </c>
      <c r="J5" s="13">
        <f t="shared" si="0"/>
        <v>35.878787878787875</v>
      </c>
      <c r="K5" s="12">
        <v>159956</v>
      </c>
      <c r="L5" s="12">
        <f>H5-145653</f>
        <v>19347</v>
      </c>
      <c r="M5" s="12">
        <v>14303</v>
      </c>
      <c r="N5" s="66">
        <f t="shared" si="1"/>
        <v>8.668484848484849E-2</v>
      </c>
      <c r="O5" s="14">
        <v>63.28</v>
      </c>
      <c r="P5" s="15">
        <v>132.09</v>
      </c>
      <c r="Q5" s="16">
        <v>0.183</v>
      </c>
      <c r="R5" s="16">
        <v>0.183</v>
      </c>
      <c r="S5" s="12">
        <f t="shared" si="2"/>
        <v>305.73640960809104</v>
      </c>
      <c r="T5" s="12">
        <f t="shared" si="3"/>
        <v>105721.31147540984</v>
      </c>
      <c r="U5" s="17">
        <f t="shared" si="4"/>
        <v>2.4270273525117041</v>
      </c>
      <c r="V5" s="16">
        <v>60</v>
      </c>
      <c r="W5" s="16">
        <f t="shared" si="5"/>
        <v>33000</v>
      </c>
      <c r="X5" s="16">
        <f t="shared" si="6"/>
        <v>550</v>
      </c>
      <c r="Y5" s="18" t="s">
        <v>2593</v>
      </c>
      <c r="Z5" s="10" t="s">
        <v>35</v>
      </c>
      <c r="AA5" s="10" t="s">
        <v>35</v>
      </c>
      <c r="AB5" s="10" t="s">
        <v>2594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5" t="s">
        <v>2594</v>
      </c>
      <c r="B6" s="19" t="s">
        <v>2659</v>
      </c>
      <c r="C6" s="19" t="s">
        <v>2660</v>
      </c>
      <c r="D6" s="20">
        <v>45243</v>
      </c>
      <c r="E6" s="21">
        <v>139000</v>
      </c>
      <c r="F6" s="19" t="s">
        <v>32</v>
      </c>
      <c r="G6" s="19" t="s">
        <v>33</v>
      </c>
      <c r="H6" s="21">
        <v>139000</v>
      </c>
      <c r="I6" s="21">
        <v>49300</v>
      </c>
      <c r="J6" s="22">
        <f t="shared" si="0"/>
        <v>35.467625899280577</v>
      </c>
      <c r="K6" s="21">
        <v>133010</v>
      </c>
      <c r="L6" s="21">
        <f>H6-118187</f>
        <v>20813</v>
      </c>
      <c r="M6" s="21">
        <v>14823</v>
      </c>
      <c r="N6" s="67">
        <f t="shared" si="1"/>
        <v>0.10664028776978417</v>
      </c>
      <c r="O6" s="23">
        <v>65.58</v>
      </c>
      <c r="P6" s="24">
        <v>115</v>
      </c>
      <c r="Q6" s="25">
        <v>0.17699999999999999</v>
      </c>
      <c r="R6" s="25">
        <v>0.17699999999999999</v>
      </c>
      <c r="S6" s="21">
        <f t="shared" si="2"/>
        <v>317.36810003049709</v>
      </c>
      <c r="T6" s="21">
        <f t="shared" si="3"/>
        <v>117587.57062146893</v>
      </c>
      <c r="U6" s="26">
        <f t="shared" si="4"/>
        <v>2.6994391786379461</v>
      </c>
      <c r="V6" s="25">
        <v>67</v>
      </c>
      <c r="W6" s="25">
        <f t="shared" si="5"/>
        <v>27800</v>
      </c>
      <c r="X6" s="25">
        <f t="shared" si="6"/>
        <v>414.92537313432837</v>
      </c>
      <c r="Y6" s="27" t="s">
        <v>2593</v>
      </c>
      <c r="Z6" s="19" t="s">
        <v>35</v>
      </c>
      <c r="AA6" s="19" t="s">
        <v>35</v>
      </c>
      <c r="AB6" s="19" t="s">
        <v>2594</v>
      </c>
      <c r="AC6" s="19">
        <v>0</v>
      </c>
      <c r="AD6" s="19">
        <v>1</v>
      </c>
      <c r="AE6" s="19" t="s">
        <v>42</v>
      </c>
      <c r="AF6" s="19" t="s">
        <v>43</v>
      </c>
      <c r="AG6" s="19" t="s">
        <v>38</v>
      </c>
      <c r="AH6" s="19" t="s">
        <v>92</v>
      </c>
    </row>
    <row r="7" spans="1:34" x14ac:dyDescent="0.3">
      <c r="A7" s="75" t="s">
        <v>2594</v>
      </c>
      <c r="B7" s="19" t="s">
        <v>2611</v>
      </c>
      <c r="C7" s="19" t="s">
        <v>2612</v>
      </c>
      <c r="D7" s="20">
        <v>45490</v>
      </c>
      <c r="E7" s="21">
        <v>135000</v>
      </c>
      <c r="F7" s="19" t="s">
        <v>32</v>
      </c>
      <c r="G7" s="19" t="s">
        <v>33</v>
      </c>
      <c r="H7" s="21">
        <v>135000</v>
      </c>
      <c r="I7" s="21">
        <v>56500</v>
      </c>
      <c r="J7" s="22">
        <f t="shared" si="0"/>
        <v>41.851851851851848</v>
      </c>
      <c r="K7" s="21">
        <v>128615</v>
      </c>
      <c r="L7" s="21">
        <f>H7-115055</f>
        <v>19945</v>
      </c>
      <c r="M7" s="21">
        <v>13560</v>
      </c>
      <c r="N7" s="67">
        <f t="shared" si="1"/>
        <v>0.10044444444444445</v>
      </c>
      <c r="O7" s="23">
        <v>60</v>
      </c>
      <c r="P7" s="24">
        <v>120</v>
      </c>
      <c r="Q7" s="25">
        <v>0.16500000000000001</v>
      </c>
      <c r="R7" s="25">
        <v>0.16500000000000001</v>
      </c>
      <c r="S7" s="21">
        <f t="shared" si="2"/>
        <v>332.41666666666669</v>
      </c>
      <c r="T7" s="21">
        <f t="shared" si="3"/>
        <v>120878.78787878787</v>
      </c>
      <c r="U7" s="26">
        <f t="shared" si="4"/>
        <v>2.774995130367031</v>
      </c>
      <c r="V7" s="25">
        <v>60</v>
      </c>
      <c r="W7" s="25">
        <f t="shared" si="5"/>
        <v>27000</v>
      </c>
      <c r="X7" s="25">
        <f t="shared" si="6"/>
        <v>450</v>
      </c>
      <c r="Y7" s="27" t="s">
        <v>2593</v>
      </c>
      <c r="Z7" s="19" t="s">
        <v>35</v>
      </c>
      <c r="AA7" s="19" t="s">
        <v>35</v>
      </c>
      <c r="AB7" s="19" t="s">
        <v>2594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2594</v>
      </c>
      <c r="B8" s="19" t="s">
        <v>2642</v>
      </c>
      <c r="C8" s="19" t="s">
        <v>2643</v>
      </c>
      <c r="D8" s="20">
        <v>45204</v>
      </c>
      <c r="E8" s="21">
        <v>165000</v>
      </c>
      <c r="F8" s="19" t="s">
        <v>32</v>
      </c>
      <c r="G8" s="19" t="s">
        <v>33</v>
      </c>
      <c r="H8" s="21">
        <v>165000</v>
      </c>
      <c r="I8" s="21">
        <v>58400</v>
      </c>
      <c r="J8" s="22">
        <f t="shared" si="0"/>
        <v>35.393939393939391</v>
      </c>
      <c r="K8" s="21">
        <v>157774</v>
      </c>
      <c r="L8" s="21">
        <f>H8-142868</f>
        <v>22132</v>
      </c>
      <c r="M8" s="21">
        <v>14906</v>
      </c>
      <c r="N8" s="67">
        <f t="shared" si="1"/>
        <v>9.0339393939393942E-2</v>
      </c>
      <c r="O8" s="23">
        <v>65.95</v>
      </c>
      <c r="P8" s="24">
        <v>145</v>
      </c>
      <c r="Q8" s="25">
        <v>0.2</v>
      </c>
      <c r="R8" s="25">
        <v>0.2</v>
      </c>
      <c r="S8" s="21">
        <f t="shared" si="2"/>
        <v>335.58756633813493</v>
      </c>
      <c r="T8" s="21">
        <f t="shared" si="3"/>
        <v>110660</v>
      </c>
      <c r="U8" s="26">
        <f t="shared" si="4"/>
        <v>2.5404040404040402</v>
      </c>
      <c r="V8" s="25">
        <v>60</v>
      </c>
      <c r="W8" s="25">
        <f t="shared" si="5"/>
        <v>33000</v>
      </c>
      <c r="X8" s="25">
        <f t="shared" si="6"/>
        <v>550</v>
      </c>
      <c r="Y8" s="27" t="s">
        <v>2593</v>
      </c>
      <c r="Z8" s="19" t="s">
        <v>35</v>
      </c>
      <c r="AA8" s="19" t="s">
        <v>35</v>
      </c>
      <c r="AB8" s="19" t="s">
        <v>2594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2594</v>
      </c>
      <c r="B9" s="19" t="s">
        <v>2617</v>
      </c>
      <c r="C9" s="19" t="s">
        <v>2618</v>
      </c>
      <c r="D9" s="20">
        <v>45708</v>
      </c>
      <c r="E9" s="21">
        <v>137000</v>
      </c>
      <c r="F9" s="19" t="s">
        <v>32</v>
      </c>
      <c r="G9" s="19" t="s">
        <v>33</v>
      </c>
      <c r="H9" s="21">
        <v>137000</v>
      </c>
      <c r="I9" s="21">
        <v>57100</v>
      </c>
      <c r="J9" s="22">
        <f t="shared" si="0"/>
        <v>41.678832116788321</v>
      </c>
      <c r="K9" s="21">
        <v>130104</v>
      </c>
      <c r="L9" s="21">
        <f>H9-116544</f>
        <v>20456</v>
      </c>
      <c r="M9" s="21">
        <v>13560</v>
      </c>
      <c r="N9" s="67">
        <f t="shared" si="1"/>
        <v>9.8978102189781023E-2</v>
      </c>
      <c r="O9" s="23">
        <v>60</v>
      </c>
      <c r="P9" s="24">
        <v>120</v>
      </c>
      <c r="Q9" s="25">
        <v>0.16500000000000001</v>
      </c>
      <c r="R9" s="25">
        <v>0.16500000000000001</v>
      </c>
      <c r="S9" s="21">
        <f t="shared" si="2"/>
        <v>340.93333333333334</v>
      </c>
      <c r="T9" s="21">
        <f t="shared" si="3"/>
        <v>123975.75757575757</v>
      </c>
      <c r="U9" s="26">
        <f t="shared" si="4"/>
        <v>2.8460917717116061</v>
      </c>
      <c r="V9" s="25">
        <v>60</v>
      </c>
      <c r="W9" s="25">
        <f t="shared" si="5"/>
        <v>27400</v>
      </c>
      <c r="X9" s="25">
        <f t="shared" si="6"/>
        <v>456.66666666666669</v>
      </c>
      <c r="Y9" s="27" t="s">
        <v>2593</v>
      </c>
      <c r="Z9" s="19" t="s">
        <v>35</v>
      </c>
      <c r="AA9" s="19" t="s">
        <v>35</v>
      </c>
      <c r="AB9" s="19" t="s">
        <v>2594</v>
      </c>
      <c r="AC9" s="19">
        <v>0</v>
      </c>
      <c r="AD9" s="19">
        <v>1</v>
      </c>
      <c r="AE9" s="19" t="s">
        <v>42</v>
      </c>
      <c r="AF9" s="19" t="s">
        <v>35</v>
      </c>
      <c r="AG9" s="19" t="s">
        <v>38</v>
      </c>
      <c r="AH9" s="19" t="s">
        <v>92</v>
      </c>
    </row>
    <row r="10" spans="1:34" x14ac:dyDescent="0.3">
      <c r="A10" s="74" t="s">
        <v>2594</v>
      </c>
      <c r="B10" s="10" t="s">
        <v>2597</v>
      </c>
      <c r="C10" s="10" t="s">
        <v>2598</v>
      </c>
      <c r="D10" s="11">
        <v>45051</v>
      </c>
      <c r="E10" s="12">
        <v>154400</v>
      </c>
      <c r="F10" s="10" t="s">
        <v>32</v>
      </c>
      <c r="G10" s="10" t="s">
        <v>33</v>
      </c>
      <c r="H10" s="12">
        <v>154400</v>
      </c>
      <c r="I10" s="12">
        <v>52800</v>
      </c>
      <c r="J10" s="13">
        <f t="shared" si="0"/>
        <v>34.196891191709845</v>
      </c>
      <c r="K10" s="12">
        <v>146807</v>
      </c>
      <c r="L10" s="12">
        <f>H10-133247</f>
        <v>21153</v>
      </c>
      <c r="M10" s="12">
        <v>13560</v>
      </c>
      <c r="N10" s="66">
        <f t="shared" si="1"/>
        <v>8.7823834196891187E-2</v>
      </c>
      <c r="O10" s="14">
        <v>60</v>
      </c>
      <c r="P10" s="15">
        <v>120</v>
      </c>
      <c r="Q10" s="16">
        <v>0.16500000000000001</v>
      </c>
      <c r="R10" s="16">
        <v>0.16500000000000001</v>
      </c>
      <c r="S10" s="12">
        <f t="shared" si="2"/>
        <v>352.55</v>
      </c>
      <c r="T10" s="12">
        <f t="shared" si="3"/>
        <v>128200</v>
      </c>
      <c r="U10" s="17">
        <f t="shared" si="4"/>
        <v>2.9430670339761247</v>
      </c>
      <c r="V10" s="16">
        <v>60</v>
      </c>
      <c r="W10" s="16">
        <f t="shared" si="5"/>
        <v>30880</v>
      </c>
      <c r="X10" s="16">
        <f t="shared" si="6"/>
        <v>514.66666666666663</v>
      </c>
      <c r="Y10" s="18" t="s">
        <v>2593</v>
      </c>
      <c r="Z10" s="10" t="s">
        <v>35</v>
      </c>
      <c r="AA10" s="10" t="s">
        <v>35</v>
      </c>
      <c r="AB10" s="10" t="s">
        <v>2594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4" t="s">
        <v>2594</v>
      </c>
      <c r="B11" s="10" t="s">
        <v>2648</v>
      </c>
      <c r="C11" s="10" t="s">
        <v>2649</v>
      </c>
      <c r="D11" s="11">
        <v>45124</v>
      </c>
      <c r="E11" s="12">
        <v>145000</v>
      </c>
      <c r="F11" s="10" t="s">
        <v>32</v>
      </c>
      <c r="G11" s="10" t="s">
        <v>33</v>
      </c>
      <c r="H11" s="12">
        <v>145000</v>
      </c>
      <c r="I11" s="12">
        <v>49100</v>
      </c>
      <c r="J11" s="13">
        <f t="shared" si="0"/>
        <v>33.862068965517238</v>
      </c>
      <c r="K11" s="12">
        <v>132225</v>
      </c>
      <c r="L11" s="12">
        <f>H11-114647</f>
        <v>30353</v>
      </c>
      <c r="M11" s="12">
        <v>17578</v>
      </c>
      <c r="N11" s="66">
        <f t="shared" si="1"/>
        <v>0.12122758620689655</v>
      </c>
      <c r="O11" s="14">
        <v>77.77</v>
      </c>
      <c r="P11" s="15">
        <v>117.14</v>
      </c>
      <c r="Q11" s="16">
        <v>0.215</v>
      </c>
      <c r="R11" s="16">
        <v>0.215</v>
      </c>
      <c r="S11" s="12">
        <f t="shared" si="2"/>
        <v>390.29188633149033</v>
      </c>
      <c r="T11" s="12">
        <f t="shared" si="3"/>
        <v>141176.7441860465</v>
      </c>
      <c r="U11" s="17">
        <f t="shared" si="4"/>
        <v>3.2409720887522155</v>
      </c>
      <c r="V11" s="16">
        <v>76</v>
      </c>
      <c r="W11" s="16">
        <f t="shared" si="5"/>
        <v>29000</v>
      </c>
      <c r="X11" s="16">
        <f t="shared" si="6"/>
        <v>381.57894736842104</v>
      </c>
      <c r="Y11" s="18" t="s">
        <v>2593</v>
      </c>
      <c r="Z11" s="10" t="s">
        <v>35</v>
      </c>
      <c r="AA11" s="10" t="s">
        <v>35</v>
      </c>
      <c r="AB11" s="10" t="s">
        <v>2594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2594</v>
      </c>
      <c r="B12" s="10" t="s">
        <v>2632</v>
      </c>
      <c r="C12" s="10" t="s">
        <v>2633</v>
      </c>
      <c r="D12" s="11">
        <v>45667</v>
      </c>
      <c r="E12" s="12">
        <v>170500</v>
      </c>
      <c r="F12" s="10" t="s">
        <v>32</v>
      </c>
      <c r="G12" s="10" t="s">
        <v>33</v>
      </c>
      <c r="H12" s="12">
        <v>170500</v>
      </c>
      <c r="I12" s="12">
        <v>69700</v>
      </c>
      <c r="J12" s="13">
        <f t="shared" si="0"/>
        <v>40.879765395894431</v>
      </c>
      <c r="K12" s="12">
        <v>157773</v>
      </c>
      <c r="L12" s="12">
        <f>H12-140891</f>
        <v>29609</v>
      </c>
      <c r="M12" s="12">
        <v>16882</v>
      </c>
      <c r="N12" s="66">
        <f t="shared" si="1"/>
        <v>9.9014662756598246E-2</v>
      </c>
      <c r="O12" s="14">
        <v>74.69</v>
      </c>
      <c r="P12" s="15">
        <v>186</v>
      </c>
      <c r="Q12" s="16">
        <v>0.25600000000000001</v>
      </c>
      <c r="R12" s="16">
        <v>0.25600000000000001</v>
      </c>
      <c r="S12" s="12">
        <f t="shared" si="2"/>
        <v>396.4252242602758</v>
      </c>
      <c r="T12" s="12">
        <f t="shared" si="3"/>
        <v>115660.15625</v>
      </c>
      <c r="U12" s="17">
        <f t="shared" si="4"/>
        <v>2.6551918331037649</v>
      </c>
      <c r="V12" s="16">
        <v>60</v>
      </c>
      <c r="W12" s="16">
        <f t="shared" si="5"/>
        <v>34100</v>
      </c>
      <c r="X12" s="16">
        <f t="shared" si="6"/>
        <v>568.33333333333337</v>
      </c>
      <c r="Y12" s="18" t="s">
        <v>2593</v>
      </c>
      <c r="Z12" s="10" t="s">
        <v>35</v>
      </c>
      <c r="AA12" s="10" t="s">
        <v>35</v>
      </c>
      <c r="AB12" s="10" t="s">
        <v>2594</v>
      </c>
      <c r="AC12" s="10">
        <v>0</v>
      </c>
      <c r="AD12" s="10">
        <v>1</v>
      </c>
      <c r="AE12" s="10" t="s">
        <v>42</v>
      </c>
      <c r="AF12" s="10" t="s">
        <v>35</v>
      </c>
      <c r="AG12" s="10" t="s">
        <v>38</v>
      </c>
      <c r="AH12" s="10" t="s">
        <v>92</v>
      </c>
    </row>
    <row r="13" spans="1:34" x14ac:dyDescent="0.3">
      <c r="A13" s="74" t="s">
        <v>2594</v>
      </c>
      <c r="B13" s="10" t="s">
        <v>2623</v>
      </c>
      <c r="C13" s="10" t="s">
        <v>2624</v>
      </c>
      <c r="D13" s="11">
        <v>45278</v>
      </c>
      <c r="E13" s="12">
        <v>154000</v>
      </c>
      <c r="F13" s="10" t="s">
        <v>32</v>
      </c>
      <c r="G13" s="10" t="s">
        <v>33</v>
      </c>
      <c r="H13" s="12">
        <v>154000</v>
      </c>
      <c r="I13" s="12">
        <v>52800</v>
      </c>
      <c r="J13" s="13">
        <f t="shared" si="0"/>
        <v>34.285714285714285</v>
      </c>
      <c r="K13" s="12">
        <v>143802</v>
      </c>
      <c r="L13" s="12">
        <f>H13-130413</f>
        <v>23587</v>
      </c>
      <c r="M13" s="12">
        <v>13389</v>
      </c>
      <c r="N13" s="66">
        <f t="shared" si="1"/>
        <v>8.6941558441558445E-2</v>
      </c>
      <c r="O13" s="14">
        <v>59.24</v>
      </c>
      <c r="P13" s="15">
        <v>117</v>
      </c>
      <c r="Q13" s="16">
        <v>0.161</v>
      </c>
      <c r="R13" s="16">
        <v>0.161</v>
      </c>
      <c r="S13" s="12">
        <f t="shared" si="2"/>
        <v>398.16002700877783</v>
      </c>
      <c r="T13" s="12">
        <f t="shared" si="3"/>
        <v>146503.1055900621</v>
      </c>
      <c r="U13" s="17">
        <f t="shared" si="4"/>
        <v>3.3632485213512879</v>
      </c>
      <c r="V13" s="16">
        <v>60</v>
      </c>
      <c r="W13" s="16">
        <f t="shared" si="5"/>
        <v>30800</v>
      </c>
      <c r="X13" s="16">
        <f t="shared" si="6"/>
        <v>513.33333333333337</v>
      </c>
      <c r="Y13" s="18" t="s">
        <v>2593</v>
      </c>
      <c r="Z13" s="10" t="s">
        <v>35</v>
      </c>
      <c r="AA13" s="10" t="s">
        <v>35</v>
      </c>
      <c r="AB13" s="10" t="s">
        <v>2594</v>
      </c>
      <c r="AC13" s="10">
        <v>0</v>
      </c>
      <c r="AD13" s="10">
        <v>1</v>
      </c>
      <c r="AE13" s="10" t="s">
        <v>42</v>
      </c>
      <c r="AF13" s="10" t="s">
        <v>43</v>
      </c>
      <c r="AG13" s="10" t="s">
        <v>38</v>
      </c>
      <c r="AH13" s="10" t="s">
        <v>92</v>
      </c>
    </row>
    <row r="14" spans="1:34" x14ac:dyDescent="0.3">
      <c r="A14" s="75" t="s">
        <v>2594</v>
      </c>
      <c r="B14" s="19" t="s">
        <v>2628</v>
      </c>
      <c r="C14" s="19" t="s">
        <v>2629</v>
      </c>
      <c r="D14" s="20">
        <v>45399</v>
      </c>
      <c r="E14" s="21">
        <v>185000</v>
      </c>
      <c r="F14" s="19" t="s">
        <v>32</v>
      </c>
      <c r="G14" s="19" t="s">
        <v>33</v>
      </c>
      <c r="H14" s="21">
        <v>185000</v>
      </c>
      <c r="I14" s="21">
        <v>72700</v>
      </c>
      <c r="J14" s="22">
        <f t="shared" si="0"/>
        <v>39.297297297297298</v>
      </c>
      <c r="K14" s="21">
        <v>167159</v>
      </c>
      <c r="L14" s="21">
        <f>H14-148114</f>
        <v>36886</v>
      </c>
      <c r="M14" s="21">
        <v>19045</v>
      </c>
      <c r="N14" s="67">
        <f t="shared" si="1"/>
        <v>0.10294594594594594</v>
      </c>
      <c r="O14" s="23">
        <v>84.26</v>
      </c>
      <c r="P14" s="24">
        <v>107.83</v>
      </c>
      <c r="Q14" s="25">
        <v>0.219</v>
      </c>
      <c r="R14" s="25">
        <v>0.219</v>
      </c>
      <c r="S14" s="21">
        <f t="shared" si="2"/>
        <v>437.76406361262758</v>
      </c>
      <c r="T14" s="21">
        <f t="shared" si="3"/>
        <v>168429.22374429225</v>
      </c>
      <c r="U14" s="26">
        <f t="shared" si="4"/>
        <v>3.8666029326054234</v>
      </c>
      <c r="V14" s="25">
        <v>89.91</v>
      </c>
      <c r="W14" s="25">
        <f t="shared" si="5"/>
        <v>37000</v>
      </c>
      <c r="X14" s="25">
        <f t="shared" si="6"/>
        <v>411.52263374485597</v>
      </c>
      <c r="Y14" s="27" t="s">
        <v>2593</v>
      </c>
      <c r="Z14" s="19" t="s">
        <v>35</v>
      </c>
      <c r="AA14" s="19" t="s">
        <v>35</v>
      </c>
      <c r="AB14" s="19" t="s">
        <v>2594</v>
      </c>
      <c r="AC14" s="19">
        <v>0</v>
      </c>
      <c r="AD14" s="19">
        <v>1</v>
      </c>
      <c r="AE14" s="19" t="s">
        <v>42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5" t="s">
        <v>2594</v>
      </c>
      <c r="B15" s="19" t="s">
        <v>2653</v>
      </c>
      <c r="C15" s="19" t="s">
        <v>2654</v>
      </c>
      <c r="D15" s="20">
        <v>45642</v>
      </c>
      <c r="E15" s="21">
        <v>158000</v>
      </c>
      <c r="F15" s="19" t="s">
        <v>32</v>
      </c>
      <c r="G15" s="19" t="s">
        <v>33</v>
      </c>
      <c r="H15" s="21">
        <v>158000</v>
      </c>
      <c r="I15" s="21">
        <v>64000</v>
      </c>
      <c r="J15" s="22">
        <f t="shared" si="0"/>
        <v>40.506329113924053</v>
      </c>
      <c r="K15" s="21">
        <v>144441</v>
      </c>
      <c r="L15" s="21">
        <f>H15-130248</f>
        <v>27752</v>
      </c>
      <c r="M15" s="21">
        <v>14193</v>
      </c>
      <c r="N15" s="67">
        <f t="shared" si="1"/>
        <v>8.982911392405063E-2</v>
      </c>
      <c r="O15" s="23">
        <v>62.8</v>
      </c>
      <c r="P15" s="24">
        <v>115.96</v>
      </c>
      <c r="Q15" s="25">
        <v>0.16500000000000001</v>
      </c>
      <c r="R15" s="25">
        <v>0.16500000000000001</v>
      </c>
      <c r="S15" s="21">
        <f t="shared" si="2"/>
        <v>441.91082802547771</v>
      </c>
      <c r="T15" s="21">
        <f t="shared" si="3"/>
        <v>168193.93939393939</v>
      </c>
      <c r="U15" s="26">
        <f t="shared" si="4"/>
        <v>3.8612015471519605</v>
      </c>
      <c r="V15" s="25">
        <v>67.73</v>
      </c>
      <c r="W15" s="25">
        <f t="shared" si="5"/>
        <v>31600</v>
      </c>
      <c r="X15" s="25">
        <f t="shared" si="6"/>
        <v>466.55839362173333</v>
      </c>
      <c r="Y15" s="27" t="s">
        <v>2593</v>
      </c>
      <c r="Z15" s="19" t="s">
        <v>35</v>
      </c>
      <c r="AA15" s="19" t="s">
        <v>35</v>
      </c>
      <c r="AB15" s="19" t="s">
        <v>2594</v>
      </c>
      <c r="AC15" s="19">
        <v>0</v>
      </c>
      <c r="AD15" s="19">
        <v>1</v>
      </c>
      <c r="AE15" s="19" t="s">
        <v>42</v>
      </c>
      <c r="AF15" s="19" t="s">
        <v>35</v>
      </c>
      <c r="AG15" s="19" t="s">
        <v>38</v>
      </c>
      <c r="AH15" s="19" t="s">
        <v>92</v>
      </c>
    </row>
    <row r="16" spans="1:34" x14ac:dyDescent="0.3">
      <c r="A16" s="74" t="s">
        <v>2594</v>
      </c>
      <c r="B16" s="10" t="s">
        <v>2646</v>
      </c>
      <c r="C16" s="10" t="s">
        <v>2647</v>
      </c>
      <c r="D16" s="11">
        <v>45386</v>
      </c>
      <c r="E16" s="12">
        <v>200000</v>
      </c>
      <c r="F16" s="10" t="s">
        <v>32</v>
      </c>
      <c r="G16" s="10" t="s">
        <v>33</v>
      </c>
      <c r="H16" s="12">
        <v>200000</v>
      </c>
      <c r="I16" s="12">
        <v>81900</v>
      </c>
      <c r="J16" s="13">
        <f t="shared" si="0"/>
        <v>40.949999999999996</v>
      </c>
      <c r="K16" s="12">
        <v>184744</v>
      </c>
      <c r="L16" s="12">
        <f>H16-170127</f>
        <v>29873</v>
      </c>
      <c r="M16" s="12">
        <v>14617</v>
      </c>
      <c r="N16" s="66">
        <f t="shared" si="1"/>
        <v>7.3084999999999997E-2</v>
      </c>
      <c r="O16" s="14">
        <v>64.67</v>
      </c>
      <c r="P16" s="15">
        <v>115</v>
      </c>
      <c r="Q16" s="16">
        <v>0.19800000000000001</v>
      </c>
      <c r="R16" s="16">
        <v>0.19800000000000001</v>
      </c>
      <c r="S16" s="12">
        <f t="shared" si="2"/>
        <v>461.92979743312202</v>
      </c>
      <c r="T16" s="12">
        <f t="shared" si="3"/>
        <v>150873.73737373736</v>
      </c>
      <c r="U16" s="17">
        <f t="shared" si="4"/>
        <v>3.463584420884696</v>
      </c>
      <c r="V16" s="16">
        <v>48</v>
      </c>
      <c r="W16" s="16">
        <f t="shared" si="5"/>
        <v>40000</v>
      </c>
      <c r="X16" s="16">
        <f t="shared" si="6"/>
        <v>833.33333333333337</v>
      </c>
      <c r="Y16" s="18" t="s">
        <v>2593</v>
      </c>
      <c r="Z16" s="10" t="s">
        <v>35</v>
      </c>
      <c r="AA16" s="10" t="s">
        <v>35</v>
      </c>
      <c r="AB16" s="10" t="s">
        <v>2594</v>
      </c>
      <c r="AC16" s="10">
        <v>0</v>
      </c>
      <c r="AD16" s="10">
        <v>1</v>
      </c>
      <c r="AE16" s="10" t="s">
        <v>412</v>
      </c>
      <c r="AF16" s="10" t="s">
        <v>43</v>
      </c>
      <c r="AG16" s="10" t="s">
        <v>38</v>
      </c>
      <c r="AH16" s="10" t="s">
        <v>92</v>
      </c>
    </row>
    <row r="17" spans="1:34" x14ac:dyDescent="0.3">
      <c r="A17" s="74" t="s">
        <v>2594</v>
      </c>
      <c r="B17" s="10" t="s">
        <v>2657</v>
      </c>
      <c r="C17" s="10" t="s">
        <v>2658</v>
      </c>
      <c r="D17" s="11">
        <v>45635</v>
      </c>
      <c r="E17" s="12">
        <v>159000</v>
      </c>
      <c r="F17" s="10" t="s">
        <v>32</v>
      </c>
      <c r="G17" s="10" t="s">
        <v>33</v>
      </c>
      <c r="H17" s="12">
        <v>159000</v>
      </c>
      <c r="I17" s="12">
        <v>61900</v>
      </c>
      <c r="J17" s="13">
        <f t="shared" si="0"/>
        <v>38.930817610062896</v>
      </c>
      <c r="K17" s="12">
        <v>140980</v>
      </c>
      <c r="L17" s="12">
        <f>H17-125261</f>
        <v>33739</v>
      </c>
      <c r="M17" s="12">
        <v>15719</v>
      </c>
      <c r="N17" s="66">
        <f t="shared" si="1"/>
        <v>9.8861635220125782E-2</v>
      </c>
      <c r="O17" s="14">
        <v>69.55</v>
      </c>
      <c r="P17" s="15">
        <v>161.25</v>
      </c>
      <c r="Q17" s="16">
        <v>0.222</v>
      </c>
      <c r="R17" s="16">
        <v>0.222</v>
      </c>
      <c r="S17" s="12">
        <f t="shared" si="2"/>
        <v>485.10424155283971</v>
      </c>
      <c r="T17" s="12">
        <f t="shared" si="3"/>
        <v>151977.47747747749</v>
      </c>
      <c r="U17" s="17">
        <f t="shared" si="4"/>
        <v>3.4889228071046254</v>
      </c>
      <c r="V17" s="16">
        <v>60</v>
      </c>
      <c r="W17" s="16">
        <f t="shared" si="5"/>
        <v>31800</v>
      </c>
      <c r="X17" s="16">
        <f t="shared" si="6"/>
        <v>530</v>
      </c>
      <c r="Y17" s="18" t="s">
        <v>2593</v>
      </c>
      <c r="Z17" s="10" t="s">
        <v>35</v>
      </c>
      <c r="AA17" s="10" t="s">
        <v>35</v>
      </c>
      <c r="AB17" s="10" t="s">
        <v>2594</v>
      </c>
      <c r="AC17" s="10">
        <v>0</v>
      </c>
      <c r="AD17" s="10">
        <v>1</v>
      </c>
      <c r="AE17" s="10" t="s">
        <v>42</v>
      </c>
      <c r="AF17" s="10" t="s">
        <v>35</v>
      </c>
      <c r="AG17" s="10" t="s">
        <v>38</v>
      </c>
      <c r="AH17" s="10" t="s">
        <v>92</v>
      </c>
    </row>
    <row r="18" spans="1:34" x14ac:dyDescent="0.3">
      <c r="A18" s="75" t="s">
        <v>2594</v>
      </c>
      <c r="B18" s="19" t="s">
        <v>2625</v>
      </c>
      <c r="C18" s="19" t="s">
        <v>2626</v>
      </c>
      <c r="D18" s="20">
        <v>45194</v>
      </c>
      <c r="E18" s="21">
        <v>186189</v>
      </c>
      <c r="F18" s="19" t="s">
        <v>32</v>
      </c>
      <c r="G18" s="19" t="s">
        <v>33</v>
      </c>
      <c r="H18" s="21">
        <v>186189</v>
      </c>
      <c r="I18" s="21">
        <v>62600</v>
      </c>
      <c r="J18" s="22">
        <f t="shared" si="0"/>
        <v>33.621749942262966</v>
      </c>
      <c r="K18" s="21">
        <v>168406</v>
      </c>
      <c r="L18" s="21">
        <f>H18-153839</f>
        <v>32350</v>
      </c>
      <c r="M18" s="21">
        <v>14567</v>
      </c>
      <c r="N18" s="67">
        <f t="shared" si="1"/>
        <v>7.8237704697914481E-2</v>
      </c>
      <c r="O18" s="23">
        <v>64.45</v>
      </c>
      <c r="P18" s="24">
        <v>118</v>
      </c>
      <c r="Q18" s="25">
        <v>0.17599999999999999</v>
      </c>
      <c r="R18" s="25">
        <v>0.17599999999999999</v>
      </c>
      <c r="S18" s="21">
        <f t="shared" si="2"/>
        <v>501.93948797517453</v>
      </c>
      <c r="T18" s="21">
        <f t="shared" si="3"/>
        <v>183806.81818181821</v>
      </c>
      <c r="U18" s="26">
        <f t="shared" si="4"/>
        <v>4.2196239252024386</v>
      </c>
      <c r="V18" s="25">
        <v>65</v>
      </c>
      <c r="W18" s="25">
        <f t="shared" si="5"/>
        <v>37237.800000000003</v>
      </c>
      <c r="X18" s="25">
        <f t="shared" si="6"/>
        <v>572.88923076923083</v>
      </c>
      <c r="Y18" s="27" t="s">
        <v>2593</v>
      </c>
      <c r="Z18" s="19" t="s">
        <v>35</v>
      </c>
      <c r="AA18" s="19" t="s">
        <v>35</v>
      </c>
      <c r="AB18" s="19" t="s">
        <v>2594</v>
      </c>
      <c r="AC18" s="19">
        <v>0</v>
      </c>
      <c r="AD18" s="19">
        <v>1</v>
      </c>
      <c r="AE18" s="19" t="s">
        <v>2627</v>
      </c>
      <c r="AF18" s="19" t="s">
        <v>43</v>
      </c>
      <c r="AG18" s="19" t="s">
        <v>38</v>
      </c>
      <c r="AH18" s="19" t="s">
        <v>92</v>
      </c>
    </row>
    <row r="19" spans="1:34" x14ac:dyDescent="0.3">
      <c r="A19" s="74" t="s">
        <v>2594</v>
      </c>
      <c r="B19" s="10" t="s">
        <v>2638</v>
      </c>
      <c r="C19" s="10" t="s">
        <v>2639</v>
      </c>
      <c r="D19" s="11">
        <v>45688</v>
      </c>
      <c r="E19" s="12">
        <v>205000</v>
      </c>
      <c r="F19" s="10" t="s">
        <v>32</v>
      </c>
      <c r="G19" s="10" t="s">
        <v>33</v>
      </c>
      <c r="H19" s="12">
        <v>205000</v>
      </c>
      <c r="I19" s="12">
        <v>81400</v>
      </c>
      <c r="J19" s="13">
        <f t="shared" si="0"/>
        <v>39.707317073170735</v>
      </c>
      <c r="K19" s="12">
        <v>180853</v>
      </c>
      <c r="L19" s="12">
        <f>H19-164603</f>
        <v>40397</v>
      </c>
      <c r="M19" s="12">
        <v>16250</v>
      </c>
      <c r="N19" s="66">
        <f t="shared" si="1"/>
        <v>7.926829268292683E-2</v>
      </c>
      <c r="O19" s="14">
        <v>71.900000000000006</v>
      </c>
      <c r="P19" s="15">
        <v>167.76</v>
      </c>
      <c r="Q19" s="16">
        <v>0.23599999999999999</v>
      </c>
      <c r="R19" s="16">
        <v>0.23599999999999999</v>
      </c>
      <c r="S19" s="12">
        <f t="shared" si="2"/>
        <v>561.84979137691232</v>
      </c>
      <c r="T19" s="12">
        <f t="shared" si="3"/>
        <v>171173.72881355934</v>
      </c>
      <c r="U19" s="17">
        <f t="shared" si="4"/>
        <v>3.9296080994848333</v>
      </c>
      <c r="V19" s="16">
        <v>60</v>
      </c>
      <c r="W19" s="16">
        <f t="shared" si="5"/>
        <v>41000</v>
      </c>
      <c r="X19" s="16">
        <f t="shared" si="6"/>
        <v>683.33333333333337</v>
      </c>
      <c r="Y19" s="18" t="s">
        <v>2593</v>
      </c>
      <c r="Z19" s="10" t="s">
        <v>35</v>
      </c>
      <c r="AA19" s="10" t="s">
        <v>35</v>
      </c>
      <c r="AB19" s="10" t="s">
        <v>2594</v>
      </c>
      <c r="AC19" s="10">
        <v>0</v>
      </c>
      <c r="AD19" s="10">
        <v>1</v>
      </c>
      <c r="AE19" s="10" t="s">
        <v>412</v>
      </c>
      <c r="AF19" s="10" t="s">
        <v>35</v>
      </c>
      <c r="AG19" s="10" t="s">
        <v>38</v>
      </c>
      <c r="AH19" s="10" t="s">
        <v>92</v>
      </c>
    </row>
    <row r="20" spans="1:34" x14ac:dyDescent="0.3">
      <c r="A20" s="75" t="s">
        <v>2594</v>
      </c>
      <c r="B20" s="19" t="s">
        <v>2644</v>
      </c>
      <c r="C20" s="19" t="s">
        <v>2645</v>
      </c>
      <c r="D20" s="20">
        <v>45714</v>
      </c>
      <c r="E20" s="21">
        <v>215000</v>
      </c>
      <c r="F20" s="19" t="s">
        <v>32</v>
      </c>
      <c r="G20" s="19" t="s">
        <v>33</v>
      </c>
      <c r="H20" s="21">
        <v>215000</v>
      </c>
      <c r="I20" s="21">
        <v>79600</v>
      </c>
      <c r="J20" s="22">
        <f t="shared" si="0"/>
        <v>37.02325581395349</v>
      </c>
      <c r="K20" s="21">
        <v>178495</v>
      </c>
      <c r="L20" s="21">
        <f>H20-156754</f>
        <v>58246</v>
      </c>
      <c r="M20" s="21">
        <v>21741</v>
      </c>
      <c r="N20" s="67">
        <f t="shared" si="1"/>
        <v>0.10112093023255814</v>
      </c>
      <c r="O20" s="23">
        <v>96.19</v>
      </c>
      <c r="P20" s="24">
        <v>111.05</v>
      </c>
      <c r="Q20" s="25">
        <v>0.255</v>
      </c>
      <c r="R20" s="25">
        <v>0.255</v>
      </c>
      <c r="S20" s="21">
        <f t="shared" si="2"/>
        <v>605.53072044911119</v>
      </c>
      <c r="T20" s="21">
        <f t="shared" si="3"/>
        <v>228415.68627450979</v>
      </c>
      <c r="U20" s="26">
        <f t="shared" si="4"/>
        <v>5.2437026233817674</v>
      </c>
      <c r="V20" s="25">
        <v>100</v>
      </c>
      <c r="W20" s="25">
        <f t="shared" si="5"/>
        <v>43000</v>
      </c>
      <c r="X20" s="25">
        <f t="shared" si="6"/>
        <v>430</v>
      </c>
      <c r="Y20" s="27" t="s">
        <v>2593</v>
      </c>
      <c r="Z20" s="19" t="s">
        <v>35</v>
      </c>
      <c r="AA20" s="19" t="s">
        <v>35</v>
      </c>
      <c r="AB20" s="19" t="s">
        <v>2594</v>
      </c>
      <c r="AC20" s="19">
        <v>0</v>
      </c>
      <c r="AD20" s="19">
        <v>1</v>
      </c>
      <c r="AE20" s="19" t="s">
        <v>42</v>
      </c>
      <c r="AF20" s="19" t="s">
        <v>35</v>
      </c>
      <c r="AG20" s="19" t="s">
        <v>38</v>
      </c>
      <c r="AH20" s="19" t="s">
        <v>92</v>
      </c>
    </row>
    <row r="21" spans="1:34" x14ac:dyDescent="0.3">
      <c r="A21" s="74" t="s">
        <v>2594</v>
      </c>
      <c r="B21" s="10" t="s">
        <v>2599</v>
      </c>
      <c r="C21" s="10" t="s">
        <v>2600</v>
      </c>
      <c r="D21" s="11">
        <v>45630</v>
      </c>
      <c r="E21" s="12">
        <v>170000</v>
      </c>
      <c r="F21" s="10" t="s">
        <v>32</v>
      </c>
      <c r="G21" s="10" t="s">
        <v>33</v>
      </c>
      <c r="H21" s="12">
        <v>170000</v>
      </c>
      <c r="I21" s="12">
        <v>34600</v>
      </c>
      <c r="J21" s="13">
        <f t="shared" si="0"/>
        <v>20.352941176470587</v>
      </c>
      <c r="K21" s="12">
        <v>146442</v>
      </c>
      <c r="L21" s="12">
        <f>H21-132843</f>
        <v>37157</v>
      </c>
      <c r="M21" s="12">
        <v>13599</v>
      </c>
      <c r="N21" s="66">
        <f t="shared" si="1"/>
        <v>7.9994117647058827E-2</v>
      </c>
      <c r="O21" s="14">
        <v>60.17</v>
      </c>
      <c r="P21" s="15">
        <v>120.36</v>
      </c>
      <c r="Q21" s="16">
        <v>0.16800000000000001</v>
      </c>
      <c r="R21" s="16">
        <v>0.16800000000000001</v>
      </c>
      <c r="S21" s="12">
        <f t="shared" si="2"/>
        <v>617.53365464517196</v>
      </c>
      <c r="T21" s="12">
        <f t="shared" si="3"/>
        <v>221172.61904761902</v>
      </c>
      <c r="U21" s="17">
        <f t="shared" si="4"/>
        <v>5.0774246796974065</v>
      </c>
      <c r="V21" s="16">
        <v>58.3</v>
      </c>
      <c r="W21" s="16">
        <f t="shared" si="5"/>
        <v>34000</v>
      </c>
      <c r="X21" s="16">
        <f t="shared" si="6"/>
        <v>583.19039451114929</v>
      </c>
      <c r="Y21" s="18" t="s">
        <v>2593</v>
      </c>
      <c r="Z21" s="10" t="s">
        <v>35</v>
      </c>
      <c r="AA21" s="10" t="s">
        <v>35</v>
      </c>
      <c r="AB21" s="10" t="s">
        <v>2594</v>
      </c>
      <c r="AC21" s="10">
        <v>0</v>
      </c>
      <c r="AD21" s="10">
        <v>1</v>
      </c>
      <c r="AE21" s="10" t="s">
        <v>42</v>
      </c>
      <c r="AF21" s="10" t="s">
        <v>35</v>
      </c>
      <c r="AG21" s="10" t="s">
        <v>38</v>
      </c>
      <c r="AH21" s="10" t="s">
        <v>92</v>
      </c>
    </row>
    <row r="22" spans="1:34" x14ac:dyDescent="0.3">
      <c r="A22" s="74" t="s">
        <v>2594</v>
      </c>
      <c r="B22" s="10" t="s">
        <v>2615</v>
      </c>
      <c r="C22" s="10" t="s">
        <v>2616</v>
      </c>
      <c r="D22" s="11">
        <v>45383</v>
      </c>
      <c r="E22" s="12">
        <v>160000</v>
      </c>
      <c r="F22" s="10" t="s">
        <v>32</v>
      </c>
      <c r="G22" s="10" t="s">
        <v>33</v>
      </c>
      <c r="H22" s="12">
        <v>160000</v>
      </c>
      <c r="I22" s="12">
        <v>51700</v>
      </c>
      <c r="J22" s="13">
        <f t="shared" si="0"/>
        <v>32.3125</v>
      </c>
      <c r="K22" s="12">
        <v>114995</v>
      </c>
      <c r="L22" s="12">
        <f>H22-100980</f>
        <v>59020</v>
      </c>
      <c r="M22" s="12">
        <v>14015</v>
      </c>
      <c r="N22" s="66">
        <f t="shared" si="1"/>
        <v>8.7593749999999998E-2</v>
      </c>
      <c r="O22" s="14">
        <v>62.01</v>
      </c>
      <c r="P22" s="15">
        <v>122.01</v>
      </c>
      <c r="Q22" s="16">
        <v>0.16800000000000001</v>
      </c>
      <c r="R22" s="16">
        <v>0.16800000000000001</v>
      </c>
      <c r="S22" s="12">
        <f t="shared" si="2"/>
        <v>951.78197064989524</v>
      </c>
      <c r="T22" s="12">
        <f t="shared" si="3"/>
        <v>351309.52380952379</v>
      </c>
      <c r="U22" s="17">
        <f t="shared" si="4"/>
        <v>8.0649569285932916</v>
      </c>
      <c r="V22" s="16">
        <v>64.3</v>
      </c>
      <c r="W22" s="16">
        <f t="shared" si="5"/>
        <v>32000</v>
      </c>
      <c r="X22" s="16">
        <f t="shared" si="6"/>
        <v>497.6671850699845</v>
      </c>
      <c r="Y22" s="18" t="s">
        <v>2593</v>
      </c>
      <c r="Z22" s="10" t="s">
        <v>35</v>
      </c>
      <c r="AA22" s="10" t="s">
        <v>35</v>
      </c>
      <c r="AB22" s="10" t="s">
        <v>2594</v>
      </c>
      <c r="AC22" s="10">
        <v>0</v>
      </c>
      <c r="AD22" s="10">
        <v>1</v>
      </c>
      <c r="AE22" s="10" t="s">
        <v>412</v>
      </c>
      <c r="AF22" s="10" t="s">
        <v>43</v>
      </c>
      <c r="AG22" s="10" t="s">
        <v>38</v>
      </c>
      <c r="AH22" s="10" t="s">
        <v>92</v>
      </c>
    </row>
    <row r="23" spans="1:34" ht="15" thickBot="1" x14ac:dyDescent="0.35">
      <c r="A23" s="75" t="s">
        <v>2594</v>
      </c>
      <c r="B23" s="19" t="s">
        <v>2650</v>
      </c>
      <c r="C23" s="19" t="s">
        <v>2651</v>
      </c>
      <c r="D23" s="20">
        <v>45485</v>
      </c>
      <c r="E23" s="21">
        <v>151000</v>
      </c>
      <c r="F23" s="19" t="s">
        <v>32</v>
      </c>
      <c r="G23" s="19" t="s">
        <v>33</v>
      </c>
      <c r="H23" s="21">
        <v>151000</v>
      </c>
      <c r="I23" s="21">
        <v>54000</v>
      </c>
      <c r="J23" s="22">
        <f t="shared" si="0"/>
        <v>35.76158940397351</v>
      </c>
      <c r="K23" s="21">
        <v>122990</v>
      </c>
      <c r="L23" s="21">
        <f>H23-114557</f>
        <v>36443</v>
      </c>
      <c r="M23" s="21">
        <v>8433</v>
      </c>
      <c r="N23" s="67">
        <f t="shared" si="1"/>
        <v>5.5847682119205301E-2</v>
      </c>
      <c r="O23" s="23">
        <v>37.31</v>
      </c>
      <c r="P23" s="24">
        <v>110.37</v>
      </c>
      <c r="Q23" s="25">
        <v>9.9000000000000005E-2</v>
      </c>
      <c r="R23" s="25">
        <v>9.9000000000000005E-2</v>
      </c>
      <c r="S23" s="21">
        <f t="shared" si="2"/>
        <v>976.76226212811571</v>
      </c>
      <c r="T23" s="21">
        <f t="shared" si="3"/>
        <v>368111.11111111107</v>
      </c>
      <c r="U23" s="26">
        <f t="shared" si="4"/>
        <v>8.450668299153147</v>
      </c>
      <c r="V23" s="25">
        <v>38.909999999999997</v>
      </c>
      <c r="W23" s="25">
        <f t="shared" si="5"/>
        <v>30200</v>
      </c>
      <c r="X23" s="25">
        <f t="shared" si="6"/>
        <v>776.15008995116943</v>
      </c>
      <c r="Y23" s="27" t="s">
        <v>2593</v>
      </c>
      <c r="Z23" s="19" t="s">
        <v>35</v>
      </c>
      <c r="AA23" s="19" t="s">
        <v>35</v>
      </c>
      <c r="AB23" s="19" t="s">
        <v>2594</v>
      </c>
      <c r="AC23" s="19">
        <v>0</v>
      </c>
      <c r="AD23" s="19">
        <v>1</v>
      </c>
      <c r="AE23" s="19" t="s">
        <v>42</v>
      </c>
      <c r="AF23" s="19" t="s">
        <v>2652</v>
      </c>
      <c r="AG23" s="19" t="s">
        <v>38</v>
      </c>
      <c r="AH23" s="19" t="s">
        <v>92</v>
      </c>
    </row>
    <row r="24" spans="1:34" ht="15" thickTop="1" x14ac:dyDescent="0.3">
      <c r="A24" s="76"/>
      <c r="B24" s="37"/>
      <c r="C24" s="37"/>
      <c r="D24" s="38" t="s">
        <v>2876</v>
      </c>
      <c r="E24" s="39">
        <f>+SUM(E2:E23)</f>
        <v>3571989</v>
      </c>
      <c r="F24" s="37"/>
      <c r="G24" s="37"/>
      <c r="H24" s="39">
        <f>+SUM(H2:H23)</f>
        <v>3571989</v>
      </c>
      <c r="I24" s="39">
        <f>+SUM(I2:I23)</f>
        <v>1322500</v>
      </c>
      <c r="J24" s="40"/>
      <c r="K24" s="39">
        <f>+SUM(K2:K23)</f>
        <v>3256094</v>
      </c>
      <c r="L24" s="39">
        <f>+SUM(L2:L23)</f>
        <v>641787</v>
      </c>
      <c r="M24" s="39">
        <f>+SUM(M2:M23)</f>
        <v>325892</v>
      </c>
      <c r="N24" s="81">
        <f>AVERAGE(N2:N23)</f>
        <v>9.1857415149137644E-2</v>
      </c>
      <c r="O24" s="41">
        <f>+SUM(O2:O23)</f>
        <v>1441.9</v>
      </c>
      <c r="P24" s="42"/>
      <c r="Q24" s="43">
        <f>+SUM(Q2:Q23)</f>
        <v>4.1020000000000003</v>
      </c>
      <c r="R24" s="43">
        <f>+SUM(R2:R23)</f>
        <v>4.1020000000000003</v>
      </c>
      <c r="S24" s="39"/>
      <c r="T24" s="39"/>
      <c r="U24" s="44"/>
      <c r="V24" s="43"/>
      <c r="W24" s="82">
        <f>AVERAGE(W2:W23)</f>
        <v>32472.627272727274</v>
      </c>
      <c r="X24" s="83">
        <f>AVERAGE(X2:X23)</f>
        <v>527.83849188362706</v>
      </c>
      <c r="Y24" s="45"/>
      <c r="Z24" s="37"/>
      <c r="AA24" s="37"/>
      <c r="AB24" s="37"/>
      <c r="AC24" s="37"/>
      <c r="AD24" s="37"/>
      <c r="AE24" s="37"/>
      <c r="AF24" s="37"/>
      <c r="AG24" s="37"/>
      <c r="AH24" s="37"/>
    </row>
    <row r="25" spans="1:34" x14ac:dyDescent="0.3">
      <c r="A25" s="77"/>
      <c r="B25" s="28"/>
      <c r="C25" s="28"/>
      <c r="D25" s="29"/>
      <c r="E25" s="30"/>
      <c r="F25" s="28"/>
      <c r="G25" s="28"/>
      <c r="H25" s="30"/>
      <c r="I25" s="30" t="s">
        <v>2877</v>
      </c>
      <c r="J25" s="31">
        <f>I24/H24*100</f>
        <v>37.02419016407945</v>
      </c>
      <c r="K25" s="30"/>
      <c r="L25" s="30"/>
      <c r="M25" s="30" t="s">
        <v>2879</v>
      </c>
      <c r="N25" s="79"/>
      <c r="O25" s="32"/>
      <c r="P25" s="33"/>
      <c r="Q25" s="34" t="s">
        <v>2879</v>
      </c>
      <c r="R25" s="34"/>
      <c r="S25" s="30"/>
      <c r="T25" s="30" t="s">
        <v>2879</v>
      </c>
      <c r="U25" s="35"/>
      <c r="V25" s="34"/>
      <c r="W25" s="63"/>
      <c r="X25" s="68"/>
      <c r="Y25" s="36"/>
      <c r="Z25" s="28"/>
      <c r="AA25" s="28"/>
      <c r="AB25" s="28"/>
      <c r="AC25" s="28"/>
      <c r="AD25" s="28"/>
      <c r="AE25" s="28"/>
      <c r="AF25" s="28"/>
      <c r="AG25" s="28"/>
      <c r="AH25" s="28"/>
    </row>
    <row r="26" spans="1:34" x14ac:dyDescent="0.3">
      <c r="A26" s="78"/>
      <c r="B26" s="46"/>
      <c r="C26" s="46"/>
      <c r="D26" s="47"/>
      <c r="E26" s="48"/>
      <c r="F26" s="46"/>
      <c r="G26" s="46"/>
      <c r="H26" s="48"/>
      <c r="I26" s="48" t="s">
        <v>2878</v>
      </c>
      <c r="J26" s="49">
        <f>STDEV(J2:J23)</f>
        <v>5.0600283817671174</v>
      </c>
      <c r="K26" s="48"/>
      <c r="L26" s="48"/>
      <c r="M26" s="48" t="s">
        <v>2880</v>
      </c>
      <c r="N26" s="80"/>
      <c r="O26" s="54">
        <f>L24/O24</f>
        <v>445.09813440599208</v>
      </c>
      <c r="P26" s="50"/>
      <c r="Q26" s="51" t="s">
        <v>2881</v>
      </c>
      <c r="R26" s="51">
        <f>L24/Q24</f>
        <v>156457.09410043879</v>
      </c>
      <c r="S26" s="48"/>
      <c r="T26" s="48" t="s">
        <v>2882</v>
      </c>
      <c r="U26" s="52">
        <f>L24/Q24/43560</f>
        <v>3.5917606542800455</v>
      </c>
      <c r="V26" s="51"/>
      <c r="W26" s="64"/>
      <c r="X26" s="69"/>
      <c r="Y26" s="53"/>
      <c r="Z26" s="46"/>
      <c r="AA26" s="46"/>
      <c r="AB26" s="46"/>
      <c r="AC26" s="46"/>
      <c r="AD26" s="46"/>
      <c r="AE26" s="46"/>
      <c r="AF26" s="46"/>
      <c r="AG26" s="46"/>
      <c r="AH26" s="46"/>
    </row>
    <row r="27" spans="1:34" x14ac:dyDescent="0.3">
      <c r="E27" s="94" t="s">
        <v>3099</v>
      </c>
      <c r="L27" s="95"/>
    </row>
    <row r="28" spans="1:34" x14ac:dyDescent="0.3">
      <c r="E28" s="383" t="s">
        <v>3163</v>
      </c>
      <c r="F28" s="383"/>
      <c r="G28" s="383"/>
      <c r="H28" s="383"/>
      <c r="I28" s="383"/>
      <c r="J28" s="383"/>
      <c r="K28" s="383"/>
      <c r="L28" s="383"/>
    </row>
    <row r="29" spans="1:34" x14ac:dyDescent="0.3">
      <c r="E29" s="383" t="s">
        <v>3164</v>
      </c>
      <c r="F29" s="383"/>
      <c r="G29" s="383"/>
      <c r="H29" s="383"/>
      <c r="I29" s="383"/>
      <c r="J29" s="383"/>
      <c r="K29" s="383"/>
      <c r="L29" s="383"/>
    </row>
    <row r="30" spans="1:34" x14ac:dyDescent="0.3">
      <c r="E30" s="383" t="s">
        <v>3165</v>
      </c>
      <c r="F30" s="383"/>
      <c r="G30" s="383"/>
      <c r="H30" s="383"/>
      <c r="I30" s="383"/>
      <c r="J30" s="383"/>
      <c r="K30" s="383"/>
      <c r="L30" s="383"/>
    </row>
    <row r="31" spans="1:34" x14ac:dyDescent="0.3">
      <c r="E31" s="383" t="s">
        <v>3166</v>
      </c>
      <c r="F31" s="383"/>
      <c r="G31" s="383"/>
      <c r="H31" s="383"/>
      <c r="I31" s="383"/>
      <c r="J31" s="96"/>
      <c r="K31" s="96"/>
      <c r="L31" s="96"/>
    </row>
    <row r="32" spans="1:34" x14ac:dyDescent="0.3">
      <c r="E32" s="383" t="s">
        <v>3167</v>
      </c>
      <c r="F32" s="383"/>
      <c r="G32" s="383"/>
      <c r="H32" s="383"/>
      <c r="I32" s="383"/>
      <c r="L32" s="95"/>
    </row>
    <row r="33" spans="1:34" x14ac:dyDescent="0.3">
      <c r="E33" s="383" t="s">
        <v>3100</v>
      </c>
      <c r="F33" s="383"/>
      <c r="G33" s="383"/>
      <c r="H33" s="383"/>
      <c r="I33" s="383"/>
      <c r="L33" s="95"/>
    </row>
    <row r="34" spans="1:34" x14ac:dyDescent="0.3">
      <c r="E34" s="96"/>
      <c r="F34" s="96"/>
      <c r="G34" s="96"/>
      <c r="H34" s="96"/>
      <c r="I34" s="96"/>
      <c r="L34" s="95"/>
    </row>
    <row r="35" spans="1:34" x14ac:dyDescent="0.3">
      <c r="A35" s="55" t="s">
        <v>3092</v>
      </c>
      <c r="E35" s="96"/>
      <c r="F35" s="96"/>
      <c r="G35" s="96"/>
      <c r="H35" s="96"/>
      <c r="I35" s="96"/>
      <c r="L35" s="95"/>
    </row>
    <row r="36" spans="1:34" x14ac:dyDescent="0.3">
      <c r="A36" s="75" t="s">
        <v>2594</v>
      </c>
      <c r="B36" s="19" t="s">
        <v>2595</v>
      </c>
      <c r="C36" s="19" t="s">
        <v>2596</v>
      </c>
      <c r="D36" s="20">
        <v>45622</v>
      </c>
      <c r="E36" s="21">
        <v>88000</v>
      </c>
      <c r="F36" s="19" t="s">
        <v>32</v>
      </c>
      <c r="G36" s="19" t="s">
        <v>33</v>
      </c>
      <c r="H36" s="21">
        <v>88000</v>
      </c>
      <c r="I36" s="21">
        <v>62700</v>
      </c>
      <c r="J36" s="22">
        <f t="shared" ref="J36:J44" si="7">I36/H36*100</f>
        <v>71.25</v>
      </c>
      <c r="K36" s="21">
        <v>143094</v>
      </c>
      <c r="L36" s="21">
        <f>H36-129534</f>
        <v>-41534</v>
      </c>
      <c r="M36" s="21">
        <v>13560</v>
      </c>
      <c r="N36" s="67">
        <f t="shared" ref="N36:N44" si="8">M36/E36</f>
        <v>0.15409090909090908</v>
      </c>
      <c r="O36" s="23">
        <v>60</v>
      </c>
      <c r="P36" s="24">
        <v>120</v>
      </c>
      <c r="Q36" s="25">
        <v>0.16500000000000001</v>
      </c>
      <c r="R36" s="25">
        <v>0.16500000000000001</v>
      </c>
      <c r="S36" s="21">
        <f t="shared" ref="S36:S44" si="9">L36/O36</f>
        <v>-692.23333333333335</v>
      </c>
      <c r="T36" s="21">
        <f t="shared" ref="T36:T44" si="10">L36/Q36</f>
        <v>-251721.2121212121</v>
      </c>
      <c r="U36" s="26">
        <f t="shared" ref="U36:U44" si="11">L36/Q36/43560</f>
        <v>-5.7787238778974315</v>
      </c>
      <c r="V36" s="25">
        <v>60</v>
      </c>
      <c r="W36" s="25">
        <f t="shared" ref="W36:W44" si="12">0.2*E36</f>
        <v>17600</v>
      </c>
      <c r="X36" s="25">
        <f t="shared" ref="X36:X44" si="13">W36/V36</f>
        <v>293.33333333333331</v>
      </c>
      <c r="Y36" s="27" t="s">
        <v>2593</v>
      </c>
      <c r="Z36" s="19" t="s">
        <v>35</v>
      </c>
      <c r="AA36" s="19" t="s">
        <v>35</v>
      </c>
      <c r="AB36" s="19" t="s">
        <v>2594</v>
      </c>
      <c r="AC36" s="19">
        <v>0</v>
      </c>
      <c r="AD36" s="19">
        <v>1</v>
      </c>
      <c r="AE36" s="19" t="s">
        <v>42</v>
      </c>
      <c r="AF36" s="19" t="s">
        <v>35</v>
      </c>
      <c r="AG36" s="19" t="s">
        <v>38</v>
      </c>
      <c r="AH36" s="19" t="s">
        <v>92</v>
      </c>
    </row>
    <row r="37" spans="1:34" x14ac:dyDescent="0.3">
      <c r="A37" s="74" t="s">
        <v>2594</v>
      </c>
      <c r="B37" s="10" t="s">
        <v>2655</v>
      </c>
      <c r="C37" s="10" t="s">
        <v>2656</v>
      </c>
      <c r="D37" s="11">
        <v>45597</v>
      </c>
      <c r="E37" s="12">
        <v>90000</v>
      </c>
      <c r="F37" s="10" t="s">
        <v>81</v>
      </c>
      <c r="G37" s="10" t="s">
        <v>33</v>
      </c>
      <c r="H37" s="12">
        <v>90000</v>
      </c>
      <c r="I37" s="12">
        <v>61500</v>
      </c>
      <c r="J37" s="13">
        <f t="shared" si="7"/>
        <v>68.333333333333329</v>
      </c>
      <c r="K37" s="12">
        <v>139035</v>
      </c>
      <c r="L37" s="12">
        <f>H37-125315</f>
        <v>-35315</v>
      </c>
      <c r="M37" s="12">
        <v>13720</v>
      </c>
      <c r="N37" s="66">
        <f t="shared" si="8"/>
        <v>0.15244444444444444</v>
      </c>
      <c r="O37" s="14">
        <v>60.7</v>
      </c>
      <c r="P37" s="15">
        <v>117.03</v>
      </c>
      <c r="Q37" s="16">
        <v>0.16700000000000001</v>
      </c>
      <c r="R37" s="16">
        <v>0.16700000000000001</v>
      </c>
      <c r="S37" s="12">
        <f t="shared" si="9"/>
        <v>-581.79571663920922</v>
      </c>
      <c r="T37" s="12">
        <f t="shared" si="10"/>
        <v>-211467.06586826345</v>
      </c>
      <c r="U37" s="17">
        <f t="shared" si="11"/>
        <v>-4.854615837196131</v>
      </c>
      <c r="V37" s="16">
        <v>60.18</v>
      </c>
      <c r="W37" s="16">
        <f t="shared" si="12"/>
        <v>18000</v>
      </c>
      <c r="X37" s="16">
        <f t="shared" si="13"/>
        <v>299.10269192422732</v>
      </c>
      <c r="Y37" s="18" t="s">
        <v>2593</v>
      </c>
      <c r="Z37" s="10" t="s">
        <v>35</v>
      </c>
      <c r="AA37" s="10" t="s">
        <v>35</v>
      </c>
      <c r="AB37" s="10" t="s">
        <v>2594</v>
      </c>
      <c r="AC37" s="10">
        <v>0</v>
      </c>
      <c r="AD37" s="10">
        <v>1</v>
      </c>
      <c r="AE37" s="10" t="s">
        <v>42</v>
      </c>
      <c r="AF37" s="10" t="s">
        <v>35</v>
      </c>
      <c r="AG37" s="10" t="s">
        <v>38</v>
      </c>
      <c r="AH37" s="10" t="s">
        <v>92</v>
      </c>
    </row>
    <row r="38" spans="1:34" x14ac:dyDescent="0.3">
      <c r="A38" s="74" t="s">
        <v>2594</v>
      </c>
      <c r="B38" s="10" t="s">
        <v>2630</v>
      </c>
      <c r="C38" s="10" t="s">
        <v>2631</v>
      </c>
      <c r="D38" s="11">
        <v>45128</v>
      </c>
      <c r="E38" s="12">
        <v>125000</v>
      </c>
      <c r="F38" s="10" t="s">
        <v>32</v>
      </c>
      <c r="G38" s="10" t="s">
        <v>33</v>
      </c>
      <c r="H38" s="12">
        <v>125000</v>
      </c>
      <c r="I38" s="12">
        <v>58600</v>
      </c>
      <c r="J38" s="13">
        <f t="shared" si="7"/>
        <v>46.88</v>
      </c>
      <c r="K38" s="12">
        <v>162465</v>
      </c>
      <c r="L38" s="12">
        <f>H38-148658</f>
        <v>-23658</v>
      </c>
      <c r="M38" s="12">
        <v>13807</v>
      </c>
      <c r="N38" s="66">
        <f t="shared" si="8"/>
        <v>0.110456</v>
      </c>
      <c r="O38" s="14">
        <v>61.09</v>
      </c>
      <c r="P38" s="15">
        <v>124.41</v>
      </c>
      <c r="Q38" s="16">
        <v>0.17100000000000001</v>
      </c>
      <c r="R38" s="16">
        <v>0.17100000000000001</v>
      </c>
      <c r="S38" s="12">
        <f t="shared" si="9"/>
        <v>-387.26469143886067</v>
      </c>
      <c r="T38" s="12">
        <f t="shared" si="10"/>
        <v>-138350.87719298244</v>
      </c>
      <c r="U38" s="17">
        <f t="shared" si="11"/>
        <v>-3.1760991091134629</v>
      </c>
      <c r="V38" s="16">
        <v>60</v>
      </c>
      <c r="W38" s="16">
        <f t="shared" si="12"/>
        <v>25000</v>
      </c>
      <c r="X38" s="16">
        <f t="shared" si="13"/>
        <v>416.66666666666669</v>
      </c>
      <c r="Y38" s="18" t="s">
        <v>2593</v>
      </c>
      <c r="Z38" s="10" t="s">
        <v>35</v>
      </c>
      <c r="AA38" s="10" t="s">
        <v>35</v>
      </c>
      <c r="AB38" s="10" t="s">
        <v>2594</v>
      </c>
      <c r="AC38" s="10">
        <v>0</v>
      </c>
      <c r="AD38" s="10">
        <v>1</v>
      </c>
      <c r="AE38" s="10" t="s">
        <v>42</v>
      </c>
      <c r="AF38" s="10" t="s">
        <v>43</v>
      </c>
      <c r="AG38" s="10" t="s">
        <v>38</v>
      </c>
      <c r="AH38" s="10" t="s">
        <v>92</v>
      </c>
    </row>
    <row r="39" spans="1:34" x14ac:dyDescent="0.3">
      <c r="A39" s="74" t="s">
        <v>2594</v>
      </c>
      <c r="B39" s="10" t="s">
        <v>2605</v>
      </c>
      <c r="C39" s="10" t="s">
        <v>2606</v>
      </c>
      <c r="D39" s="11">
        <v>45379</v>
      </c>
      <c r="E39" s="12">
        <v>130000</v>
      </c>
      <c r="F39" s="10" t="s">
        <v>81</v>
      </c>
      <c r="G39" s="10" t="s">
        <v>33</v>
      </c>
      <c r="H39" s="12">
        <v>130000</v>
      </c>
      <c r="I39" s="12">
        <v>60400</v>
      </c>
      <c r="J39" s="13">
        <f t="shared" si="7"/>
        <v>46.46153846153846</v>
      </c>
      <c r="K39" s="12">
        <v>162710</v>
      </c>
      <c r="L39" s="12">
        <f>H39-146727</f>
        <v>-16727</v>
      </c>
      <c r="M39" s="12">
        <v>15983</v>
      </c>
      <c r="N39" s="66">
        <f t="shared" si="8"/>
        <v>0.12294615384615384</v>
      </c>
      <c r="O39" s="14">
        <v>70.709999999999994</v>
      </c>
      <c r="P39" s="15">
        <v>155.59</v>
      </c>
      <c r="Q39" s="16">
        <v>0.22900000000000001</v>
      </c>
      <c r="R39" s="16">
        <v>0.22900000000000001</v>
      </c>
      <c r="S39" s="12">
        <f t="shared" si="9"/>
        <v>-236.55777117805121</v>
      </c>
      <c r="T39" s="12">
        <f t="shared" si="10"/>
        <v>-73043.668122270741</v>
      </c>
      <c r="U39" s="17">
        <f t="shared" si="11"/>
        <v>-1.6768518852679233</v>
      </c>
      <c r="V39" s="16">
        <v>58.04</v>
      </c>
      <c r="W39" s="16">
        <f t="shared" si="12"/>
        <v>26000</v>
      </c>
      <c r="X39" s="16">
        <f t="shared" si="13"/>
        <v>447.96691936595454</v>
      </c>
      <c r="Y39" s="18" t="s">
        <v>2593</v>
      </c>
      <c r="Z39" s="10" t="s">
        <v>35</v>
      </c>
      <c r="AA39" s="10" t="s">
        <v>35</v>
      </c>
      <c r="AB39" s="10" t="s">
        <v>2594</v>
      </c>
      <c r="AC39" s="10">
        <v>0</v>
      </c>
      <c r="AD39" s="10">
        <v>1</v>
      </c>
      <c r="AE39" s="10" t="s">
        <v>42</v>
      </c>
      <c r="AF39" s="10" t="s">
        <v>43</v>
      </c>
      <c r="AG39" s="10" t="s">
        <v>38</v>
      </c>
      <c r="AH39" s="10" t="s">
        <v>92</v>
      </c>
    </row>
    <row r="40" spans="1:34" x14ac:dyDescent="0.3">
      <c r="A40" s="75" t="s">
        <v>2594</v>
      </c>
      <c r="B40" s="19" t="s">
        <v>2603</v>
      </c>
      <c r="C40" s="19" t="s">
        <v>2604</v>
      </c>
      <c r="D40" s="20">
        <v>45638</v>
      </c>
      <c r="E40" s="21">
        <v>92000</v>
      </c>
      <c r="F40" s="19" t="s">
        <v>32</v>
      </c>
      <c r="G40" s="19" t="s">
        <v>33</v>
      </c>
      <c r="H40" s="21">
        <v>92000</v>
      </c>
      <c r="I40" s="21">
        <v>76000</v>
      </c>
      <c r="J40" s="22">
        <f t="shared" si="7"/>
        <v>82.608695652173907</v>
      </c>
      <c r="K40" s="21">
        <v>174148</v>
      </c>
      <c r="L40" s="21">
        <f>H40-130538</f>
        <v>-38538</v>
      </c>
      <c r="M40" s="21">
        <v>43610</v>
      </c>
      <c r="N40" s="67">
        <f t="shared" si="8"/>
        <v>0.47402173913043477</v>
      </c>
      <c r="O40" s="23">
        <v>192.96</v>
      </c>
      <c r="P40" s="24">
        <v>237.17</v>
      </c>
      <c r="Q40" s="25">
        <v>0.82099999999999995</v>
      </c>
      <c r="R40" s="25">
        <v>0.82099999999999995</v>
      </c>
      <c r="S40" s="21">
        <f t="shared" si="9"/>
        <v>-199.72014925373134</v>
      </c>
      <c r="T40" s="21">
        <f t="shared" si="10"/>
        <v>-46940.316686967119</v>
      </c>
      <c r="U40" s="26">
        <f t="shared" si="11"/>
        <v>-1.0776013931810633</v>
      </c>
      <c r="V40" s="25">
        <v>110.07</v>
      </c>
      <c r="W40" s="25">
        <f t="shared" si="12"/>
        <v>18400</v>
      </c>
      <c r="X40" s="25">
        <f t="shared" si="13"/>
        <v>167.16634868719908</v>
      </c>
      <c r="Y40" s="27" t="s">
        <v>2593</v>
      </c>
      <c r="Z40" s="19" t="s">
        <v>35</v>
      </c>
      <c r="AA40" s="19" t="s">
        <v>35</v>
      </c>
      <c r="AB40" s="19" t="s">
        <v>2594</v>
      </c>
      <c r="AC40" s="19">
        <v>0</v>
      </c>
      <c r="AD40" s="19">
        <v>1</v>
      </c>
      <c r="AE40" s="19" t="s">
        <v>42</v>
      </c>
      <c r="AF40" s="19" t="s">
        <v>35</v>
      </c>
      <c r="AG40" s="19" t="s">
        <v>38</v>
      </c>
      <c r="AH40" s="19" t="s">
        <v>92</v>
      </c>
    </row>
    <row r="41" spans="1:34" x14ac:dyDescent="0.3">
      <c r="A41" s="75" t="s">
        <v>2594</v>
      </c>
      <c r="B41" s="19" t="s">
        <v>2619</v>
      </c>
      <c r="C41" s="19" t="s">
        <v>2620</v>
      </c>
      <c r="D41" s="20">
        <v>45037</v>
      </c>
      <c r="E41" s="21">
        <v>125000</v>
      </c>
      <c r="F41" s="19" t="s">
        <v>32</v>
      </c>
      <c r="G41" s="19" t="s">
        <v>33</v>
      </c>
      <c r="H41" s="21">
        <v>125000</v>
      </c>
      <c r="I41" s="21">
        <v>53400</v>
      </c>
      <c r="J41" s="22">
        <f t="shared" si="7"/>
        <v>42.72</v>
      </c>
      <c r="K41" s="21">
        <v>148242</v>
      </c>
      <c r="L41" s="21">
        <f>H41-134682</f>
        <v>-9682</v>
      </c>
      <c r="M41" s="21">
        <v>13560</v>
      </c>
      <c r="N41" s="67">
        <f t="shared" si="8"/>
        <v>0.10847999999999999</v>
      </c>
      <c r="O41" s="23">
        <v>60</v>
      </c>
      <c r="P41" s="24">
        <v>120</v>
      </c>
      <c r="Q41" s="25">
        <v>0.16500000000000001</v>
      </c>
      <c r="R41" s="25">
        <v>0.16500000000000001</v>
      </c>
      <c r="S41" s="21">
        <f t="shared" si="9"/>
        <v>-161.36666666666667</v>
      </c>
      <c r="T41" s="21">
        <f t="shared" si="10"/>
        <v>-58678.787878787873</v>
      </c>
      <c r="U41" s="26">
        <f t="shared" si="11"/>
        <v>-1.3470796115424213</v>
      </c>
      <c r="V41" s="25">
        <v>60</v>
      </c>
      <c r="W41" s="25">
        <f t="shared" si="12"/>
        <v>25000</v>
      </c>
      <c r="X41" s="25">
        <f t="shared" si="13"/>
        <v>416.66666666666669</v>
      </c>
      <c r="Y41" s="27" t="s">
        <v>2593</v>
      </c>
      <c r="Z41" s="19" t="s">
        <v>35</v>
      </c>
      <c r="AA41" s="19" t="s">
        <v>35</v>
      </c>
      <c r="AB41" s="19" t="s">
        <v>2594</v>
      </c>
      <c r="AC41" s="19">
        <v>0</v>
      </c>
      <c r="AD41" s="19">
        <v>1</v>
      </c>
      <c r="AE41" s="19" t="s">
        <v>42</v>
      </c>
      <c r="AF41" s="19" t="s">
        <v>43</v>
      </c>
      <c r="AG41" s="19" t="s">
        <v>38</v>
      </c>
      <c r="AH41" s="19" t="s">
        <v>92</v>
      </c>
    </row>
    <row r="42" spans="1:34" x14ac:dyDescent="0.3">
      <c r="A42" s="74" t="s">
        <v>2594</v>
      </c>
      <c r="B42" s="10" t="s">
        <v>2591</v>
      </c>
      <c r="C42" s="10" t="s">
        <v>2592</v>
      </c>
      <c r="D42" s="11">
        <v>45090</v>
      </c>
      <c r="E42" s="12">
        <v>128000</v>
      </c>
      <c r="F42" s="10" t="s">
        <v>32</v>
      </c>
      <c r="G42" s="10" t="s">
        <v>33</v>
      </c>
      <c r="H42" s="12">
        <v>128000</v>
      </c>
      <c r="I42" s="12">
        <v>52900</v>
      </c>
      <c r="J42" s="13">
        <f t="shared" si="7"/>
        <v>41.328125</v>
      </c>
      <c r="K42" s="12">
        <v>143973</v>
      </c>
      <c r="L42" s="12">
        <f>H42-130413</f>
        <v>-2413</v>
      </c>
      <c r="M42" s="12">
        <v>13560</v>
      </c>
      <c r="N42" s="66">
        <f t="shared" si="8"/>
        <v>0.1059375</v>
      </c>
      <c r="O42" s="14">
        <v>60</v>
      </c>
      <c r="P42" s="15">
        <v>120</v>
      </c>
      <c r="Q42" s="16">
        <v>0.16500000000000001</v>
      </c>
      <c r="R42" s="16">
        <v>0.16500000000000001</v>
      </c>
      <c r="S42" s="12">
        <f t="shared" si="9"/>
        <v>-40.216666666666669</v>
      </c>
      <c r="T42" s="12">
        <f t="shared" si="10"/>
        <v>-14624.242424242424</v>
      </c>
      <c r="U42" s="17">
        <f t="shared" si="11"/>
        <v>-0.33572641010657539</v>
      </c>
      <c r="V42" s="16">
        <v>60</v>
      </c>
      <c r="W42" s="16">
        <f t="shared" si="12"/>
        <v>25600</v>
      </c>
      <c r="X42" s="16">
        <f t="shared" si="13"/>
        <v>426.66666666666669</v>
      </c>
      <c r="Y42" s="18" t="s">
        <v>2593</v>
      </c>
      <c r="Z42" s="10" t="s">
        <v>35</v>
      </c>
      <c r="AA42" s="10" t="s">
        <v>35</v>
      </c>
      <c r="AB42" s="10" t="s">
        <v>2594</v>
      </c>
      <c r="AC42" s="10">
        <v>0</v>
      </c>
      <c r="AD42" s="10">
        <v>1</v>
      </c>
      <c r="AE42" s="10" t="s">
        <v>42</v>
      </c>
      <c r="AF42" s="10" t="s">
        <v>43</v>
      </c>
      <c r="AG42" s="10" t="s">
        <v>38</v>
      </c>
      <c r="AH42" s="10" t="s">
        <v>92</v>
      </c>
    </row>
    <row r="43" spans="1:34" x14ac:dyDescent="0.3">
      <c r="A43" s="75" t="s">
        <v>2594</v>
      </c>
      <c r="B43" s="19" t="s">
        <v>2636</v>
      </c>
      <c r="C43" s="19" t="s">
        <v>2637</v>
      </c>
      <c r="D43" s="20">
        <v>45716</v>
      </c>
      <c r="E43" s="21">
        <v>160000</v>
      </c>
      <c r="F43" s="19" t="s">
        <v>32</v>
      </c>
      <c r="G43" s="19" t="s">
        <v>33</v>
      </c>
      <c r="H43" s="21">
        <v>160000</v>
      </c>
      <c r="I43" s="21">
        <v>76300</v>
      </c>
      <c r="J43" s="22">
        <f t="shared" si="7"/>
        <v>47.6875</v>
      </c>
      <c r="K43" s="21">
        <v>172728</v>
      </c>
      <c r="L43" s="21">
        <f>H43-148748</f>
        <v>11252</v>
      </c>
      <c r="M43" s="21">
        <v>23980</v>
      </c>
      <c r="N43" s="67">
        <f t="shared" si="8"/>
        <v>0.14987500000000001</v>
      </c>
      <c r="O43" s="23">
        <v>106.1</v>
      </c>
      <c r="P43" s="24">
        <v>204.74</v>
      </c>
      <c r="Q43" s="25">
        <v>0.38500000000000001</v>
      </c>
      <c r="R43" s="25">
        <v>0.38500000000000001</v>
      </c>
      <c r="S43" s="21">
        <f t="shared" si="9"/>
        <v>106.05089538171536</v>
      </c>
      <c r="T43" s="21">
        <f t="shared" si="10"/>
        <v>29225.974025974025</v>
      </c>
      <c r="U43" s="26">
        <f t="shared" si="11"/>
        <v>0.67093604283686925</v>
      </c>
      <c r="V43" s="25">
        <v>80</v>
      </c>
      <c r="W43" s="25">
        <f t="shared" si="12"/>
        <v>32000</v>
      </c>
      <c r="X43" s="25">
        <f t="shared" si="13"/>
        <v>400</v>
      </c>
      <c r="Y43" s="27" t="s">
        <v>2593</v>
      </c>
      <c r="Z43" s="19" t="s">
        <v>35</v>
      </c>
      <c r="AA43" s="19" t="s">
        <v>35</v>
      </c>
      <c r="AB43" s="19" t="s">
        <v>2594</v>
      </c>
      <c r="AC43" s="19">
        <v>0</v>
      </c>
      <c r="AD43" s="19">
        <v>1</v>
      </c>
      <c r="AE43" s="19" t="s">
        <v>412</v>
      </c>
      <c r="AF43" s="19" t="s">
        <v>35</v>
      </c>
      <c r="AG43" s="19" t="s">
        <v>38</v>
      </c>
      <c r="AH43" s="19" t="s">
        <v>92</v>
      </c>
    </row>
    <row r="44" spans="1:34" x14ac:dyDescent="0.3">
      <c r="A44" s="74" t="s">
        <v>2594</v>
      </c>
      <c r="B44" s="10" t="s">
        <v>2621</v>
      </c>
      <c r="C44" s="10" t="s">
        <v>2622</v>
      </c>
      <c r="D44" s="11">
        <v>45309</v>
      </c>
      <c r="E44" s="12">
        <v>140000</v>
      </c>
      <c r="F44" s="10" t="s">
        <v>32</v>
      </c>
      <c r="G44" s="10" t="s">
        <v>33</v>
      </c>
      <c r="H44" s="12">
        <v>140000</v>
      </c>
      <c r="I44" s="12">
        <v>53700</v>
      </c>
      <c r="J44" s="13">
        <f t="shared" si="7"/>
        <v>38.357142857142854</v>
      </c>
      <c r="K44" s="12">
        <v>146489</v>
      </c>
      <c r="L44" s="12">
        <f>H44-133100</f>
        <v>6900</v>
      </c>
      <c r="M44" s="12">
        <v>13389</v>
      </c>
      <c r="N44" s="66">
        <f t="shared" si="8"/>
        <v>9.5635714285714282E-2</v>
      </c>
      <c r="O44" s="14">
        <v>59.24</v>
      </c>
      <c r="P44" s="15">
        <v>117</v>
      </c>
      <c r="Q44" s="16">
        <v>0.161</v>
      </c>
      <c r="R44" s="16">
        <v>0.161</v>
      </c>
      <c r="S44" s="12">
        <f t="shared" si="9"/>
        <v>116.47535449020931</v>
      </c>
      <c r="T44" s="12">
        <f t="shared" si="10"/>
        <v>42857.142857142855</v>
      </c>
      <c r="U44" s="17">
        <f t="shared" si="11"/>
        <v>0.98386462022825649</v>
      </c>
      <c r="V44" s="16">
        <v>60</v>
      </c>
      <c r="W44" s="16">
        <f t="shared" si="12"/>
        <v>28000</v>
      </c>
      <c r="X44" s="16">
        <f t="shared" si="13"/>
        <v>466.66666666666669</v>
      </c>
      <c r="Y44" s="18" t="s">
        <v>2593</v>
      </c>
      <c r="Z44" s="10" t="s">
        <v>35</v>
      </c>
      <c r="AA44" s="10" t="s">
        <v>35</v>
      </c>
      <c r="AB44" s="10" t="s">
        <v>2594</v>
      </c>
      <c r="AC44" s="10">
        <v>0</v>
      </c>
      <c r="AD44" s="10">
        <v>1</v>
      </c>
      <c r="AE44" s="10" t="s">
        <v>42</v>
      </c>
      <c r="AF44" s="10" t="s">
        <v>43</v>
      </c>
      <c r="AG44" s="10" t="s">
        <v>38</v>
      </c>
      <c r="AH44" s="10" t="s">
        <v>92</v>
      </c>
    </row>
    <row r="45" spans="1:34" x14ac:dyDescent="0.3">
      <c r="A45" s="75" t="s">
        <v>2594</v>
      </c>
      <c r="B45" s="19" t="s">
        <v>2601</v>
      </c>
      <c r="C45" s="19" t="s">
        <v>2602</v>
      </c>
      <c r="D45" s="20">
        <v>45545</v>
      </c>
      <c r="E45" s="21">
        <v>139000</v>
      </c>
      <c r="F45" s="19" t="s">
        <v>81</v>
      </c>
      <c r="G45" s="19" t="s">
        <v>33</v>
      </c>
      <c r="H45" s="21">
        <v>139000</v>
      </c>
      <c r="I45" s="21">
        <v>64200</v>
      </c>
      <c r="J45" s="22">
        <f>I45/H45*100</f>
        <v>46.187050359712231</v>
      </c>
      <c r="K45" s="21">
        <v>146613</v>
      </c>
      <c r="L45" s="21">
        <f>H45-129534</f>
        <v>9466</v>
      </c>
      <c r="M45" s="21">
        <v>17079</v>
      </c>
      <c r="N45" s="67">
        <f>M45/E45</f>
        <v>0.1228705035971223</v>
      </c>
      <c r="O45" s="23">
        <v>75.569999999999993</v>
      </c>
      <c r="P45" s="24">
        <v>142.16</v>
      </c>
      <c r="Q45" s="25">
        <v>0.22700000000000001</v>
      </c>
      <c r="R45" s="25">
        <v>0.22700000000000001</v>
      </c>
      <c r="S45" s="21">
        <f>L45/O45</f>
        <v>125.26134709540824</v>
      </c>
      <c r="T45" s="21">
        <f>L45/Q45</f>
        <v>41700.440528634361</v>
      </c>
      <c r="U45" s="26">
        <f>L45/Q45/43560</f>
        <v>0.95731038862796969</v>
      </c>
      <c r="V45" s="25">
        <v>69.430000000000007</v>
      </c>
      <c r="W45" s="25">
        <f>0.2*E45</f>
        <v>27800</v>
      </c>
      <c r="X45" s="25">
        <f>W45/V45</f>
        <v>400.40328388304761</v>
      </c>
      <c r="Y45" s="27" t="s">
        <v>2593</v>
      </c>
      <c r="Z45" s="19" t="s">
        <v>35</v>
      </c>
      <c r="AA45" s="19" t="s">
        <v>35</v>
      </c>
      <c r="AB45" s="19" t="s">
        <v>2594</v>
      </c>
      <c r="AC45" s="19">
        <v>0</v>
      </c>
      <c r="AD45" s="19">
        <v>1</v>
      </c>
      <c r="AE45" s="19" t="s">
        <v>42</v>
      </c>
      <c r="AF45" s="19" t="s">
        <v>35</v>
      </c>
      <c r="AG45" s="19" t="s">
        <v>38</v>
      </c>
      <c r="AH45" s="19" t="s">
        <v>92</v>
      </c>
    </row>
    <row r="46" spans="1:34" x14ac:dyDescent="0.3">
      <c r="A46" s="75" t="s">
        <v>2594</v>
      </c>
      <c r="B46" s="19" t="s">
        <v>2595</v>
      </c>
      <c r="C46" s="19" t="s">
        <v>2596</v>
      </c>
      <c r="D46" s="20">
        <v>45709</v>
      </c>
      <c r="E46" s="21">
        <v>139000</v>
      </c>
      <c r="F46" s="19" t="s">
        <v>32</v>
      </c>
      <c r="G46" s="19" t="s">
        <v>33</v>
      </c>
      <c r="H46" s="21">
        <v>139000</v>
      </c>
      <c r="I46" s="21">
        <v>62700</v>
      </c>
      <c r="J46" s="22">
        <f>I46/H46*100</f>
        <v>45.10791366906475</v>
      </c>
      <c r="K46" s="21">
        <v>143094</v>
      </c>
      <c r="L46" s="21">
        <f>H46-129534</f>
        <v>9466</v>
      </c>
      <c r="M46" s="21">
        <v>13560</v>
      </c>
      <c r="N46" s="67">
        <f>M46/E46</f>
        <v>9.7553956834532371E-2</v>
      </c>
      <c r="O46" s="23">
        <v>60</v>
      </c>
      <c r="P46" s="24">
        <v>120</v>
      </c>
      <c r="Q46" s="25">
        <v>0.16500000000000001</v>
      </c>
      <c r="R46" s="25">
        <v>0.16500000000000001</v>
      </c>
      <c r="S46" s="21">
        <f>L46/O46</f>
        <v>157.76666666666668</v>
      </c>
      <c r="T46" s="21">
        <f>L46/Q46</f>
        <v>57369.696969696968</v>
      </c>
      <c r="U46" s="26">
        <f>L46/Q46/43560</f>
        <v>1.3170270195063583</v>
      </c>
      <c r="V46" s="25">
        <v>60</v>
      </c>
      <c r="W46" s="25">
        <f>0.2*E46</f>
        <v>27800</v>
      </c>
      <c r="X46" s="25">
        <f>W46/V46</f>
        <v>463.33333333333331</v>
      </c>
      <c r="Y46" s="27" t="s">
        <v>2593</v>
      </c>
      <c r="Z46" s="19" t="s">
        <v>35</v>
      </c>
      <c r="AA46" s="19" t="s">
        <v>35</v>
      </c>
      <c r="AB46" s="19" t="s">
        <v>2594</v>
      </c>
      <c r="AC46" s="19">
        <v>0</v>
      </c>
      <c r="AD46" s="19">
        <v>1</v>
      </c>
      <c r="AE46" s="19" t="s">
        <v>42</v>
      </c>
      <c r="AF46" s="19" t="s">
        <v>35</v>
      </c>
      <c r="AG46" s="19" t="s">
        <v>38</v>
      </c>
      <c r="AH46" s="19" t="s">
        <v>92</v>
      </c>
    </row>
    <row r="47" spans="1:34" x14ac:dyDescent="0.3">
      <c r="A47" s="75" t="s">
        <v>2594</v>
      </c>
      <c r="B47" s="19" t="s">
        <v>2634</v>
      </c>
      <c r="C47" s="19" t="s">
        <v>2635</v>
      </c>
      <c r="D47" s="20">
        <v>45569</v>
      </c>
      <c r="E47" s="21">
        <v>165000</v>
      </c>
      <c r="F47" s="19" t="s">
        <v>32</v>
      </c>
      <c r="G47" s="19" t="s">
        <v>33</v>
      </c>
      <c r="H47" s="21">
        <v>165000</v>
      </c>
      <c r="I47" s="21">
        <v>75700</v>
      </c>
      <c r="J47" s="22">
        <f t="shared" ref="J47" si="14">I47/H47*100</f>
        <v>45.878787878787882</v>
      </c>
      <c r="K47" s="21">
        <v>170804</v>
      </c>
      <c r="L47" s="21">
        <f>H47-152759</f>
        <v>12241</v>
      </c>
      <c r="M47" s="21">
        <v>18045</v>
      </c>
      <c r="N47" s="67">
        <f t="shared" ref="N47" si="15">M47/E47</f>
        <v>0.10936363636363636</v>
      </c>
      <c r="O47" s="23">
        <v>79.84</v>
      </c>
      <c r="P47" s="24">
        <v>183.88</v>
      </c>
      <c r="Q47" s="25">
        <v>0.28799999999999998</v>
      </c>
      <c r="R47" s="25">
        <v>0.28799999999999998</v>
      </c>
      <c r="S47" s="21">
        <f t="shared" ref="S47" si="16">L47/O47</f>
        <v>153.3191382765531</v>
      </c>
      <c r="T47" s="21">
        <f t="shared" ref="T47" si="17">L47/Q47</f>
        <v>42503.472222222226</v>
      </c>
      <c r="U47" s="26">
        <f t="shared" ref="U47" si="18">L47/Q47/43560</f>
        <v>0.9757454596469749</v>
      </c>
      <c r="V47" s="25">
        <v>56.91</v>
      </c>
      <c r="W47" s="25">
        <f t="shared" ref="W47" si="19">0.2*E47</f>
        <v>33000</v>
      </c>
      <c r="X47" s="25">
        <f t="shared" ref="X47" si="20">W47/V47</f>
        <v>579.8629414865577</v>
      </c>
      <c r="Y47" s="27" t="s">
        <v>2593</v>
      </c>
      <c r="Z47" s="19" t="s">
        <v>35</v>
      </c>
      <c r="AA47" s="19" t="s">
        <v>35</v>
      </c>
      <c r="AB47" s="19" t="s">
        <v>2594</v>
      </c>
      <c r="AC47" s="19">
        <v>0</v>
      </c>
      <c r="AD47" s="19">
        <v>1</v>
      </c>
      <c r="AE47" s="19" t="s">
        <v>2530</v>
      </c>
      <c r="AF47" s="19" t="s">
        <v>43</v>
      </c>
      <c r="AG47" s="19" t="s">
        <v>38</v>
      </c>
      <c r="AH47" s="19" t="s">
        <v>92</v>
      </c>
    </row>
  </sheetData>
  <sortState xmlns:xlrd2="http://schemas.microsoft.com/office/spreadsheetml/2017/richdata2" ref="A2:AH26">
    <sortCondition ref="S2:S26"/>
  </sortState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9">
    <tabColor rgb="FF00B050"/>
  </sheetPr>
  <dimension ref="A1:AH27"/>
  <sheetViews>
    <sheetView workbookViewId="0">
      <selection activeCell="E9" sqref="E9:L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0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55" t="s">
        <v>3104</v>
      </c>
    </row>
    <row r="2" spans="1:34" x14ac:dyDescent="0.3">
      <c r="A2" s="1" t="s">
        <v>23</v>
      </c>
      <c r="B2" s="1" t="s">
        <v>0</v>
      </c>
      <c r="C2" s="1" t="s">
        <v>1</v>
      </c>
      <c r="D2" s="2" t="s">
        <v>2</v>
      </c>
      <c r="E2" s="3" t="s">
        <v>3</v>
      </c>
      <c r="F2" s="1" t="s">
        <v>4</v>
      </c>
      <c r="G2" s="1" t="s">
        <v>5</v>
      </c>
      <c r="H2" s="3" t="s">
        <v>6</v>
      </c>
      <c r="I2" s="3" t="s">
        <v>7</v>
      </c>
      <c r="J2" s="4" t="s">
        <v>8</v>
      </c>
      <c r="K2" s="3" t="s">
        <v>9</v>
      </c>
      <c r="L2" s="3" t="s">
        <v>10</v>
      </c>
      <c r="M2" s="3" t="s">
        <v>11</v>
      </c>
      <c r="N2" s="339" t="s">
        <v>3066</v>
      </c>
      <c r="O2" s="5" t="s">
        <v>12</v>
      </c>
      <c r="P2" s="6" t="s">
        <v>13</v>
      </c>
      <c r="Q2" s="7" t="s">
        <v>14</v>
      </c>
      <c r="R2" s="7" t="s">
        <v>15</v>
      </c>
      <c r="S2" s="3" t="s">
        <v>16</v>
      </c>
      <c r="T2" s="3" t="s">
        <v>17</v>
      </c>
      <c r="U2" s="8" t="s">
        <v>18</v>
      </c>
      <c r="V2" s="7" t="s">
        <v>19</v>
      </c>
      <c r="W2" s="340" t="s">
        <v>3069</v>
      </c>
      <c r="X2" s="339" t="s">
        <v>3070</v>
      </c>
      <c r="Y2" s="9" t="s">
        <v>20</v>
      </c>
      <c r="Z2" s="1" t="s">
        <v>21</v>
      </c>
      <c r="AA2" s="1" t="s">
        <v>22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27</v>
      </c>
      <c r="AG2" s="1" t="s">
        <v>28</v>
      </c>
      <c r="AH2" s="1" t="s">
        <v>29</v>
      </c>
    </row>
    <row r="3" spans="1:34" x14ac:dyDescent="0.3">
      <c r="A3" s="74" t="s">
        <v>2664</v>
      </c>
      <c r="B3" s="10" t="s">
        <v>2773</v>
      </c>
      <c r="C3" s="10" t="s">
        <v>2774</v>
      </c>
      <c r="D3" s="11">
        <v>45637</v>
      </c>
      <c r="E3" s="12">
        <v>135000</v>
      </c>
      <c r="F3" s="10" t="s">
        <v>32</v>
      </c>
      <c r="G3" s="10" t="s">
        <v>33</v>
      </c>
      <c r="H3" s="12">
        <v>135000</v>
      </c>
      <c r="I3" s="12">
        <v>45300</v>
      </c>
      <c r="J3" s="13">
        <f t="shared" ref="J3:J5" si="0">I3/H3*100</f>
        <v>33.555555555555557</v>
      </c>
      <c r="K3" s="12">
        <v>80633</v>
      </c>
      <c r="L3" s="12">
        <f>H3-60233</f>
        <v>74767</v>
      </c>
      <c r="M3" s="12">
        <v>20400</v>
      </c>
      <c r="N3" s="66">
        <f t="shared" ref="N3:N5" si="1">M3/E3</f>
        <v>0.15111111111111111</v>
      </c>
      <c r="O3" s="14">
        <v>100</v>
      </c>
      <c r="P3" s="15">
        <v>379</v>
      </c>
      <c r="Q3" s="16">
        <v>0.87</v>
      </c>
      <c r="R3" s="16">
        <v>0.87</v>
      </c>
      <c r="S3" s="12">
        <f t="shared" ref="S3:S5" si="2">L3/O3</f>
        <v>747.67</v>
      </c>
      <c r="T3" s="12">
        <f t="shared" ref="T3:T5" si="3">L3/Q3</f>
        <v>85939.080459770121</v>
      </c>
      <c r="U3" s="17">
        <f t="shared" ref="U3:U5" si="4">L3/Q3/43560</f>
        <v>1.9728898177174041</v>
      </c>
      <c r="V3" s="16">
        <v>100</v>
      </c>
      <c r="W3" s="16">
        <f t="shared" ref="W3:W5" si="5">0.2*E3</f>
        <v>27000</v>
      </c>
      <c r="X3" s="16">
        <f>W3/V3</f>
        <v>270</v>
      </c>
      <c r="Y3" s="18" t="s">
        <v>2663</v>
      </c>
      <c r="Z3" s="10" t="s">
        <v>35</v>
      </c>
      <c r="AA3" s="10" t="s">
        <v>35</v>
      </c>
      <c r="AB3" s="10" t="s">
        <v>2664</v>
      </c>
      <c r="AC3" s="10">
        <v>0</v>
      </c>
      <c r="AD3" s="10">
        <v>0</v>
      </c>
      <c r="AE3" s="10" t="s">
        <v>37</v>
      </c>
      <c r="AF3" s="10" t="s">
        <v>35</v>
      </c>
      <c r="AG3" s="10" t="s">
        <v>38</v>
      </c>
      <c r="AH3" s="10" t="s">
        <v>1830</v>
      </c>
    </row>
    <row r="4" spans="1:34" x14ac:dyDescent="0.3">
      <c r="A4" s="75" t="s">
        <v>2664</v>
      </c>
      <c r="B4" s="19" t="s">
        <v>2780</v>
      </c>
      <c r="C4" s="19" t="s">
        <v>2781</v>
      </c>
      <c r="D4" s="20">
        <v>45401</v>
      </c>
      <c r="E4" s="21">
        <v>172000</v>
      </c>
      <c r="F4" s="19" t="s">
        <v>32</v>
      </c>
      <c r="G4" s="19" t="s">
        <v>33</v>
      </c>
      <c r="H4" s="21">
        <v>172000</v>
      </c>
      <c r="I4" s="21">
        <v>52100</v>
      </c>
      <c r="J4" s="22">
        <f t="shared" si="0"/>
        <v>30.290697674418603</v>
      </c>
      <c r="K4" s="21">
        <v>92869</v>
      </c>
      <c r="L4" s="21">
        <f>H4-72030</f>
        <v>99970</v>
      </c>
      <c r="M4" s="21">
        <v>20839</v>
      </c>
      <c r="N4" s="67">
        <f t="shared" si="1"/>
        <v>0.12115697674418605</v>
      </c>
      <c r="O4" s="23">
        <v>102.14</v>
      </c>
      <c r="P4" s="24">
        <v>403.5</v>
      </c>
      <c r="Q4" s="25">
        <v>0.91700000000000004</v>
      </c>
      <c r="R4" s="25">
        <v>0.91700000000000004</v>
      </c>
      <c r="S4" s="21">
        <f t="shared" si="2"/>
        <v>978.75465047973364</v>
      </c>
      <c r="T4" s="21">
        <f t="shared" si="3"/>
        <v>109018.5387131952</v>
      </c>
      <c r="U4" s="26">
        <f t="shared" si="4"/>
        <v>2.5027212744076035</v>
      </c>
      <c r="V4" s="25">
        <v>99</v>
      </c>
      <c r="W4" s="25">
        <f t="shared" si="5"/>
        <v>34400</v>
      </c>
      <c r="X4" s="25">
        <f>W4/V4</f>
        <v>347.47474747474746</v>
      </c>
      <c r="Y4" s="27" t="s">
        <v>2663</v>
      </c>
      <c r="Z4" s="19" t="s">
        <v>35</v>
      </c>
      <c r="AA4" s="19" t="s">
        <v>35</v>
      </c>
      <c r="AB4" s="19" t="s">
        <v>2664</v>
      </c>
      <c r="AC4" s="19">
        <v>0</v>
      </c>
      <c r="AD4" s="19">
        <v>1</v>
      </c>
      <c r="AE4" s="19" t="s">
        <v>412</v>
      </c>
      <c r="AF4" s="19" t="s">
        <v>43</v>
      </c>
      <c r="AG4" s="19" t="s">
        <v>38</v>
      </c>
      <c r="AH4" s="19" t="s">
        <v>1830</v>
      </c>
    </row>
    <row r="5" spans="1:34" ht="15" thickBot="1" x14ac:dyDescent="0.35">
      <c r="A5" s="75" t="s">
        <v>2664</v>
      </c>
      <c r="B5" s="19" t="s">
        <v>2778</v>
      </c>
      <c r="C5" s="19" t="s">
        <v>2779</v>
      </c>
      <c r="D5" s="20">
        <v>45560</v>
      </c>
      <c r="E5" s="21">
        <v>237500</v>
      </c>
      <c r="F5" s="19" t="s">
        <v>32</v>
      </c>
      <c r="G5" s="19" t="s">
        <v>33</v>
      </c>
      <c r="H5" s="21">
        <v>237500</v>
      </c>
      <c r="I5" s="21">
        <v>61500</v>
      </c>
      <c r="J5" s="22">
        <f t="shared" si="0"/>
        <v>25.894736842105264</v>
      </c>
      <c r="K5" s="21">
        <v>107604</v>
      </c>
      <c r="L5" s="21">
        <f>H5-83893</f>
        <v>153607</v>
      </c>
      <c r="M5" s="21">
        <v>23711</v>
      </c>
      <c r="N5" s="67">
        <f t="shared" si="1"/>
        <v>9.9835789473684211E-2</v>
      </c>
      <c r="O5" s="23">
        <v>116.22</v>
      </c>
      <c r="P5" s="24">
        <v>200</v>
      </c>
      <c r="Q5" s="25">
        <v>0.76</v>
      </c>
      <c r="R5" s="25">
        <v>0.73499999999999999</v>
      </c>
      <c r="S5" s="21">
        <f t="shared" si="2"/>
        <v>1321.6916193426262</v>
      </c>
      <c r="T5" s="21">
        <f t="shared" si="3"/>
        <v>202114.47368421053</v>
      </c>
      <c r="U5" s="26">
        <f t="shared" si="4"/>
        <v>4.6399098641921608</v>
      </c>
      <c r="V5" s="25">
        <v>160</v>
      </c>
      <c r="W5" s="25">
        <f t="shared" si="5"/>
        <v>47500</v>
      </c>
      <c r="X5" s="25">
        <f>W5/V5</f>
        <v>296.875</v>
      </c>
      <c r="Y5" s="27" t="s">
        <v>2663</v>
      </c>
      <c r="Z5" s="19" t="s">
        <v>35</v>
      </c>
      <c r="AA5" s="19" t="s">
        <v>35</v>
      </c>
      <c r="AB5" s="19" t="s">
        <v>2664</v>
      </c>
      <c r="AC5" s="19">
        <v>0</v>
      </c>
      <c r="AD5" s="19">
        <v>0</v>
      </c>
      <c r="AE5" s="19" t="s">
        <v>37</v>
      </c>
      <c r="AF5" s="19" t="s">
        <v>43</v>
      </c>
      <c r="AG5" s="19" t="s">
        <v>38</v>
      </c>
      <c r="AH5" s="19" t="s">
        <v>1830</v>
      </c>
    </row>
    <row r="6" spans="1:34" ht="15" thickTop="1" x14ac:dyDescent="0.3">
      <c r="A6" s="76"/>
      <c r="B6" s="37"/>
      <c r="C6" s="37"/>
      <c r="D6" s="38" t="s">
        <v>2876</v>
      </c>
      <c r="E6" s="39">
        <f>+SUM(E3:E5)</f>
        <v>544500</v>
      </c>
      <c r="F6" s="37"/>
      <c r="G6" s="37"/>
      <c r="H6" s="39">
        <f>+SUM(H3:H5)</f>
        <v>544500</v>
      </c>
      <c r="I6" s="39">
        <f>+SUM(I3:I5)</f>
        <v>158900</v>
      </c>
      <c r="J6" s="40"/>
      <c r="K6" s="39">
        <f>+SUM(K3:K5)</f>
        <v>281106</v>
      </c>
      <c r="L6" s="39">
        <f>+SUM(L3:L5)</f>
        <v>328344</v>
      </c>
      <c r="M6" s="39">
        <f>+SUM(M3:M5)</f>
        <v>64950</v>
      </c>
      <c r="N6" s="81">
        <f>AVERAGE(N3:N5)</f>
        <v>0.12403462577632712</v>
      </c>
      <c r="O6" s="41">
        <f>+SUM(O3:O5)</f>
        <v>318.36</v>
      </c>
      <c r="P6" s="42"/>
      <c r="Q6" s="43">
        <f>+SUM(Q3:Q5)</f>
        <v>2.5469999999999997</v>
      </c>
      <c r="R6" s="43">
        <f>+SUM(R3:R5)</f>
        <v>2.5219999999999998</v>
      </c>
      <c r="S6" s="39"/>
      <c r="T6" s="39"/>
      <c r="U6" s="44"/>
      <c r="V6" s="43"/>
      <c r="W6" s="82">
        <f>AVERAGE(W3:W5)</f>
        <v>36300</v>
      </c>
      <c r="X6" s="83">
        <f>AVERAGE(X3:X5)</f>
        <v>304.78324915824913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29.182736455463726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STDEV(J3:J5)</f>
        <v>3.8443012365405744</v>
      </c>
      <c r="K8" s="48"/>
      <c r="L8" s="48"/>
      <c r="M8" s="48" t="s">
        <v>2880</v>
      </c>
      <c r="N8" s="80"/>
      <c r="O8" s="54">
        <f>L6/O6</f>
        <v>1031.3607237090087</v>
      </c>
      <c r="P8" s="50"/>
      <c r="Q8" s="51" t="s">
        <v>2881</v>
      </c>
      <c r="R8" s="51">
        <f>L6/Q6</f>
        <v>128914.01648998824</v>
      </c>
      <c r="S8" s="48"/>
      <c r="T8" s="48" t="s">
        <v>2882</v>
      </c>
      <c r="U8" s="52">
        <f>L6/Q6/43560</f>
        <v>2.9594585971071679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4" t="s">
        <v>2664</v>
      </c>
      <c r="B17" s="10" t="s">
        <v>2775</v>
      </c>
      <c r="C17" s="10" t="s">
        <v>2776</v>
      </c>
      <c r="D17" s="11">
        <v>45475</v>
      </c>
      <c r="E17" s="12">
        <v>315000</v>
      </c>
      <c r="F17" s="10" t="s">
        <v>32</v>
      </c>
      <c r="G17" s="10" t="s">
        <v>33</v>
      </c>
      <c r="H17" s="12">
        <v>315000</v>
      </c>
      <c r="I17" s="12">
        <v>57400</v>
      </c>
      <c r="J17" s="13">
        <f t="shared" ref="J17" si="6">I17/H17*100</f>
        <v>18.222222222222221</v>
      </c>
      <c r="K17" s="12">
        <v>153731</v>
      </c>
      <c r="L17" s="12">
        <f>H17-128566</f>
        <v>186434</v>
      </c>
      <c r="M17" s="12">
        <v>25165</v>
      </c>
      <c r="N17" s="66">
        <f t="shared" ref="N17" si="7">M17/E17</f>
        <v>7.9888888888888884E-2</v>
      </c>
      <c r="O17" s="14">
        <v>100.08</v>
      </c>
      <c r="P17" s="15">
        <v>379.62</v>
      </c>
      <c r="Q17" s="16">
        <v>1.31</v>
      </c>
      <c r="R17" s="16">
        <v>0.871</v>
      </c>
      <c r="S17" s="12">
        <f t="shared" ref="S17" si="8">L17/O17</f>
        <v>1862.8497202238209</v>
      </c>
      <c r="T17" s="12">
        <f t="shared" ref="T17" si="9">L17/Q17</f>
        <v>142316.03053435113</v>
      </c>
      <c r="U17" s="17">
        <f t="shared" ref="U17" si="10">L17/Q17/43560</f>
        <v>3.2671265044616882</v>
      </c>
      <c r="V17" s="16">
        <v>100</v>
      </c>
      <c r="W17" s="16">
        <f t="shared" ref="W17" si="11">0.2*E17</f>
        <v>63000</v>
      </c>
      <c r="X17" s="16">
        <f>W17/V17</f>
        <v>630</v>
      </c>
      <c r="Y17" s="18" t="s">
        <v>2663</v>
      </c>
      <c r="Z17" s="10" t="s">
        <v>35</v>
      </c>
      <c r="AA17" s="10" t="s">
        <v>2777</v>
      </c>
      <c r="AB17" s="10" t="s">
        <v>2664</v>
      </c>
      <c r="AC17" s="10">
        <v>0</v>
      </c>
      <c r="AD17" s="10">
        <v>0</v>
      </c>
      <c r="AE17" s="10" t="s">
        <v>42</v>
      </c>
      <c r="AF17" s="10" t="s">
        <v>43</v>
      </c>
      <c r="AG17" s="10" t="s">
        <v>38</v>
      </c>
      <c r="AH17" s="10" t="s">
        <v>1830</v>
      </c>
    </row>
    <row r="21" spans="1:34" x14ac:dyDescent="0.3">
      <c r="A21" s="55" t="s">
        <v>3101</v>
      </c>
    </row>
    <row r="22" spans="1:34" x14ac:dyDescent="0.3">
      <c r="A22" s="1" t="s">
        <v>23</v>
      </c>
      <c r="B22" s="1" t="s">
        <v>0</v>
      </c>
      <c r="C22" s="1" t="s">
        <v>1</v>
      </c>
      <c r="D22" s="2" t="s">
        <v>2</v>
      </c>
      <c r="E22" s="3" t="s">
        <v>3</v>
      </c>
      <c r="F22" s="1" t="s">
        <v>4</v>
      </c>
      <c r="G22" s="1" t="s">
        <v>5</v>
      </c>
      <c r="H22" s="3" t="s">
        <v>6</v>
      </c>
      <c r="I22" s="3" t="s">
        <v>7</v>
      </c>
      <c r="J22" s="4" t="s">
        <v>8</v>
      </c>
      <c r="K22" s="3" t="s">
        <v>9</v>
      </c>
      <c r="L22" s="3" t="s">
        <v>10</v>
      </c>
      <c r="M22" s="3" t="s">
        <v>11</v>
      </c>
      <c r="N22" s="339" t="s">
        <v>3066</v>
      </c>
      <c r="O22" s="5" t="s">
        <v>12</v>
      </c>
      <c r="P22" s="6" t="s">
        <v>13</v>
      </c>
      <c r="Q22" s="7" t="s">
        <v>14</v>
      </c>
      <c r="R22" s="7" t="s">
        <v>15</v>
      </c>
      <c r="S22" s="3" t="s">
        <v>16</v>
      </c>
      <c r="T22" s="3" t="s">
        <v>17</v>
      </c>
      <c r="U22" s="8" t="s">
        <v>18</v>
      </c>
      <c r="V22" s="7" t="s">
        <v>19</v>
      </c>
      <c r="W22" s="340" t="s">
        <v>3069</v>
      </c>
      <c r="X22" s="339" t="s">
        <v>3070</v>
      </c>
      <c r="Y22" s="9" t="s">
        <v>20</v>
      </c>
      <c r="Z22" s="1" t="s">
        <v>21</v>
      </c>
      <c r="AA22" s="1" t="s">
        <v>22</v>
      </c>
      <c r="AB22" s="1" t="s">
        <v>23</v>
      </c>
      <c r="AC22" s="1" t="s">
        <v>24</v>
      </c>
      <c r="AD22" s="1" t="s">
        <v>25</v>
      </c>
      <c r="AE22" s="1" t="s">
        <v>26</v>
      </c>
      <c r="AF22" s="1" t="s">
        <v>27</v>
      </c>
      <c r="AG22" s="1" t="s">
        <v>28</v>
      </c>
      <c r="AH22" s="1" t="s">
        <v>29</v>
      </c>
    </row>
    <row r="23" spans="1:34" x14ac:dyDescent="0.3">
      <c r="A23" s="74" t="s">
        <v>2664</v>
      </c>
      <c r="B23" s="10" t="s">
        <v>2665</v>
      </c>
      <c r="C23" s="10" t="s">
        <v>2666</v>
      </c>
      <c r="D23" s="11">
        <v>45181</v>
      </c>
      <c r="E23" s="12">
        <v>300000</v>
      </c>
      <c r="F23" s="10" t="s">
        <v>32</v>
      </c>
      <c r="G23" s="10" t="s">
        <v>33</v>
      </c>
      <c r="H23" s="12">
        <v>300000</v>
      </c>
      <c r="I23" s="12">
        <v>69500</v>
      </c>
      <c r="J23" s="13">
        <f t="shared" ref="J23:J24" si="12">I23/H23*100</f>
        <v>23.166666666666664</v>
      </c>
      <c r="K23" s="12">
        <v>136661</v>
      </c>
      <c r="L23" s="12">
        <f>H23-96461</f>
        <v>203539</v>
      </c>
      <c r="M23" s="12">
        <v>40200</v>
      </c>
      <c r="N23" s="66">
        <f t="shared" ref="N23:N24" si="13">M23/E23</f>
        <v>0.13400000000000001</v>
      </c>
      <c r="O23" s="14">
        <v>0</v>
      </c>
      <c r="P23" s="15">
        <v>0</v>
      </c>
      <c r="Q23" s="16">
        <v>2.0099999999999998</v>
      </c>
      <c r="R23" s="16">
        <v>2.0099999999999998</v>
      </c>
      <c r="S23" s="12" t="e">
        <f t="shared" ref="S23:S24" si="14">L23/O23</f>
        <v>#DIV/0!</v>
      </c>
      <c r="T23" s="12">
        <f t="shared" ref="T23:T24" si="15">L23/Q23</f>
        <v>101263.184079602</v>
      </c>
      <c r="U23" s="17">
        <f t="shared" ref="U23:U24" si="16">L23/Q23/43560</f>
        <v>2.3246828301102385</v>
      </c>
      <c r="V23" s="16">
        <v>0</v>
      </c>
      <c r="W23" s="16">
        <f t="shared" ref="W23:W24" si="17">0.2*E23</f>
        <v>60000</v>
      </c>
      <c r="X23" s="16"/>
      <c r="Y23" s="18" t="s">
        <v>2663</v>
      </c>
      <c r="Z23" s="10" t="s">
        <v>35</v>
      </c>
      <c r="AA23" s="10" t="s">
        <v>35</v>
      </c>
      <c r="AB23" s="10" t="s">
        <v>2664</v>
      </c>
      <c r="AC23" s="10">
        <v>0</v>
      </c>
      <c r="AD23" s="10">
        <v>0</v>
      </c>
      <c r="AE23" s="10" t="s">
        <v>42</v>
      </c>
      <c r="AF23" s="10" t="s">
        <v>43</v>
      </c>
      <c r="AG23" s="10" t="s">
        <v>38</v>
      </c>
      <c r="AH23" s="10"/>
    </row>
    <row r="24" spans="1:34" ht="15" thickBot="1" x14ac:dyDescent="0.35">
      <c r="A24" s="75" t="s">
        <v>2664</v>
      </c>
      <c r="B24" s="19" t="s">
        <v>2661</v>
      </c>
      <c r="C24" s="19" t="s">
        <v>2662</v>
      </c>
      <c r="D24" s="20">
        <v>45048</v>
      </c>
      <c r="E24" s="21">
        <v>65000</v>
      </c>
      <c r="F24" s="19" t="s">
        <v>32</v>
      </c>
      <c r="G24" s="19" t="s">
        <v>33</v>
      </c>
      <c r="H24" s="21">
        <v>65000</v>
      </c>
      <c r="I24" s="21">
        <v>35800</v>
      </c>
      <c r="J24" s="22">
        <f t="shared" si="12"/>
        <v>55.07692307692308</v>
      </c>
      <c r="K24" s="21">
        <v>95400</v>
      </c>
      <c r="L24" s="21">
        <f>H24-0</f>
        <v>65000</v>
      </c>
      <c r="M24" s="21">
        <v>95400</v>
      </c>
      <c r="N24" s="67">
        <f t="shared" si="13"/>
        <v>1.4676923076923076</v>
      </c>
      <c r="O24" s="23">
        <v>0</v>
      </c>
      <c r="P24" s="24">
        <v>0</v>
      </c>
      <c r="Q24" s="25">
        <v>4.7699999999999996</v>
      </c>
      <c r="R24" s="25">
        <v>4.7699999999999996</v>
      </c>
      <c r="S24" s="21" t="e">
        <f t="shared" si="14"/>
        <v>#DIV/0!</v>
      </c>
      <c r="T24" s="21">
        <f t="shared" si="15"/>
        <v>13626.834381551364</v>
      </c>
      <c r="U24" s="26">
        <f t="shared" si="16"/>
        <v>0.31282907212009559</v>
      </c>
      <c r="V24" s="25">
        <v>0</v>
      </c>
      <c r="W24" s="25">
        <f t="shared" si="17"/>
        <v>13000</v>
      </c>
      <c r="X24" s="25"/>
      <c r="Y24" s="27" t="s">
        <v>2663</v>
      </c>
      <c r="Z24" s="19" t="s">
        <v>35</v>
      </c>
      <c r="AA24" s="19" t="s">
        <v>35</v>
      </c>
      <c r="AB24" s="19" t="s">
        <v>2664</v>
      </c>
      <c r="AC24" s="19">
        <v>0</v>
      </c>
      <c r="AD24" s="19">
        <v>0</v>
      </c>
      <c r="AE24" s="19" t="s">
        <v>37</v>
      </c>
      <c r="AF24" s="19" t="s">
        <v>43</v>
      </c>
      <c r="AG24" s="19" t="s">
        <v>61</v>
      </c>
      <c r="AH24" s="19"/>
    </row>
    <row r="25" spans="1:34" ht="15" thickTop="1" x14ac:dyDescent="0.3">
      <c r="A25" s="76"/>
      <c r="B25" s="37"/>
      <c r="C25" s="37"/>
      <c r="D25" s="38" t="s">
        <v>2876</v>
      </c>
      <c r="E25" s="39">
        <f>+SUM(E23:E24)</f>
        <v>365000</v>
      </c>
      <c r="F25" s="37"/>
      <c r="G25" s="37"/>
      <c r="H25" s="39">
        <f>+SUM(H23:H24)</f>
        <v>365000</v>
      </c>
      <c r="I25" s="39">
        <f>+SUM(I23:I24)</f>
        <v>105300</v>
      </c>
      <c r="J25" s="40"/>
      <c r="K25" s="39">
        <f>+SUM(K23:K24)</f>
        <v>232061</v>
      </c>
      <c r="L25" s="39">
        <f>+SUM(L23:L24)</f>
        <v>268539</v>
      </c>
      <c r="M25" s="39">
        <f>+SUM(M23:M24)</f>
        <v>135600</v>
      </c>
      <c r="N25" s="81">
        <f>AVERAGE(N23:N24)</f>
        <v>0.80084615384615376</v>
      </c>
      <c r="O25" s="41">
        <f>+SUM(O23:O24)</f>
        <v>0</v>
      </c>
      <c r="P25" s="42"/>
      <c r="Q25" s="43">
        <f>+SUM(Q23:Q24)</f>
        <v>6.7799999999999994</v>
      </c>
      <c r="R25" s="43">
        <f>+SUM(R23:R24)</f>
        <v>6.7799999999999994</v>
      </c>
      <c r="S25" s="39"/>
      <c r="T25" s="39"/>
      <c r="U25" s="44"/>
      <c r="V25" s="43"/>
      <c r="W25" s="82">
        <f>AVERAGE(W23:W24)</f>
        <v>36500</v>
      </c>
      <c r="X25" s="83" t="e">
        <f>AVERAGE(X23:X24)</f>
        <v>#DIV/0!</v>
      </c>
      <c r="Y25" s="45"/>
      <c r="Z25" s="37"/>
      <c r="AA25" s="37"/>
      <c r="AB25" s="37"/>
      <c r="AC25" s="37"/>
      <c r="AD25" s="37"/>
      <c r="AE25" s="37"/>
      <c r="AF25" s="37"/>
      <c r="AG25" s="37"/>
      <c r="AH25" s="37"/>
    </row>
    <row r="26" spans="1:34" x14ac:dyDescent="0.3">
      <c r="A26" s="77"/>
      <c r="B26" s="28"/>
      <c r="C26" s="28"/>
      <c r="D26" s="29"/>
      <c r="E26" s="30"/>
      <c r="F26" s="28"/>
      <c r="G26" s="28"/>
      <c r="H26" s="30"/>
      <c r="I26" s="30" t="s">
        <v>2877</v>
      </c>
      <c r="J26" s="31">
        <f>I25/H25*100</f>
        <v>28.849315068493155</v>
      </c>
      <c r="K26" s="30"/>
      <c r="L26" s="30"/>
      <c r="M26" s="30" t="s">
        <v>2879</v>
      </c>
      <c r="N26" s="79"/>
      <c r="O26" s="32"/>
      <c r="P26" s="33"/>
      <c r="Q26" s="34" t="s">
        <v>2879</v>
      </c>
      <c r="R26" s="34"/>
      <c r="S26" s="30"/>
      <c r="T26" s="30" t="s">
        <v>2879</v>
      </c>
      <c r="U26" s="35"/>
      <c r="V26" s="34"/>
      <c r="W26" s="63"/>
      <c r="X26" s="68"/>
      <c r="Y26" s="36"/>
      <c r="Z26" s="28"/>
      <c r="AA26" s="28"/>
      <c r="AB26" s="28"/>
      <c r="AC26" s="28"/>
      <c r="AD26" s="28"/>
      <c r="AE26" s="28"/>
      <c r="AF26" s="28"/>
      <c r="AG26" s="28"/>
      <c r="AH26" s="28"/>
    </row>
    <row r="27" spans="1:34" x14ac:dyDescent="0.3">
      <c r="A27" s="78"/>
      <c r="B27" s="46"/>
      <c r="C27" s="46"/>
      <c r="D27" s="47"/>
      <c r="E27" s="48"/>
      <c r="F27" s="46"/>
      <c r="G27" s="46"/>
      <c r="H27" s="48"/>
      <c r="I27" s="48" t="s">
        <v>2878</v>
      </c>
      <c r="J27" s="49">
        <f>STDEV(J23:J24)</f>
        <v>22.563958697093803</v>
      </c>
      <c r="K27" s="48"/>
      <c r="L27" s="48"/>
      <c r="M27" s="48" t="s">
        <v>2880</v>
      </c>
      <c r="N27" s="80"/>
      <c r="O27" s="54" t="e">
        <f>L25/O25</f>
        <v>#DIV/0!</v>
      </c>
      <c r="P27" s="50"/>
      <c r="Q27" s="51" t="s">
        <v>2881</v>
      </c>
      <c r="R27" s="51">
        <f>L25/Q25</f>
        <v>39607.52212389381</v>
      </c>
      <c r="S27" s="48"/>
      <c r="T27" s="48" t="s">
        <v>2882</v>
      </c>
      <c r="U27" s="52">
        <f>L25/Q25/43560</f>
        <v>0.90926359329416462</v>
      </c>
      <c r="V27" s="51"/>
      <c r="W27" s="64"/>
      <c r="X27" s="69"/>
      <c r="Y27" s="53"/>
      <c r="Z27" s="46"/>
      <c r="AA27" s="46"/>
      <c r="AB27" s="46"/>
      <c r="AC27" s="46"/>
      <c r="AD27" s="46"/>
      <c r="AE27" s="46"/>
      <c r="AF27" s="46"/>
      <c r="AG27" s="46"/>
      <c r="AH27" s="46"/>
    </row>
  </sheetData>
  <sortState xmlns:xlrd2="http://schemas.microsoft.com/office/spreadsheetml/2017/richdata2" ref="A2:AH7">
    <sortCondition ref="S2:S7"/>
  </sortState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0">
    <tabColor rgb="FF00B050"/>
  </sheetPr>
  <dimension ref="A1:AH17"/>
  <sheetViews>
    <sheetView workbookViewId="0">
      <selection activeCell="E8" sqref="E8:L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30.8867187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2397</v>
      </c>
      <c r="B2" s="10" t="s">
        <v>2402</v>
      </c>
      <c r="C2" s="10" t="s">
        <v>2403</v>
      </c>
      <c r="D2" s="11">
        <v>45061</v>
      </c>
      <c r="E2" s="12">
        <v>205000</v>
      </c>
      <c r="F2" s="10" t="s">
        <v>32</v>
      </c>
      <c r="G2" s="10" t="s">
        <v>33</v>
      </c>
      <c r="H2" s="12">
        <v>205000</v>
      </c>
      <c r="I2" s="12">
        <v>73800</v>
      </c>
      <c r="J2" s="13">
        <f>I2/H2*100</f>
        <v>36</v>
      </c>
      <c r="K2" s="12">
        <v>199734</v>
      </c>
      <c r="L2" s="12">
        <f>H2-186646</f>
        <v>18354</v>
      </c>
      <c r="M2" s="12">
        <v>13088</v>
      </c>
      <c r="N2" s="66">
        <f>M2/E2</f>
        <v>6.3843902439024394E-2</v>
      </c>
      <c r="O2" s="14">
        <v>88.43</v>
      </c>
      <c r="P2" s="15">
        <v>304.75</v>
      </c>
      <c r="Q2" s="16">
        <v>0.42699999999999999</v>
      </c>
      <c r="R2" s="16">
        <v>0.42699999999999999</v>
      </c>
      <c r="S2" s="12">
        <f>L2/O2</f>
        <v>207.55399751215649</v>
      </c>
      <c r="T2" s="12">
        <f>L2/Q2</f>
        <v>42983.606557377047</v>
      </c>
      <c r="U2" s="17">
        <f>L2/Q2/43560</f>
        <v>0.98676782730433987</v>
      </c>
      <c r="V2" s="16">
        <v>61</v>
      </c>
      <c r="W2" s="16">
        <f>0.2*E2</f>
        <v>41000</v>
      </c>
      <c r="X2" s="16">
        <f>W2/V2</f>
        <v>672.13114754098365</v>
      </c>
      <c r="Y2" s="18" t="s">
        <v>2396</v>
      </c>
      <c r="Z2" s="10" t="s">
        <v>35</v>
      </c>
      <c r="AA2" s="10" t="s">
        <v>35</v>
      </c>
      <c r="AB2" s="10" t="s">
        <v>2397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2397</v>
      </c>
      <c r="B3" s="19" t="s">
        <v>2394</v>
      </c>
      <c r="C3" s="19" t="s">
        <v>2395</v>
      </c>
      <c r="D3" s="20">
        <v>45401</v>
      </c>
      <c r="E3" s="21">
        <v>156000</v>
      </c>
      <c r="F3" s="19" t="s">
        <v>32</v>
      </c>
      <c r="G3" s="19" t="s">
        <v>33</v>
      </c>
      <c r="H3" s="21">
        <v>156000</v>
      </c>
      <c r="I3" s="21">
        <v>60500</v>
      </c>
      <c r="J3" s="22">
        <f>I3/H3*100</f>
        <v>38.782051282051285</v>
      </c>
      <c r="K3" s="21">
        <v>145601</v>
      </c>
      <c r="L3" s="21">
        <f>H3-132159</f>
        <v>23841</v>
      </c>
      <c r="M3" s="21">
        <v>13442</v>
      </c>
      <c r="N3" s="67">
        <f>M3/E3</f>
        <v>8.6166666666666669E-2</v>
      </c>
      <c r="O3" s="23">
        <v>90.82</v>
      </c>
      <c r="P3" s="24">
        <v>299.7</v>
      </c>
      <c r="Q3" s="25">
        <v>0.74399999999999999</v>
      </c>
      <c r="R3" s="25">
        <v>0.374</v>
      </c>
      <c r="S3" s="21">
        <f>L3/O3</f>
        <v>262.5082580929311</v>
      </c>
      <c r="T3" s="21">
        <f>L3/Q3</f>
        <v>32044.354838709678</v>
      </c>
      <c r="U3" s="26">
        <f>L3/Q3/43560</f>
        <v>0.73563716342308716</v>
      </c>
      <c r="V3" s="25">
        <v>80.760000000000005</v>
      </c>
      <c r="W3" s="25">
        <f>0.2*E3</f>
        <v>31200</v>
      </c>
      <c r="X3" s="25">
        <f>W3/V3</f>
        <v>386.3298662704309</v>
      </c>
      <c r="Y3" s="27" t="s">
        <v>2396</v>
      </c>
      <c r="Z3" s="19" t="s">
        <v>35</v>
      </c>
      <c r="AA3" s="19" t="s">
        <v>35</v>
      </c>
      <c r="AB3" s="19" t="s">
        <v>2397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ht="15" thickBot="1" x14ac:dyDescent="0.35">
      <c r="A4" s="75" t="s">
        <v>2397</v>
      </c>
      <c r="B4" s="19" t="s">
        <v>2398</v>
      </c>
      <c r="C4" s="19" t="s">
        <v>2399</v>
      </c>
      <c r="D4" s="20">
        <v>45056</v>
      </c>
      <c r="E4" s="21">
        <v>221000</v>
      </c>
      <c r="F4" s="19" t="s">
        <v>32</v>
      </c>
      <c r="G4" s="19" t="s">
        <v>66</v>
      </c>
      <c r="H4" s="21">
        <v>221000</v>
      </c>
      <c r="I4" s="21">
        <v>77300</v>
      </c>
      <c r="J4" s="22">
        <f>I4/H4*100</f>
        <v>34.977375565610856</v>
      </c>
      <c r="K4" s="21">
        <v>200656</v>
      </c>
      <c r="L4" s="21">
        <f>H4-176264</f>
        <v>44736</v>
      </c>
      <c r="M4" s="21">
        <v>24392</v>
      </c>
      <c r="N4" s="67">
        <f>M4/E4</f>
        <v>0.11037104072398191</v>
      </c>
      <c r="O4" s="23">
        <v>164.81</v>
      </c>
      <c r="P4" s="24">
        <v>547.02</v>
      </c>
      <c r="Q4" s="25">
        <v>0.754</v>
      </c>
      <c r="R4" s="25">
        <v>0.377</v>
      </c>
      <c r="S4" s="21">
        <f>L4/O4</f>
        <v>271.43983981554516</v>
      </c>
      <c r="T4" s="21">
        <f>L4/Q4</f>
        <v>59331.564986737401</v>
      </c>
      <c r="U4" s="26">
        <f>L4/Q4/43560</f>
        <v>1.3620653119085722</v>
      </c>
      <c r="V4" s="25">
        <v>120</v>
      </c>
      <c r="W4" s="25">
        <f>0.2*E4</f>
        <v>44200</v>
      </c>
      <c r="X4" s="25">
        <f>W4/V4</f>
        <v>368.33333333333331</v>
      </c>
      <c r="Y4" s="27" t="s">
        <v>2396</v>
      </c>
      <c r="Z4" s="19" t="s">
        <v>35</v>
      </c>
      <c r="AA4" s="19" t="s">
        <v>2400</v>
      </c>
      <c r="AB4" s="19" t="s">
        <v>2397</v>
      </c>
      <c r="AC4" s="19">
        <v>0</v>
      </c>
      <c r="AD4" s="19">
        <v>1</v>
      </c>
      <c r="AE4" s="19" t="s">
        <v>2401</v>
      </c>
      <c r="AF4" s="19" t="s">
        <v>43</v>
      </c>
      <c r="AG4" s="19" t="s">
        <v>38</v>
      </c>
      <c r="AH4" s="19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582000</v>
      </c>
      <c r="F5" s="37"/>
      <c r="G5" s="37"/>
      <c r="H5" s="39">
        <f>+SUM(H2:H4)</f>
        <v>582000</v>
      </c>
      <c r="I5" s="39">
        <f>+SUM(I2:I4)</f>
        <v>211600</v>
      </c>
      <c r="J5" s="40"/>
      <c r="K5" s="39">
        <f>+SUM(K2:K4)</f>
        <v>545991</v>
      </c>
      <c r="L5" s="39">
        <f>+SUM(L2:L4)</f>
        <v>86931</v>
      </c>
      <c r="M5" s="39">
        <f>+SUM(M2:M4)</f>
        <v>50922</v>
      </c>
      <c r="N5" s="81">
        <f>AVERAGE(N2:N4)</f>
        <v>8.6793869943224314E-2</v>
      </c>
      <c r="O5" s="41">
        <f>+SUM(O2:O4)</f>
        <v>344.06</v>
      </c>
      <c r="P5" s="42"/>
      <c r="Q5" s="43">
        <f>+SUM(Q2:Q4)</f>
        <v>1.925</v>
      </c>
      <c r="R5" s="43">
        <f>+SUM(R2:R4)</f>
        <v>1.1779999999999999</v>
      </c>
      <c r="S5" s="39"/>
      <c r="T5" s="39"/>
      <c r="U5" s="44"/>
      <c r="V5" s="43"/>
      <c r="W5" s="82">
        <f>AVERAGE(W2:W4)</f>
        <v>38800</v>
      </c>
      <c r="X5" s="83">
        <f>AVERAGE(X2:X4)</f>
        <v>475.59811571491588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36.357388316151201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1.9689729715871502</v>
      </c>
      <c r="K7" s="48"/>
      <c r="L7" s="48"/>
      <c r="M7" s="48" t="s">
        <v>2880</v>
      </c>
      <c r="N7" s="80"/>
      <c r="O7" s="54">
        <f>L5/O5</f>
        <v>252.66232633842935</v>
      </c>
      <c r="P7" s="50"/>
      <c r="Q7" s="51" t="s">
        <v>2881</v>
      </c>
      <c r="R7" s="51">
        <f>L5/Q5</f>
        <v>45158.961038961039</v>
      </c>
      <c r="S7" s="48"/>
      <c r="T7" s="48" t="s">
        <v>2882</v>
      </c>
      <c r="U7" s="52">
        <f>L5/Q5/43560</f>
        <v>1.0367070945583343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  <row r="17" spans="1:34" x14ac:dyDescent="0.3">
      <c r="A17" s="74" t="s">
        <v>2397</v>
      </c>
      <c r="B17" s="10" t="s">
        <v>2394</v>
      </c>
      <c r="C17" s="10" t="s">
        <v>2395</v>
      </c>
      <c r="D17" s="11">
        <v>45252</v>
      </c>
      <c r="E17" s="12">
        <v>90000</v>
      </c>
      <c r="F17" s="10" t="s">
        <v>32</v>
      </c>
      <c r="G17" s="10" t="s">
        <v>33</v>
      </c>
      <c r="H17" s="12">
        <v>90000</v>
      </c>
      <c r="I17" s="12">
        <v>49800</v>
      </c>
      <c r="J17" s="13">
        <f>I17/H17*100</f>
        <v>55.333333333333336</v>
      </c>
      <c r="K17" s="12">
        <v>145601</v>
      </c>
      <c r="L17" s="12">
        <f>H17-132159</f>
        <v>-42159</v>
      </c>
      <c r="M17" s="12">
        <v>13442</v>
      </c>
      <c r="N17" s="66">
        <f>M17/E17</f>
        <v>0.14935555555555555</v>
      </c>
      <c r="O17" s="14">
        <v>90.82</v>
      </c>
      <c r="P17" s="15">
        <v>299.7</v>
      </c>
      <c r="Q17" s="16">
        <v>0.74399999999999999</v>
      </c>
      <c r="R17" s="16">
        <v>0.374</v>
      </c>
      <c r="S17" s="12">
        <f>L17/O17</f>
        <v>-464.20391984144464</v>
      </c>
      <c r="T17" s="12">
        <f>L17/Q17</f>
        <v>-56665.322580645159</v>
      </c>
      <c r="U17" s="17">
        <f>L17/Q17/43560</f>
        <v>-1.3008568085547558</v>
      </c>
      <c r="V17" s="16">
        <v>80.760000000000005</v>
      </c>
      <c r="W17" s="16">
        <f>0.2*E17</f>
        <v>18000</v>
      </c>
      <c r="X17" s="16">
        <f>W17/V17</f>
        <v>222.88261515601781</v>
      </c>
      <c r="Y17" s="18" t="s">
        <v>2396</v>
      </c>
      <c r="Z17" s="10" t="s">
        <v>35</v>
      </c>
      <c r="AA17" s="10" t="s">
        <v>35</v>
      </c>
      <c r="AB17" s="10" t="s">
        <v>2397</v>
      </c>
      <c r="AC17" s="10">
        <v>0</v>
      </c>
      <c r="AD17" s="10">
        <v>1</v>
      </c>
      <c r="AE17" s="10" t="s">
        <v>42</v>
      </c>
      <c r="AF17" s="10" t="s">
        <v>43</v>
      </c>
      <c r="AG17" s="10" t="s">
        <v>38</v>
      </c>
      <c r="AH17" s="10" t="s">
        <v>92</v>
      </c>
    </row>
  </sheetData>
  <sortState xmlns:xlrd2="http://schemas.microsoft.com/office/spreadsheetml/2017/richdata2" ref="A2:AH5">
    <sortCondition ref="S2:S5"/>
  </sortState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2">
    <tabColor rgb="FF00B050"/>
  </sheetPr>
  <dimension ref="A1:AH16"/>
  <sheetViews>
    <sheetView workbookViewId="0">
      <selection activeCell="D7" sqref="D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9.44140625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2249</v>
      </c>
      <c r="B2" s="19" t="s">
        <v>2258</v>
      </c>
      <c r="C2" s="19" t="s">
        <v>2259</v>
      </c>
      <c r="D2" s="20">
        <v>45170</v>
      </c>
      <c r="E2" s="21">
        <v>280000</v>
      </c>
      <c r="F2" s="19" t="s">
        <v>32</v>
      </c>
      <c r="G2" s="19" t="s">
        <v>33</v>
      </c>
      <c r="H2" s="21">
        <v>280000</v>
      </c>
      <c r="I2" s="21">
        <v>112300</v>
      </c>
      <c r="J2" s="22">
        <f>I2/H2*100</f>
        <v>40.107142857142861</v>
      </c>
      <c r="K2" s="21">
        <v>258538</v>
      </c>
      <c r="L2" s="21">
        <f>H2-227084</f>
        <v>52916</v>
      </c>
      <c r="M2" s="21">
        <v>31454</v>
      </c>
      <c r="N2" s="67">
        <f>M2/E2</f>
        <v>0.11233571428571429</v>
      </c>
      <c r="O2" s="23">
        <v>144.28</v>
      </c>
      <c r="P2" s="24">
        <v>722.27</v>
      </c>
      <c r="Q2" s="25">
        <v>1.665</v>
      </c>
      <c r="R2" s="25">
        <v>1.665</v>
      </c>
      <c r="S2" s="21">
        <f>L2/O2</f>
        <v>366.75907956750763</v>
      </c>
      <c r="T2" s="21">
        <f>L2/Q2</f>
        <v>31781.381381381379</v>
      </c>
      <c r="U2" s="26">
        <f>L2/Q2/43560</f>
        <v>0.72960012353951742</v>
      </c>
      <c r="V2" s="25">
        <v>100.44</v>
      </c>
      <c r="W2" s="25">
        <f>0.2*E2</f>
        <v>56000</v>
      </c>
      <c r="X2" s="25">
        <f>W2/V2</f>
        <v>557.54679410593394</v>
      </c>
      <c r="Y2" s="27" t="s">
        <v>2248</v>
      </c>
      <c r="Z2" s="19" t="s">
        <v>35</v>
      </c>
      <c r="AA2" s="19" t="s">
        <v>35</v>
      </c>
      <c r="AB2" s="19" t="s">
        <v>2249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5" t="s">
        <v>2249</v>
      </c>
      <c r="B3" s="19" t="s">
        <v>2256</v>
      </c>
      <c r="C3" s="19" t="s">
        <v>2257</v>
      </c>
      <c r="D3" s="20">
        <v>45567</v>
      </c>
      <c r="E3" s="21">
        <v>310000</v>
      </c>
      <c r="F3" s="19" t="s">
        <v>32</v>
      </c>
      <c r="G3" s="19" t="s">
        <v>33</v>
      </c>
      <c r="H3" s="21">
        <v>310000</v>
      </c>
      <c r="I3" s="21">
        <v>144700</v>
      </c>
      <c r="J3" s="22">
        <f>I3/H3*100</f>
        <v>46.677419354838712</v>
      </c>
      <c r="K3" s="21">
        <v>295212</v>
      </c>
      <c r="L3" s="21">
        <f>H3-275368</f>
        <v>34632</v>
      </c>
      <c r="M3" s="21">
        <v>19844</v>
      </c>
      <c r="N3" s="67">
        <f>M3/E3</f>
        <v>6.4012903225806453E-2</v>
      </c>
      <c r="O3" s="23">
        <v>91.02</v>
      </c>
      <c r="P3" s="24">
        <v>290</v>
      </c>
      <c r="Q3" s="25">
        <v>0.66600000000000004</v>
      </c>
      <c r="R3" s="25">
        <v>0.66600000000000004</v>
      </c>
      <c r="S3" s="21">
        <f>L3/O3</f>
        <v>380.48780487804879</v>
      </c>
      <c r="T3" s="21">
        <f>L3/Q3</f>
        <v>52000</v>
      </c>
      <c r="U3" s="26">
        <f>L3/Q3/43560</f>
        <v>1.1937557392102847</v>
      </c>
      <c r="V3" s="25">
        <v>100</v>
      </c>
      <c r="W3" s="25">
        <f>0.2*E3</f>
        <v>62000</v>
      </c>
      <c r="X3" s="25">
        <f>W3/V3</f>
        <v>620</v>
      </c>
      <c r="Y3" s="27" t="s">
        <v>2248</v>
      </c>
      <c r="Z3" s="19" t="s">
        <v>35</v>
      </c>
      <c r="AA3" s="19" t="s">
        <v>35</v>
      </c>
      <c r="AB3" s="19" t="s">
        <v>2249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590000</v>
      </c>
      <c r="F4" s="37"/>
      <c r="G4" s="37"/>
      <c r="H4" s="39">
        <f>+SUM(H2:H3)</f>
        <v>590000</v>
      </c>
      <c r="I4" s="39">
        <f>+SUM(I2:I3)</f>
        <v>257000</v>
      </c>
      <c r="J4" s="40"/>
      <c r="K4" s="39">
        <f>+SUM(K2:K3)</f>
        <v>553750</v>
      </c>
      <c r="L4" s="39">
        <f>+SUM(L2:L3)</f>
        <v>87548</v>
      </c>
      <c r="M4" s="39">
        <f>+SUM(M2:M3)</f>
        <v>51298</v>
      </c>
      <c r="N4" s="81">
        <f>AVERAGE(N2:N3)</f>
        <v>8.8174308755760378E-2</v>
      </c>
      <c r="O4" s="41">
        <f>+SUM(O2:O3)</f>
        <v>235.3</v>
      </c>
      <c r="P4" s="42"/>
      <c r="Q4" s="43">
        <f>+SUM(Q2:Q3)</f>
        <v>2.331</v>
      </c>
      <c r="R4" s="43">
        <f>+SUM(R2:R3)</f>
        <v>2.331</v>
      </c>
      <c r="S4" s="39"/>
      <c r="T4" s="39"/>
      <c r="U4" s="44"/>
      <c r="V4" s="43"/>
      <c r="W4" s="82">
        <f>AVERAGE(W2:W3)</f>
        <v>59000</v>
      </c>
      <c r="X4" s="83">
        <f>AVERAGE(X2:X3)</f>
        <v>588.77339705296697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43.559322033898304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4.645887065791336</v>
      </c>
      <c r="K6" s="48"/>
      <c r="L6" s="48"/>
      <c r="M6" s="48" t="s">
        <v>2880</v>
      </c>
      <c r="N6" s="80"/>
      <c r="O6" s="54">
        <f>L4/O4</f>
        <v>372.06969825754356</v>
      </c>
      <c r="P6" s="50"/>
      <c r="Q6" s="51" t="s">
        <v>2881</v>
      </c>
      <c r="R6" s="51">
        <f>L4/Q4</f>
        <v>37558.129558129556</v>
      </c>
      <c r="S6" s="48"/>
      <c r="T6" s="48" t="s">
        <v>2882</v>
      </c>
      <c r="U6" s="52">
        <f>L4/Q4/43560</f>
        <v>0.86221601373116519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  <row r="16" spans="1:34" x14ac:dyDescent="0.3">
      <c r="A16" s="75" t="s">
        <v>2249</v>
      </c>
      <c r="B16" s="19" t="s">
        <v>2246</v>
      </c>
      <c r="C16" s="19" t="s">
        <v>2247</v>
      </c>
      <c r="D16" s="20">
        <v>45105</v>
      </c>
      <c r="E16" s="21">
        <v>430000</v>
      </c>
      <c r="F16" s="19" t="s">
        <v>32</v>
      </c>
      <c r="G16" s="19" t="s">
        <v>33</v>
      </c>
      <c r="H16" s="21">
        <v>430000</v>
      </c>
      <c r="I16" s="21">
        <v>205400</v>
      </c>
      <c r="J16" s="22">
        <f>I16/H16*100</f>
        <v>47.767441860465112</v>
      </c>
      <c r="K16" s="21">
        <v>483960</v>
      </c>
      <c r="L16" s="21">
        <f>H16-417920</f>
        <v>12080</v>
      </c>
      <c r="M16" s="21">
        <v>66040</v>
      </c>
      <c r="N16" s="67">
        <f>M16/E16</f>
        <v>0.15358139534883722</v>
      </c>
      <c r="O16" s="23">
        <v>0</v>
      </c>
      <c r="P16" s="24">
        <v>0</v>
      </c>
      <c r="Q16" s="25">
        <v>3.302</v>
      </c>
      <c r="R16" s="25">
        <v>3.302</v>
      </c>
      <c r="S16" s="21" t="e">
        <f>L16/O16</f>
        <v>#DIV/0!</v>
      </c>
      <c r="T16" s="21">
        <f>L16/Q16</f>
        <v>3658.3888552392491</v>
      </c>
      <c r="U16" s="26">
        <f>L16/Q16/43560</f>
        <v>8.3985051773169173E-2</v>
      </c>
      <c r="V16" s="25">
        <v>0</v>
      </c>
      <c r="W16" s="25">
        <f>0.2*E16</f>
        <v>86000</v>
      </c>
      <c r="X16" s="25"/>
      <c r="Y16" s="27" t="s">
        <v>2248</v>
      </c>
      <c r="Z16" s="19" t="s">
        <v>35</v>
      </c>
      <c r="AA16" s="19" t="s">
        <v>35</v>
      </c>
      <c r="AB16" s="19" t="s">
        <v>2249</v>
      </c>
      <c r="AC16" s="19">
        <v>0</v>
      </c>
      <c r="AD16" s="19">
        <v>1</v>
      </c>
      <c r="AE16" s="19" t="s">
        <v>37</v>
      </c>
      <c r="AF16" s="19" t="s">
        <v>43</v>
      </c>
      <c r="AG16" s="19" t="s">
        <v>38</v>
      </c>
      <c r="AH16" s="19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>
    <tabColor rgb="FF00B050"/>
  </sheetPr>
  <dimension ref="A1:AH21"/>
  <sheetViews>
    <sheetView topLeftCell="C1" workbookViewId="0">
      <selection activeCell="J15" sqref="J15:R21"/>
    </sheetView>
  </sheetViews>
  <sheetFormatPr defaultRowHeight="14.4" x14ac:dyDescent="0.3"/>
  <cols>
    <col min="1" max="1" width="24.5546875" style="55" bestFit="1" customWidth="1" collapsed="1"/>
    <col min="2" max="2" width="17.5546875" bestFit="1" customWidth="1" collapsed="1"/>
    <col min="3" max="3" width="18.109375" bestFit="1" customWidth="1" collapsed="1"/>
    <col min="4" max="4" width="10.88671875" bestFit="1" customWidth="1" collapsed="1"/>
    <col min="5" max="5" width="11.5546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7.664062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24.554687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2318</v>
      </c>
      <c r="B2" s="19" t="s">
        <v>2324</v>
      </c>
      <c r="C2" s="19" t="s">
        <v>2325</v>
      </c>
      <c r="D2" s="20">
        <v>45426</v>
      </c>
      <c r="E2" s="21">
        <v>265000</v>
      </c>
      <c r="F2" s="19" t="s">
        <v>32</v>
      </c>
      <c r="G2" s="19" t="s">
        <v>33</v>
      </c>
      <c r="H2" s="21">
        <v>265000</v>
      </c>
      <c r="I2" s="21">
        <v>113300</v>
      </c>
      <c r="J2" s="22">
        <f t="shared" ref="J2:J11" si="0">I2/H2*100</f>
        <v>42.754716981132077</v>
      </c>
      <c r="K2" s="21">
        <v>245779</v>
      </c>
      <c r="L2" s="21">
        <f>H2-225779</f>
        <v>39221</v>
      </c>
      <c r="M2" s="21">
        <v>20000</v>
      </c>
      <c r="N2" s="67">
        <f t="shared" ref="N2:N11" si="1">M2/E2</f>
        <v>7.5471698113207544E-2</v>
      </c>
      <c r="O2" s="23">
        <v>0</v>
      </c>
      <c r="P2" s="24">
        <v>0</v>
      </c>
      <c r="Q2" s="25">
        <v>0</v>
      </c>
      <c r="R2" s="25">
        <v>0</v>
      </c>
      <c r="S2" s="21" t="e">
        <f t="shared" ref="S2:S11" si="2">L2/O2</f>
        <v>#DIV/0!</v>
      </c>
      <c r="T2" s="21" t="e">
        <f t="shared" ref="T2:T11" si="3">L2/Q2</f>
        <v>#DIV/0!</v>
      </c>
      <c r="U2" s="26" t="e">
        <f t="shared" ref="U2:U11" si="4">L2/Q2/43560</f>
        <v>#DIV/0!</v>
      </c>
      <c r="V2" s="25">
        <v>0</v>
      </c>
      <c r="W2" s="25">
        <f t="shared" ref="W2:W11" si="5">0.2*E2</f>
        <v>53000</v>
      </c>
      <c r="X2" s="25"/>
      <c r="Y2" s="27" t="s">
        <v>2317</v>
      </c>
      <c r="Z2" s="19" t="s">
        <v>35</v>
      </c>
      <c r="AA2" s="19" t="s">
        <v>35</v>
      </c>
      <c r="AB2" s="19" t="s">
        <v>2318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2319</v>
      </c>
    </row>
    <row r="3" spans="1:34" x14ac:dyDescent="0.3">
      <c r="A3" s="74" t="s">
        <v>2318</v>
      </c>
      <c r="B3" s="10" t="s">
        <v>2328</v>
      </c>
      <c r="C3" s="10" t="s">
        <v>2329</v>
      </c>
      <c r="D3" s="11">
        <v>45023</v>
      </c>
      <c r="E3" s="12">
        <v>260000</v>
      </c>
      <c r="F3" s="10" t="s">
        <v>32</v>
      </c>
      <c r="G3" s="10" t="s">
        <v>33</v>
      </c>
      <c r="H3" s="12">
        <v>260000</v>
      </c>
      <c r="I3" s="12">
        <v>89500</v>
      </c>
      <c r="J3" s="13">
        <f t="shared" si="0"/>
        <v>34.42307692307692</v>
      </c>
      <c r="K3" s="12">
        <v>239082</v>
      </c>
      <c r="L3" s="12">
        <f>H3-219082</f>
        <v>40918</v>
      </c>
      <c r="M3" s="12">
        <v>20000</v>
      </c>
      <c r="N3" s="66">
        <f t="shared" si="1"/>
        <v>7.6923076923076927E-2</v>
      </c>
      <c r="O3" s="14">
        <v>0</v>
      </c>
      <c r="P3" s="15">
        <v>0</v>
      </c>
      <c r="Q3" s="16">
        <v>0</v>
      </c>
      <c r="R3" s="16">
        <v>0</v>
      </c>
      <c r="S3" s="12" t="e">
        <f t="shared" si="2"/>
        <v>#DIV/0!</v>
      </c>
      <c r="T3" s="12" t="e">
        <f t="shared" si="3"/>
        <v>#DIV/0!</v>
      </c>
      <c r="U3" s="17" t="e">
        <f t="shared" si="4"/>
        <v>#DIV/0!</v>
      </c>
      <c r="V3" s="16">
        <v>0</v>
      </c>
      <c r="W3" s="16">
        <f t="shared" si="5"/>
        <v>52000</v>
      </c>
      <c r="X3" s="16"/>
      <c r="Y3" s="18" t="s">
        <v>2317</v>
      </c>
      <c r="Z3" s="10" t="s">
        <v>35</v>
      </c>
      <c r="AA3" s="10" t="s">
        <v>35</v>
      </c>
      <c r="AB3" s="10" t="s">
        <v>2318</v>
      </c>
      <c r="AC3" s="10">
        <v>0</v>
      </c>
      <c r="AD3" s="10">
        <v>1</v>
      </c>
      <c r="AE3" s="10" t="s">
        <v>412</v>
      </c>
      <c r="AF3" s="10" t="s">
        <v>43</v>
      </c>
      <c r="AG3" s="10" t="s">
        <v>38</v>
      </c>
      <c r="AH3" s="10" t="s">
        <v>2319</v>
      </c>
    </row>
    <row r="4" spans="1:34" x14ac:dyDescent="0.3">
      <c r="A4" s="75" t="s">
        <v>2318</v>
      </c>
      <c r="B4" s="19" t="s">
        <v>2330</v>
      </c>
      <c r="C4" s="19" t="s">
        <v>2331</v>
      </c>
      <c r="D4" s="20">
        <v>45519</v>
      </c>
      <c r="E4" s="21">
        <v>260000</v>
      </c>
      <c r="F4" s="19" t="s">
        <v>32</v>
      </c>
      <c r="G4" s="19" t="s">
        <v>33</v>
      </c>
      <c r="H4" s="21">
        <v>260000</v>
      </c>
      <c r="I4" s="21">
        <v>111600</v>
      </c>
      <c r="J4" s="22">
        <f t="shared" si="0"/>
        <v>42.923076923076927</v>
      </c>
      <c r="K4" s="21">
        <v>241986</v>
      </c>
      <c r="L4" s="21">
        <f>H4-221986</f>
        <v>38014</v>
      </c>
      <c r="M4" s="21">
        <v>20000</v>
      </c>
      <c r="N4" s="67">
        <f t="shared" si="1"/>
        <v>7.6923076923076927E-2</v>
      </c>
      <c r="O4" s="23">
        <v>0</v>
      </c>
      <c r="P4" s="24">
        <v>0</v>
      </c>
      <c r="Q4" s="25">
        <v>0</v>
      </c>
      <c r="R4" s="25">
        <v>0</v>
      </c>
      <c r="S4" s="21" t="e">
        <f t="shared" si="2"/>
        <v>#DIV/0!</v>
      </c>
      <c r="T4" s="21" t="e">
        <f t="shared" si="3"/>
        <v>#DIV/0!</v>
      </c>
      <c r="U4" s="26" t="e">
        <f t="shared" si="4"/>
        <v>#DIV/0!</v>
      </c>
      <c r="V4" s="25">
        <v>0</v>
      </c>
      <c r="W4" s="25">
        <f t="shared" si="5"/>
        <v>52000</v>
      </c>
      <c r="X4" s="25"/>
      <c r="Y4" s="27" t="s">
        <v>2317</v>
      </c>
      <c r="Z4" s="19" t="s">
        <v>35</v>
      </c>
      <c r="AA4" s="19" t="s">
        <v>35</v>
      </c>
      <c r="AB4" s="19" t="s">
        <v>2318</v>
      </c>
      <c r="AC4" s="19">
        <v>0</v>
      </c>
      <c r="AD4" s="19">
        <v>1</v>
      </c>
      <c r="AE4" s="19" t="s">
        <v>412</v>
      </c>
      <c r="AF4" s="19" t="s">
        <v>43</v>
      </c>
      <c r="AG4" s="19" t="s">
        <v>38</v>
      </c>
      <c r="AH4" s="19" t="s">
        <v>2319</v>
      </c>
    </row>
    <row r="5" spans="1:34" x14ac:dyDescent="0.3">
      <c r="A5" s="75" t="s">
        <v>2318</v>
      </c>
      <c r="B5" s="19" t="s">
        <v>2332</v>
      </c>
      <c r="C5" s="19" t="s">
        <v>2333</v>
      </c>
      <c r="D5" s="20">
        <v>45212</v>
      </c>
      <c r="E5" s="21">
        <v>254500</v>
      </c>
      <c r="F5" s="19" t="s">
        <v>32</v>
      </c>
      <c r="G5" s="19" t="s">
        <v>33</v>
      </c>
      <c r="H5" s="21">
        <v>254500</v>
      </c>
      <c r="I5" s="21">
        <v>100600</v>
      </c>
      <c r="J5" s="22">
        <f t="shared" si="0"/>
        <v>39.528487229862478</v>
      </c>
      <c r="K5" s="21">
        <v>270021</v>
      </c>
      <c r="L5" s="21">
        <f>H5-250021</f>
        <v>4479</v>
      </c>
      <c r="M5" s="21">
        <v>20000</v>
      </c>
      <c r="N5" s="67">
        <f t="shared" si="1"/>
        <v>7.8585461689587424E-2</v>
      </c>
      <c r="O5" s="23">
        <v>0</v>
      </c>
      <c r="P5" s="24">
        <v>0</v>
      </c>
      <c r="Q5" s="25">
        <v>0</v>
      </c>
      <c r="R5" s="25">
        <v>0</v>
      </c>
      <c r="S5" s="21" t="e">
        <f t="shared" si="2"/>
        <v>#DIV/0!</v>
      </c>
      <c r="T5" s="21" t="e">
        <f t="shared" si="3"/>
        <v>#DIV/0!</v>
      </c>
      <c r="U5" s="26" t="e">
        <f t="shared" si="4"/>
        <v>#DIV/0!</v>
      </c>
      <c r="V5" s="25">
        <v>0</v>
      </c>
      <c r="W5" s="25">
        <f t="shared" si="5"/>
        <v>50900</v>
      </c>
      <c r="X5" s="25"/>
      <c r="Y5" s="27" t="s">
        <v>2317</v>
      </c>
      <c r="Z5" s="19" t="s">
        <v>35</v>
      </c>
      <c r="AA5" s="19" t="s">
        <v>35</v>
      </c>
      <c r="AB5" s="19" t="s">
        <v>2318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2319</v>
      </c>
    </row>
    <row r="6" spans="1:34" x14ac:dyDescent="0.3">
      <c r="A6" s="75" t="s">
        <v>2318</v>
      </c>
      <c r="B6" s="19" t="s">
        <v>2322</v>
      </c>
      <c r="C6" s="19" t="s">
        <v>2323</v>
      </c>
      <c r="D6" s="20">
        <v>45580</v>
      </c>
      <c r="E6" s="21">
        <v>250000</v>
      </c>
      <c r="F6" s="19" t="s">
        <v>32</v>
      </c>
      <c r="G6" s="19" t="s">
        <v>33</v>
      </c>
      <c r="H6" s="21">
        <v>250000</v>
      </c>
      <c r="I6" s="21">
        <v>126700</v>
      </c>
      <c r="J6" s="22">
        <f t="shared" si="0"/>
        <v>50.68</v>
      </c>
      <c r="K6" s="21">
        <v>275771</v>
      </c>
      <c r="L6" s="21">
        <f>H6-255771</f>
        <v>-5771</v>
      </c>
      <c r="M6" s="21">
        <v>20000</v>
      </c>
      <c r="N6" s="67">
        <f t="shared" si="1"/>
        <v>0.08</v>
      </c>
      <c r="O6" s="23">
        <v>0</v>
      </c>
      <c r="P6" s="24">
        <v>0</v>
      </c>
      <c r="Q6" s="25">
        <v>0</v>
      </c>
      <c r="R6" s="25">
        <v>0</v>
      </c>
      <c r="S6" s="21" t="e">
        <f t="shared" si="2"/>
        <v>#DIV/0!</v>
      </c>
      <c r="T6" s="21" t="e">
        <f t="shared" si="3"/>
        <v>#DIV/0!</v>
      </c>
      <c r="U6" s="26" t="e">
        <f t="shared" si="4"/>
        <v>#DIV/0!</v>
      </c>
      <c r="V6" s="25">
        <v>0</v>
      </c>
      <c r="W6" s="25">
        <f t="shared" si="5"/>
        <v>50000</v>
      </c>
      <c r="X6" s="25"/>
      <c r="Y6" s="27" t="s">
        <v>2317</v>
      </c>
      <c r="Z6" s="19" t="s">
        <v>35</v>
      </c>
      <c r="AA6" s="19" t="s">
        <v>35</v>
      </c>
      <c r="AB6" s="19" t="s">
        <v>2318</v>
      </c>
      <c r="AC6" s="19">
        <v>0</v>
      </c>
      <c r="AD6" s="19">
        <v>1</v>
      </c>
      <c r="AE6" s="19" t="s">
        <v>37</v>
      </c>
      <c r="AF6" s="19" t="s">
        <v>35</v>
      </c>
      <c r="AG6" s="19" t="s">
        <v>38</v>
      </c>
      <c r="AH6" s="19" t="s">
        <v>2319</v>
      </c>
    </row>
    <row r="7" spans="1:34" x14ac:dyDescent="0.3">
      <c r="A7" s="74" t="s">
        <v>2318</v>
      </c>
      <c r="B7" s="10" t="s">
        <v>2336</v>
      </c>
      <c r="C7" s="10" t="s">
        <v>2337</v>
      </c>
      <c r="D7" s="11">
        <v>45583</v>
      </c>
      <c r="E7" s="12">
        <v>240000</v>
      </c>
      <c r="F7" s="10" t="s">
        <v>32</v>
      </c>
      <c r="G7" s="10" t="s">
        <v>33</v>
      </c>
      <c r="H7" s="12">
        <v>240000</v>
      </c>
      <c r="I7" s="12">
        <v>99800</v>
      </c>
      <c r="J7" s="13">
        <f t="shared" si="0"/>
        <v>41.583333333333336</v>
      </c>
      <c r="K7" s="12">
        <v>217497</v>
      </c>
      <c r="L7" s="12">
        <f>H7-197497</f>
        <v>42503</v>
      </c>
      <c r="M7" s="12">
        <v>20000</v>
      </c>
      <c r="N7" s="66">
        <f t="shared" si="1"/>
        <v>8.3333333333333329E-2</v>
      </c>
      <c r="O7" s="14">
        <v>0</v>
      </c>
      <c r="P7" s="15">
        <v>0</v>
      </c>
      <c r="Q7" s="16">
        <v>0</v>
      </c>
      <c r="R7" s="16">
        <v>0</v>
      </c>
      <c r="S7" s="12" t="e">
        <f t="shared" si="2"/>
        <v>#DIV/0!</v>
      </c>
      <c r="T7" s="12" t="e">
        <f t="shared" si="3"/>
        <v>#DIV/0!</v>
      </c>
      <c r="U7" s="17" t="e">
        <f t="shared" si="4"/>
        <v>#DIV/0!</v>
      </c>
      <c r="V7" s="16">
        <v>0</v>
      </c>
      <c r="W7" s="16">
        <f t="shared" si="5"/>
        <v>48000</v>
      </c>
      <c r="X7" s="16"/>
      <c r="Y7" s="18" t="s">
        <v>2317</v>
      </c>
      <c r="Z7" s="10" t="s">
        <v>35</v>
      </c>
      <c r="AA7" s="10" t="s">
        <v>35</v>
      </c>
      <c r="AB7" s="10" t="s">
        <v>2318</v>
      </c>
      <c r="AC7" s="10">
        <v>0</v>
      </c>
      <c r="AD7" s="10">
        <v>1</v>
      </c>
      <c r="AE7" s="10" t="s">
        <v>412</v>
      </c>
      <c r="AF7" s="10" t="s">
        <v>35</v>
      </c>
      <c r="AG7" s="10" t="s">
        <v>38</v>
      </c>
      <c r="AH7" s="10" t="s">
        <v>2319</v>
      </c>
    </row>
    <row r="8" spans="1:34" x14ac:dyDescent="0.3">
      <c r="A8" s="74" t="s">
        <v>2318</v>
      </c>
      <c r="B8" s="10" t="s">
        <v>2334</v>
      </c>
      <c r="C8" s="10" t="s">
        <v>2335</v>
      </c>
      <c r="D8" s="11">
        <v>45030</v>
      </c>
      <c r="E8" s="12">
        <v>234500</v>
      </c>
      <c r="F8" s="10" t="s">
        <v>32</v>
      </c>
      <c r="G8" s="10" t="s">
        <v>33</v>
      </c>
      <c r="H8" s="12">
        <v>234500</v>
      </c>
      <c r="I8" s="12">
        <v>91900</v>
      </c>
      <c r="J8" s="13">
        <f t="shared" si="0"/>
        <v>39.18976545842218</v>
      </c>
      <c r="K8" s="12">
        <v>245633</v>
      </c>
      <c r="L8" s="12">
        <f>H8-225633</f>
        <v>8867</v>
      </c>
      <c r="M8" s="12">
        <v>20000</v>
      </c>
      <c r="N8" s="66">
        <f t="shared" si="1"/>
        <v>8.5287846481876331E-2</v>
      </c>
      <c r="O8" s="14">
        <v>0</v>
      </c>
      <c r="P8" s="15">
        <v>0</v>
      </c>
      <c r="Q8" s="16">
        <v>0</v>
      </c>
      <c r="R8" s="16">
        <v>0</v>
      </c>
      <c r="S8" s="12" t="e">
        <f t="shared" si="2"/>
        <v>#DIV/0!</v>
      </c>
      <c r="T8" s="12" t="e">
        <f t="shared" si="3"/>
        <v>#DIV/0!</v>
      </c>
      <c r="U8" s="17" t="e">
        <f t="shared" si="4"/>
        <v>#DIV/0!</v>
      </c>
      <c r="V8" s="16">
        <v>0</v>
      </c>
      <c r="W8" s="16">
        <f t="shared" si="5"/>
        <v>46900</v>
      </c>
      <c r="X8" s="16"/>
      <c r="Y8" s="18" t="s">
        <v>2317</v>
      </c>
      <c r="Z8" s="10" t="s">
        <v>35</v>
      </c>
      <c r="AA8" s="10" t="s">
        <v>35</v>
      </c>
      <c r="AB8" s="10" t="s">
        <v>2318</v>
      </c>
      <c r="AC8" s="10">
        <v>0</v>
      </c>
      <c r="AD8" s="10">
        <v>1</v>
      </c>
      <c r="AE8" s="10" t="s">
        <v>37</v>
      </c>
      <c r="AF8" s="10" t="s">
        <v>43</v>
      </c>
      <c r="AG8" s="10" t="s">
        <v>38</v>
      </c>
      <c r="AH8" s="10" t="s">
        <v>2319</v>
      </c>
    </row>
    <row r="9" spans="1:34" x14ac:dyDescent="0.3">
      <c r="A9" s="74" t="s">
        <v>2318</v>
      </c>
      <c r="B9" s="10" t="s">
        <v>2320</v>
      </c>
      <c r="C9" s="10" t="s">
        <v>2321</v>
      </c>
      <c r="D9" s="11">
        <v>45730</v>
      </c>
      <c r="E9" s="12">
        <v>233500</v>
      </c>
      <c r="F9" s="10" t="s">
        <v>32</v>
      </c>
      <c r="G9" s="10" t="s">
        <v>33</v>
      </c>
      <c r="H9" s="12">
        <v>233500</v>
      </c>
      <c r="I9" s="12">
        <v>96600</v>
      </c>
      <c r="J9" s="13">
        <f t="shared" si="0"/>
        <v>41.37044967880086</v>
      </c>
      <c r="K9" s="12">
        <v>210594</v>
      </c>
      <c r="L9" s="12">
        <f>H9-190594</f>
        <v>42906</v>
      </c>
      <c r="M9" s="12">
        <v>20000</v>
      </c>
      <c r="N9" s="66">
        <f t="shared" si="1"/>
        <v>8.5653104925053528E-2</v>
      </c>
      <c r="O9" s="14">
        <v>0</v>
      </c>
      <c r="P9" s="15">
        <v>0</v>
      </c>
      <c r="Q9" s="16">
        <v>0</v>
      </c>
      <c r="R9" s="16">
        <v>0</v>
      </c>
      <c r="S9" s="12" t="e">
        <f t="shared" si="2"/>
        <v>#DIV/0!</v>
      </c>
      <c r="T9" s="12" t="e">
        <f t="shared" si="3"/>
        <v>#DIV/0!</v>
      </c>
      <c r="U9" s="17" t="e">
        <f t="shared" si="4"/>
        <v>#DIV/0!</v>
      </c>
      <c r="V9" s="16">
        <v>0</v>
      </c>
      <c r="W9" s="16">
        <f t="shared" si="5"/>
        <v>46700</v>
      </c>
      <c r="X9" s="16"/>
      <c r="Y9" s="18" t="s">
        <v>2317</v>
      </c>
      <c r="Z9" s="10" t="s">
        <v>35</v>
      </c>
      <c r="AA9" s="10" t="s">
        <v>35</v>
      </c>
      <c r="AB9" s="10" t="s">
        <v>2318</v>
      </c>
      <c r="AC9" s="10">
        <v>0</v>
      </c>
      <c r="AD9" s="10">
        <v>1</v>
      </c>
      <c r="AE9" s="10" t="s">
        <v>412</v>
      </c>
      <c r="AF9" s="10" t="s">
        <v>35</v>
      </c>
      <c r="AG9" s="10" t="s">
        <v>38</v>
      </c>
      <c r="AH9" s="10" t="s">
        <v>2319</v>
      </c>
    </row>
    <row r="10" spans="1:34" x14ac:dyDescent="0.3">
      <c r="A10" s="74" t="s">
        <v>2318</v>
      </c>
      <c r="B10" s="10" t="s">
        <v>2315</v>
      </c>
      <c r="C10" s="10" t="s">
        <v>2316</v>
      </c>
      <c r="D10" s="11">
        <v>45434</v>
      </c>
      <c r="E10" s="12">
        <v>220000</v>
      </c>
      <c r="F10" s="10" t="s">
        <v>32</v>
      </c>
      <c r="G10" s="10" t="s">
        <v>33</v>
      </c>
      <c r="H10" s="12">
        <v>220000</v>
      </c>
      <c r="I10" s="12">
        <v>96800</v>
      </c>
      <c r="J10" s="13">
        <f t="shared" si="0"/>
        <v>44</v>
      </c>
      <c r="K10" s="12">
        <v>211058</v>
      </c>
      <c r="L10" s="12">
        <f>H10-191058</f>
        <v>28942</v>
      </c>
      <c r="M10" s="12">
        <v>20000</v>
      </c>
      <c r="N10" s="66">
        <f t="shared" si="1"/>
        <v>9.0909090909090912E-2</v>
      </c>
      <c r="O10" s="14">
        <v>0</v>
      </c>
      <c r="P10" s="15">
        <v>0</v>
      </c>
      <c r="Q10" s="16">
        <v>1</v>
      </c>
      <c r="R10" s="16">
        <v>0</v>
      </c>
      <c r="S10" s="12" t="e">
        <f t="shared" si="2"/>
        <v>#DIV/0!</v>
      </c>
      <c r="T10" s="12">
        <f t="shared" si="3"/>
        <v>28942</v>
      </c>
      <c r="U10" s="17">
        <f t="shared" si="4"/>
        <v>0.66441689623507805</v>
      </c>
      <c r="V10" s="16">
        <v>0</v>
      </c>
      <c r="W10" s="16">
        <f t="shared" si="5"/>
        <v>44000</v>
      </c>
      <c r="X10" s="16"/>
      <c r="Y10" s="18" t="s">
        <v>2317</v>
      </c>
      <c r="Z10" s="10" t="s">
        <v>35</v>
      </c>
      <c r="AA10" s="10" t="s">
        <v>35</v>
      </c>
      <c r="AB10" s="10" t="s">
        <v>2318</v>
      </c>
      <c r="AC10" s="10">
        <v>0</v>
      </c>
      <c r="AD10" s="10">
        <v>1</v>
      </c>
      <c r="AE10" s="10" t="s">
        <v>412</v>
      </c>
      <c r="AF10" s="10" t="s">
        <v>43</v>
      </c>
      <c r="AG10" s="10" t="s">
        <v>38</v>
      </c>
      <c r="AH10" s="10" t="s">
        <v>2319</v>
      </c>
    </row>
    <row r="11" spans="1:34" ht="15" thickBot="1" x14ac:dyDescent="0.35">
      <c r="A11" s="74" t="s">
        <v>2318</v>
      </c>
      <c r="B11" s="10" t="s">
        <v>2326</v>
      </c>
      <c r="C11" s="10" t="s">
        <v>2327</v>
      </c>
      <c r="D11" s="11">
        <v>45583</v>
      </c>
      <c r="E11" s="12">
        <v>175000</v>
      </c>
      <c r="F11" s="10" t="s">
        <v>81</v>
      </c>
      <c r="G11" s="10" t="s">
        <v>33</v>
      </c>
      <c r="H11" s="12">
        <v>175000</v>
      </c>
      <c r="I11" s="12">
        <v>99800</v>
      </c>
      <c r="J11" s="13">
        <f t="shared" si="0"/>
        <v>57.028571428571425</v>
      </c>
      <c r="K11" s="12">
        <v>217736</v>
      </c>
      <c r="L11" s="12">
        <f>H11-197736</f>
        <v>-22736</v>
      </c>
      <c r="M11" s="12">
        <v>20000</v>
      </c>
      <c r="N11" s="66">
        <f t="shared" si="1"/>
        <v>0.11428571428571428</v>
      </c>
      <c r="O11" s="14">
        <v>0</v>
      </c>
      <c r="P11" s="15">
        <v>0</v>
      </c>
      <c r="Q11" s="16">
        <v>0</v>
      </c>
      <c r="R11" s="16">
        <v>0</v>
      </c>
      <c r="S11" s="12" t="e">
        <f t="shared" si="2"/>
        <v>#DIV/0!</v>
      </c>
      <c r="T11" s="12" t="e">
        <f t="shared" si="3"/>
        <v>#DIV/0!</v>
      </c>
      <c r="U11" s="17" t="e">
        <f t="shared" si="4"/>
        <v>#DIV/0!</v>
      </c>
      <c r="V11" s="16">
        <v>0</v>
      </c>
      <c r="W11" s="16">
        <f t="shared" si="5"/>
        <v>35000</v>
      </c>
      <c r="X11" s="16"/>
      <c r="Y11" s="18" t="s">
        <v>2317</v>
      </c>
      <c r="Z11" s="10" t="s">
        <v>35</v>
      </c>
      <c r="AA11" s="10" t="s">
        <v>35</v>
      </c>
      <c r="AB11" s="10" t="s">
        <v>2318</v>
      </c>
      <c r="AC11" s="10">
        <v>0</v>
      </c>
      <c r="AD11" s="10">
        <v>1</v>
      </c>
      <c r="AE11" s="10" t="s">
        <v>37</v>
      </c>
      <c r="AF11" s="10" t="s">
        <v>35</v>
      </c>
      <c r="AG11" s="10" t="s">
        <v>38</v>
      </c>
      <c r="AH11" s="10" t="s">
        <v>2319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2392500</v>
      </c>
      <c r="F12" s="37"/>
      <c r="G12" s="37"/>
      <c r="H12" s="39">
        <f>+SUM(H2:H11)</f>
        <v>2392500</v>
      </c>
      <c r="I12" s="39">
        <f>+SUM(I2:I11)</f>
        <v>1026600</v>
      </c>
      <c r="J12" s="40"/>
      <c r="K12" s="39">
        <f>+SUM(K2:K11)</f>
        <v>2375157</v>
      </c>
      <c r="L12" s="39">
        <f>+SUM(L2:L11)</f>
        <v>217343</v>
      </c>
      <c r="M12" s="39">
        <f>+SUM(M2:M11)</f>
        <v>200000</v>
      </c>
      <c r="N12" s="81">
        <f>AVERAGE(N2:N11)</f>
        <v>8.4737240358401716E-2</v>
      </c>
      <c r="O12" s="41">
        <f>+SUM(O2:O11)</f>
        <v>0</v>
      </c>
      <c r="P12" s="42"/>
      <c r="Q12" s="43">
        <f>+SUM(Q2:Q11)</f>
        <v>1</v>
      </c>
      <c r="R12" s="43">
        <f>+SUM(R2:R11)</f>
        <v>0</v>
      </c>
      <c r="S12" s="39"/>
      <c r="T12" s="39"/>
      <c r="U12" s="44"/>
      <c r="V12" s="43"/>
      <c r="W12" s="82">
        <f>AVERAGE(W2:W11)</f>
        <v>47850</v>
      </c>
      <c r="X12" s="83" t="e">
        <f>AVERAGE(X2:X11)</f>
        <v>#DIV/0!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42.909090909090907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6.3283533465219586</v>
      </c>
      <c r="K14" s="48"/>
      <c r="L14" s="48"/>
      <c r="M14" s="48" t="s">
        <v>2880</v>
      </c>
      <c r="N14" s="80"/>
      <c r="O14" s="54" t="e">
        <f>L12/O12</f>
        <v>#DIV/0!</v>
      </c>
      <c r="P14" s="50"/>
      <c r="Q14" s="51" t="s">
        <v>2881</v>
      </c>
      <c r="R14" s="51">
        <f>L12/Q12</f>
        <v>217343</v>
      </c>
      <c r="S14" s="48"/>
      <c r="T14" s="48" t="s">
        <v>2882</v>
      </c>
      <c r="U14" s="52">
        <f>L12/Q12/43560</f>
        <v>4.9895087235996325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255">
        <f>AVERAGE(E2:E11)</f>
        <v>239250</v>
      </c>
      <c r="F15" s="96"/>
      <c r="G15" s="96"/>
      <c r="H15" s="96"/>
      <c r="I15" s="96"/>
      <c r="K15" s="94" t="s">
        <v>3099</v>
      </c>
      <c r="N15"/>
      <c r="R15" s="95"/>
    </row>
    <row r="16" spans="1:34" x14ac:dyDescent="0.3">
      <c r="E16" s="256" t="s">
        <v>3192</v>
      </c>
      <c r="K16" s="383" t="s">
        <v>3163</v>
      </c>
      <c r="L16" s="383"/>
      <c r="M16" s="383"/>
      <c r="N16" s="383"/>
      <c r="O16" s="383"/>
      <c r="P16" s="383"/>
      <c r="Q16" s="383"/>
      <c r="R16" s="383"/>
    </row>
    <row r="17" spans="5:18" x14ac:dyDescent="0.3">
      <c r="E17" s="257">
        <f>E15*0.2</f>
        <v>47850</v>
      </c>
      <c r="K17" s="383" t="s">
        <v>3164</v>
      </c>
      <c r="L17" s="383"/>
      <c r="M17" s="383"/>
      <c r="N17" s="383"/>
      <c r="O17" s="383"/>
      <c r="P17" s="383"/>
      <c r="Q17" s="383"/>
      <c r="R17" s="383"/>
    </row>
    <row r="18" spans="5:18" x14ac:dyDescent="0.3">
      <c r="K18" s="383" t="s">
        <v>3165</v>
      </c>
      <c r="L18" s="383"/>
      <c r="M18" s="383"/>
      <c r="N18" s="383"/>
      <c r="O18" s="383"/>
      <c r="P18" s="383"/>
      <c r="Q18" s="383"/>
      <c r="R18" s="383"/>
    </row>
    <row r="19" spans="5:18" x14ac:dyDescent="0.3">
      <c r="K19" s="383" t="s">
        <v>3166</v>
      </c>
      <c r="L19" s="383"/>
      <c r="M19" s="383"/>
      <c r="N19" s="383"/>
      <c r="O19" s="383"/>
      <c r="P19" s="96"/>
      <c r="Q19" s="96"/>
      <c r="R19" s="96"/>
    </row>
    <row r="20" spans="5:18" x14ac:dyDescent="0.3">
      <c r="K20" s="383" t="s">
        <v>3167</v>
      </c>
      <c r="L20" s="383"/>
      <c r="M20" s="383"/>
      <c r="N20" s="383"/>
      <c r="O20" s="383"/>
      <c r="R20" s="95"/>
    </row>
    <row r="21" spans="5:18" x14ac:dyDescent="0.3">
      <c r="K21" s="383" t="s">
        <v>3100</v>
      </c>
      <c r="L21" s="383"/>
      <c r="M21" s="383"/>
      <c r="N21" s="383"/>
      <c r="O21" s="383"/>
      <c r="R21" s="95"/>
    </row>
  </sheetData>
  <sortState xmlns:xlrd2="http://schemas.microsoft.com/office/spreadsheetml/2017/richdata2" ref="A2:AH11">
    <sortCondition ref="S2:S11"/>
  </sortState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3">
    <tabColor rgb="FF00B050"/>
  </sheetPr>
  <dimension ref="A1:AH15"/>
  <sheetViews>
    <sheetView workbookViewId="0">
      <selection activeCell="D7" sqref="D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7.441406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554687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2253</v>
      </c>
      <c r="B2" s="10" t="s">
        <v>2250</v>
      </c>
      <c r="C2" s="10" t="s">
        <v>2251</v>
      </c>
      <c r="D2" s="11">
        <v>45616</v>
      </c>
      <c r="E2" s="12">
        <v>250000</v>
      </c>
      <c r="F2" s="10" t="s">
        <v>32</v>
      </c>
      <c r="G2" s="10" t="s">
        <v>33</v>
      </c>
      <c r="H2" s="12">
        <v>250000</v>
      </c>
      <c r="I2" s="12">
        <v>204700</v>
      </c>
      <c r="J2" s="13">
        <f>I2/H2*100</f>
        <v>81.88</v>
      </c>
      <c r="K2" s="12">
        <v>430113</v>
      </c>
      <c r="L2" s="12">
        <f>H2-407431</f>
        <v>-157431</v>
      </c>
      <c r="M2" s="12">
        <v>22682</v>
      </c>
      <c r="N2" s="66">
        <f>M2/E2</f>
        <v>9.0728000000000003E-2</v>
      </c>
      <c r="O2" s="14">
        <v>82.48</v>
      </c>
      <c r="P2" s="15">
        <v>143.5</v>
      </c>
      <c r="Q2" s="16">
        <v>0.26400000000000001</v>
      </c>
      <c r="R2" s="16">
        <v>0.26400000000000001</v>
      </c>
      <c r="S2" s="12">
        <f>L2/O2</f>
        <v>-1908.7172647914645</v>
      </c>
      <c r="T2" s="12">
        <f>L2/Q2</f>
        <v>-596329.54545454541</v>
      </c>
      <c r="U2" s="17">
        <f>L2/Q2/43560</f>
        <v>-13.689842641288921</v>
      </c>
      <c r="V2" s="16">
        <v>80</v>
      </c>
      <c r="W2" s="16">
        <f>0.2*E2</f>
        <v>50000</v>
      </c>
      <c r="X2" s="16">
        <f>W2/V2</f>
        <v>625</v>
      </c>
      <c r="Y2" s="18" t="s">
        <v>2252</v>
      </c>
      <c r="Z2" s="10" t="s">
        <v>35</v>
      </c>
      <c r="AA2" s="10" t="s">
        <v>35</v>
      </c>
      <c r="AB2" s="10" t="s">
        <v>2253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38</v>
      </c>
      <c r="AH2" s="10" t="s">
        <v>92</v>
      </c>
    </row>
    <row r="3" spans="1:34" ht="15" thickBot="1" x14ac:dyDescent="0.35">
      <c r="A3" s="74" t="s">
        <v>2253</v>
      </c>
      <c r="B3" s="10" t="s">
        <v>2254</v>
      </c>
      <c r="C3" s="10" t="s">
        <v>2255</v>
      </c>
      <c r="D3" s="11">
        <v>45481</v>
      </c>
      <c r="E3" s="12">
        <v>410000</v>
      </c>
      <c r="F3" s="10" t="s">
        <v>32</v>
      </c>
      <c r="G3" s="10" t="s">
        <v>33</v>
      </c>
      <c r="H3" s="12">
        <v>410000</v>
      </c>
      <c r="I3" s="12">
        <v>217900</v>
      </c>
      <c r="J3" s="13">
        <f>I3/H3*100</f>
        <v>53.146341463414636</v>
      </c>
      <c r="K3" s="12">
        <v>457268</v>
      </c>
      <c r="L3" s="12">
        <f>H3-436682</f>
        <v>-26682</v>
      </c>
      <c r="M3" s="12">
        <v>20586</v>
      </c>
      <c r="N3" s="66">
        <f>M3/E3</f>
        <v>5.0209756097560974E-2</v>
      </c>
      <c r="O3" s="14">
        <v>74.849999999999994</v>
      </c>
      <c r="P3" s="15">
        <v>260.3</v>
      </c>
      <c r="Q3" s="16">
        <v>0.32200000000000001</v>
      </c>
      <c r="R3" s="16">
        <v>0.32200000000000001</v>
      </c>
      <c r="S3" s="12">
        <f>L3/O3</f>
        <v>-356.47294589178358</v>
      </c>
      <c r="T3" s="12">
        <f>L3/Q3</f>
        <v>-82863.354037267083</v>
      </c>
      <c r="U3" s="17">
        <f>L3/Q3/43560</f>
        <v>-1.902280854850025</v>
      </c>
      <c r="V3" s="16">
        <v>53.91</v>
      </c>
      <c r="W3" s="16">
        <f>0.2*E3</f>
        <v>82000</v>
      </c>
      <c r="X3" s="16">
        <f>W3/V3</f>
        <v>1521.0536078649602</v>
      </c>
      <c r="Y3" s="18" t="s">
        <v>2252</v>
      </c>
      <c r="Z3" s="10" t="s">
        <v>35</v>
      </c>
      <c r="AA3" s="10" t="s">
        <v>35</v>
      </c>
      <c r="AB3" s="10" t="s">
        <v>2253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660000</v>
      </c>
      <c r="F4" s="37"/>
      <c r="G4" s="37"/>
      <c r="H4" s="39">
        <f>+SUM(H2:H3)</f>
        <v>660000</v>
      </c>
      <c r="I4" s="39">
        <f>+SUM(I2:I3)</f>
        <v>422600</v>
      </c>
      <c r="J4" s="40"/>
      <c r="K4" s="39">
        <f>+SUM(K2:K3)</f>
        <v>887381</v>
      </c>
      <c r="L4" s="39">
        <f>+SUM(L2:L3)</f>
        <v>-184113</v>
      </c>
      <c r="M4" s="39">
        <f>+SUM(M2:M3)</f>
        <v>43268</v>
      </c>
      <c r="N4" s="81">
        <f>AVERAGE(N2:N3)</f>
        <v>7.0468878048780492E-2</v>
      </c>
      <c r="O4" s="41">
        <f>+SUM(O2:O3)</f>
        <v>157.32999999999998</v>
      </c>
      <c r="P4" s="42"/>
      <c r="Q4" s="43">
        <f>+SUM(Q2:Q3)</f>
        <v>0.58600000000000008</v>
      </c>
      <c r="R4" s="43">
        <f>+SUM(R2:R3)</f>
        <v>0.58600000000000008</v>
      </c>
      <c r="S4" s="39"/>
      <c r="T4" s="39"/>
      <c r="U4" s="44"/>
      <c r="V4" s="43"/>
      <c r="W4" s="82">
        <f>AVERAGE(W2:W3)</f>
        <v>66000</v>
      </c>
      <c r="X4" s="83">
        <f>AVERAGE(X2:X3)</f>
        <v>1073.0268039324801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64.030303030303031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20.317764799518212</v>
      </c>
      <c r="K6" s="48"/>
      <c r="L6" s="48"/>
      <c r="M6" s="48" t="s">
        <v>2880</v>
      </c>
      <c r="N6" s="80"/>
      <c r="O6" s="54">
        <f>L4/O4</f>
        <v>-1170.2345388673491</v>
      </c>
      <c r="P6" s="50"/>
      <c r="Q6" s="51" t="s">
        <v>2881</v>
      </c>
      <c r="R6" s="51">
        <f>L4/Q4</f>
        <v>-314186.00682593853</v>
      </c>
      <c r="S6" s="48"/>
      <c r="T6" s="48" t="s">
        <v>2882</v>
      </c>
      <c r="U6" s="52">
        <f>L4/Q4/43560</f>
        <v>-7.2127182466928037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2">
    <tabColor rgb="FF00B050"/>
  </sheetPr>
  <dimension ref="A1:AH27"/>
  <sheetViews>
    <sheetView workbookViewId="0">
      <selection activeCell="D14" sqref="D14:L20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0.5546875" bestFit="1" customWidth="1" collapsed="1"/>
    <col min="4" max="5" width="10.88671875" bestFit="1" customWidth="1" collapsed="1"/>
    <col min="6" max="6" width="5.5546875" bestFit="1" customWidth="1" collapsed="1"/>
    <col min="7" max="7" width="30.8867187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2846</v>
      </c>
      <c r="B2" s="19" t="s">
        <v>2859</v>
      </c>
      <c r="C2" s="19" t="s">
        <v>2860</v>
      </c>
      <c r="D2" s="20">
        <v>45502</v>
      </c>
      <c r="E2" s="21">
        <v>140000</v>
      </c>
      <c r="F2" s="19" t="s">
        <v>32</v>
      </c>
      <c r="G2" s="19" t="s">
        <v>33</v>
      </c>
      <c r="H2" s="21">
        <v>140000</v>
      </c>
      <c r="I2" s="21">
        <v>70600</v>
      </c>
      <c r="J2" s="22">
        <f t="shared" ref="J2:J10" si="0">I2/H2*100</f>
        <v>50.428571428571431</v>
      </c>
      <c r="K2" s="21">
        <v>148689</v>
      </c>
      <c r="L2" s="21">
        <f>H2-142038</f>
        <v>-2038</v>
      </c>
      <c r="M2" s="21">
        <v>6651</v>
      </c>
      <c r="N2" s="67">
        <f t="shared" ref="N2:N10" si="1">M2/E2</f>
        <v>4.7507142857142859E-2</v>
      </c>
      <c r="O2" s="23">
        <v>41.56</v>
      </c>
      <c r="P2" s="24">
        <v>135</v>
      </c>
      <c r="Q2" s="25">
        <v>0.124</v>
      </c>
      <c r="R2" s="25">
        <v>0.124</v>
      </c>
      <c r="S2" s="21">
        <f t="shared" ref="S2:S10" si="2">L2/O2</f>
        <v>-49.037536092396536</v>
      </c>
      <c r="T2" s="21">
        <f t="shared" ref="T2:T10" si="3">L2/Q2</f>
        <v>-16435.483870967742</v>
      </c>
      <c r="U2" s="26">
        <f t="shared" ref="U2:U10" si="4">L2/Q2/43560</f>
        <v>-0.377306792262804</v>
      </c>
      <c r="V2" s="25">
        <v>40</v>
      </c>
      <c r="W2" s="25">
        <f t="shared" ref="W2:W10" si="5">0.2*E2</f>
        <v>28000</v>
      </c>
      <c r="X2" s="25">
        <f t="shared" ref="X2:X10" si="6">W2/V2</f>
        <v>700</v>
      </c>
      <c r="Y2" s="27" t="s">
        <v>2845</v>
      </c>
      <c r="Z2" s="19" t="s">
        <v>35</v>
      </c>
      <c r="AA2" s="19" t="s">
        <v>35</v>
      </c>
      <c r="AB2" s="19" t="s">
        <v>2846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2846</v>
      </c>
      <c r="B3" s="19" t="s">
        <v>2843</v>
      </c>
      <c r="C3" s="19" t="s">
        <v>2844</v>
      </c>
      <c r="D3" s="20">
        <v>45674</v>
      </c>
      <c r="E3" s="21">
        <v>95000</v>
      </c>
      <c r="F3" s="19" t="s">
        <v>32</v>
      </c>
      <c r="G3" s="19" t="s">
        <v>33</v>
      </c>
      <c r="H3" s="21">
        <v>95000</v>
      </c>
      <c r="I3" s="21">
        <v>41700</v>
      </c>
      <c r="J3" s="22">
        <f t="shared" si="0"/>
        <v>43.894736842105267</v>
      </c>
      <c r="K3" s="21">
        <v>90238</v>
      </c>
      <c r="L3" s="21">
        <f>H3-83147</f>
        <v>11853</v>
      </c>
      <c r="M3" s="21">
        <v>7091</v>
      </c>
      <c r="N3" s="67">
        <f t="shared" si="1"/>
        <v>7.4642105263157899E-2</v>
      </c>
      <c r="O3" s="23">
        <v>44.31</v>
      </c>
      <c r="P3" s="24">
        <v>110</v>
      </c>
      <c r="Q3" s="25">
        <v>0.124</v>
      </c>
      <c r="R3" s="25">
        <v>0.124</v>
      </c>
      <c r="S3" s="21">
        <f t="shared" si="2"/>
        <v>267.50169262017602</v>
      </c>
      <c r="T3" s="21">
        <f t="shared" si="3"/>
        <v>95588.709677419349</v>
      </c>
      <c r="U3" s="26">
        <f t="shared" si="4"/>
        <v>2.1944148227139428</v>
      </c>
      <c r="V3" s="25">
        <v>43.35</v>
      </c>
      <c r="W3" s="25">
        <f t="shared" si="5"/>
        <v>19000</v>
      </c>
      <c r="X3" s="25">
        <f t="shared" si="6"/>
        <v>438.29296424452133</v>
      </c>
      <c r="Y3" s="27" t="s">
        <v>2845</v>
      </c>
      <c r="Z3" s="19" t="s">
        <v>35</v>
      </c>
      <c r="AA3" s="19" t="s">
        <v>35</v>
      </c>
      <c r="AB3" s="19" t="s">
        <v>2846</v>
      </c>
      <c r="AC3" s="19">
        <v>0</v>
      </c>
      <c r="AD3" s="19">
        <v>0</v>
      </c>
      <c r="AE3" s="19" t="s">
        <v>42</v>
      </c>
      <c r="AF3" s="19" t="s">
        <v>35</v>
      </c>
      <c r="AG3" s="19" t="s">
        <v>38</v>
      </c>
      <c r="AH3" s="19" t="s">
        <v>92</v>
      </c>
    </row>
    <row r="4" spans="1:34" x14ac:dyDescent="0.3">
      <c r="A4" s="75" t="s">
        <v>2846</v>
      </c>
      <c r="B4" s="19" t="s">
        <v>2851</v>
      </c>
      <c r="C4" s="19" t="s">
        <v>2852</v>
      </c>
      <c r="D4" s="20">
        <v>45565</v>
      </c>
      <c r="E4" s="21">
        <v>212500</v>
      </c>
      <c r="F4" s="19" t="s">
        <v>32</v>
      </c>
      <c r="G4" s="19" t="s">
        <v>33</v>
      </c>
      <c r="H4" s="21">
        <v>212500</v>
      </c>
      <c r="I4" s="21">
        <v>90700</v>
      </c>
      <c r="J4" s="22">
        <f t="shared" si="0"/>
        <v>42.682352941176468</v>
      </c>
      <c r="K4" s="21">
        <v>190977</v>
      </c>
      <c r="L4" s="21">
        <f>H4-171397</f>
        <v>41103</v>
      </c>
      <c r="M4" s="21">
        <v>19580</v>
      </c>
      <c r="N4" s="67">
        <f t="shared" si="1"/>
        <v>9.214117647058824E-2</v>
      </c>
      <c r="O4" s="23">
        <v>122.37</v>
      </c>
      <c r="P4" s="24">
        <v>130</v>
      </c>
      <c r="Q4" s="25">
        <v>0.35799999999999998</v>
      </c>
      <c r="R4" s="25">
        <v>0.35799999999999998</v>
      </c>
      <c r="S4" s="21">
        <f t="shared" si="2"/>
        <v>335.89114979161559</v>
      </c>
      <c r="T4" s="21">
        <f t="shared" si="3"/>
        <v>114812.84916201117</v>
      </c>
      <c r="U4" s="26">
        <f t="shared" si="4"/>
        <v>2.6357403388891454</v>
      </c>
      <c r="V4" s="25">
        <v>120</v>
      </c>
      <c r="W4" s="25">
        <f t="shared" si="5"/>
        <v>42500</v>
      </c>
      <c r="X4" s="25">
        <f t="shared" si="6"/>
        <v>354.16666666666669</v>
      </c>
      <c r="Y4" s="27" t="s">
        <v>2845</v>
      </c>
      <c r="Z4" s="19" t="s">
        <v>35</v>
      </c>
      <c r="AA4" s="19" t="s">
        <v>35</v>
      </c>
      <c r="AB4" s="19" t="s">
        <v>2846</v>
      </c>
      <c r="AC4" s="19">
        <v>0</v>
      </c>
      <c r="AD4" s="19">
        <v>1</v>
      </c>
      <c r="AE4" s="19" t="s">
        <v>42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2846</v>
      </c>
      <c r="B5" s="19" t="s">
        <v>2869</v>
      </c>
      <c r="C5" s="19" t="s">
        <v>2870</v>
      </c>
      <c r="D5" s="20">
        <v>45351</v>
      </c>
      <c r="E5" s="21">
        <v>138000</v>
      </c>
      <c r="F5" s="19" t="s">
        <v>32</v>
      </c>
      <c r="G5" s="19" t="s">
        <v>33</v>
      </c>
      <c r="H5" s="21">
        <v>138000</v>
      </c>
      <c r="I5" s="21">
        <v>50500</v>
      </c>
      <c r="J5" s="22">
        <f t="shared" si="0"/>
        <v>36.594202898550726</v>
      </c>
      <c r="K5" s="21">
        <v>130008</v>
      </c>
      <c r="L5" s="21">
        <f>H5-123357</f>
        <v>14643</v>
      </c>
      <c r="M5" s="21">
        <v>6651</v>
      </c>
      <c r="N5" s="67">
        <f t="shared" si="1"/>
        <v>4.8195652173913042E-2</v>
      </c>
      <c r="O5" s="23">
        <v>41.56</v>
      </c>
      <c r="P5" s="24">
        <v>135</v>
      </c>
      <c r="Q5" s="25">
        <v>0.124</v>
      </c>
      <c r="R5" s="25">
        <v>0.124</v>
      </c>
      <c r="S5" s="21">
        <f t="shared" si="2"/>
        <v>352.33397497593836</v>
      </c>
      <c r="T5" s="21">
        <f t="shared" si="3"/>
        <v>118088.70967741935</v>
      </c>
      <c r="U5" s="26">
        <f t="shared" si="4"/>
        <v>2.7109437483337775</v>
      </c>
      <c r="V5" s="25">
        <v>40</v>
      </c>
      <c r="W5" s="25">
        <f t="shared" si="5"/>
        <v>27600</v>
      </c>
      <c r="X5" s="25">
        <f t="shared" si="6"/>
        <v>690</v>
      </c>
      <c r="Y5" s="27" t="s">
        <v>2845</v>
      </c>
      <c r="Z5" s="19" t="s">
        <v>35</v>
      </c>
      <c r="AA5" s="19" t="s">
        <v>35</v>
      </c>
      <c r="AB5" s="19" t="s">
        <v>2846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2846</v>
      </c>
      <c r="B6" s="19" t="s">
        <v>2871</v>
      </c>
      <c r="C6" s="19" t="s">
        <v>2872</v>
      </c>
      <c r="D6" s="20">
        <v>45538</v>
      </c>
      <c r="E6" s="21">
        <v>197000</v>
      </c>
      <c r="F6" s="19" t="s">
        <v>32</v>
      </c>
      <c r="G6" s="19" t="s">
        <v>33</v>
      </c>
      <c r="H6" s="21">
        <v>197000</v>
      </c>
      <c r="I6" s="21">
        <v>75300</v>
      </c>
      <c r="J6" s="22">
        <f t="shared" si="0"/>
        <v>38.223350253807112</v>
      </c>
      <c r="K6" s="21">
        <v>161957</v>
      </c>
      <c r="L6" s="21">
        <f>H6-135353</f>
        <v>61647</v>
      </c>
      <c r="M6" s="21">
        <v>26604</v>
      </c>
      <c r="N6" s="67">
        <f t="shared" si="1"/>
        <v>0.13504568527918781</v>
      </c>
      <c r="O6" s="23">
        <v>166.27</v>
      </c>
      <c r="P6" s="24">
        <v>135</v>
      </c>
      <c r="Q6" s="25">
        <v>0.496</v>
      </c>
      <c r="R6" s="25">
        <v>0.496</v>
      </c>
      <c r="S6" s="21">
        <f t="shared" si="2"/>
        <v>370.76441931797677</v>
      </c>
      <c r="T6" s="21">
        <f t="shared" si="3"/>
        <v>124288.30645161291</v>
      </c>
      <c r="U6" s="26">
        <f t="shared" si="4"/>
        <v>2.8532669066026837</v>
      </c>
      <c r="V6" s="25">
        <v>160</v>
      </c>
      <c r="W6" s="25">
        <f t="shared" si="5"/>
        <v>39400</v>
      </c>
      <c r="X6" s="25">
        <f t="shared" si="6"/>
        <v>246.25</v>
      </c>
      <c r="Y6" s="27" t="s">
        <v>2845</v>
      </c>
      <c r="Z6" s="19" t="s">
        <v>35</v>
      </c>
      <c r="AA6" s="19" t="s">
        <v>35</v>
      </c>
      <c r="AB6" s="19" t="s">
        <v>2846</v>
      </c>
      <c r="AC6" s="19">
        <v>0</v>
      </c>
      <c r="AD6" s="19">
        <v>1</v>
      </c>
      <c r="AE6" s="19" t="s">
        <v>1968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2846</v>
      </c>
      <c r="B7" s="10" t="s">
        <v>2857</v>
      </c>
      <c r="C7" s="10" t="s">
        <v>2858</v>
      </c>
      <c r="D7" s="11">
        <v>45663</v>
      </c>
      <c r="E7" s="12">
        <v>174900</v>
      </c>
      <c r="F7" s="10" t="s">
        <v>32</v>
      </c>
      <c r="G7" s="10" t="s">
        <v>33</v>
      </c>
      <c r="H7" s="12">
        <v>174900</v>
      </c>
      <c r="I7" s="12">
        <v>71500</v>
      </c>
      <c r="J7" s="13">
        <f t="shared" si="0"/>
        <v>40.880503144654092</v>
      </c>
      <c r="K7" s="12">
        <v>156143</v>
      </c>
      <c r="L7" s="12">
        <f>H7-142841</f>
        <v>32059</v>
      </c>
      <c r="M7" s="12">
        <v>13302</v>
      </c>
      <c r="N7" s="66">
        <f t="shared" si="1"/>
        <v>7.6054888507718701E-2</v>
      </c>
      <c r="O7" s="14">
        <v>83.13</v>
      </c>
      <c r="P7" s="15">
        <v>135</v>
      </c>
      <c r="Q7" s="16">
        <v>0.248</v>
      </c>
      <c r="R7" s="16">
        <v>0.248</v>
      </c>
      <c r="S7" s="12">
        <f t="shared" si="2"/>
        <v>385.64898351978832</v>
      </c>
      <c r="T7" s="12">
        <f t="shared" si="3"/>
        <v>129270.16129032258</v>
      </c>
      <c r="U7" s="17">
        <f t="shared" si="4"/>
        <v>2.9676345567108031</v>
      </c>
      <c r="V7" s="16">
        <v>80</v>
      </c>
      <c r="W7" s="16">
        <f t="shared" si="5"/>
        <v>34980</v>
      </c>
      <c r="X7" s="16">
        <f t="shared" si="6"/>
        <v>437.25</v>
      </c>
      <c r="Y7" s="18" t="s">
        <v>2845</v>
      </c>
      <c r="Z7" s="10" t="s">
        <v>35</v>
      </c>
      <c r="AA7" s="10" t="s">
        <v>35</v>
      </c>
      <c r="AB7" s="10" t="s">
        <v>2846</v>
      </c>
      <c r="AC7" s="10">
        <v>0</v>
      </c>
      <c r="AD7" s="10">
        <v>1</v>
      </c>
      <c r="AE7" s="10" t="s">
        <v>42</v>
      </c>
      <c r="AF7" s="10" t="s">
        <v>35</v>
      </c>
      <c r="AG7" s="10" t="s">
        <v>38</v>
      </c>
      <c r="AH7" s="10" t="s">
        <v>92</v>
      </c>
    </row>
    <row r="8" spans="1:34" x14ac:dyDescent="0.3">
      <c r="A8" s="74" t="s">
        <v>2846</v>
      </c>
      <c r="B8" s="10" t="s">
        <v>2849</v>
      </c>
      <c r="C8" s="10" t="s">
        <v>2850</v>
      </c>
      <c r="D8" s="11">
        <v>45244</v>
      </c>
      <c r="E8" s="12">
        <v>162000</v>
      </c>
      <c r="F8" s="10" t="s">
        <v>81</v>
      </c>
      <c r="G8" s="10" t="s">
        <v>33</v>
      </c>
      <c r="H8" s="12">
        <v>162000</v>
      </c>
      <c r="I8" s="12">
        <v>53200</v>
      </c>
      <c r="J8" s="13">
        <f t="shared" si="0"/>
        <v>32.839506172839506</v>
      </c>
      <c r="K8" s="12">
        <v>143084</v>
      </c>
      <c r="L8" s="12">
        <f>H8-130031</f>
        <v>31969</v>
      </c>
      <c r="M8" s="12">
        <v>13053</v>
      </c>
      <c r="N8" s="66">
        <f t="shared" si="1"/>
        <v>8.0574074074074076E-2</v>
      </c>
      <c r="O8" s="14">
        <v>81.58</v>
      </c>
      <c r="P8" s="15">
        <v>130</v>
      </c>
      <c r="Q8" s="16">
        <v>0.23899999999999999</v>
      </c>
      <c r="R8" s="16">
        <v>0.23899999999999999</v>
      </c>
      <c r="S8" s="12">
        <f t="shared" si="2"/>
        <v>391.87300809021821</v>
      </c>
      <c r="T8" s="12">
        <f t="shared" si="3"/>
        <v>133761.50627615064</v>
      </c>
      <c r="U8" s="17">
        <f t="shared" si="4"/>
        <v>3.0707416500493721</v>
      </c>
      <c r="V8" s="16">
        <v>80</v>
      </c>
      <c r="W8" s="16">
        <f t="shared" si="5"/>
        <v>32400</v>
      </c>
      <c r="X8" s="16">
        <f t="shared" si="6"/>
        <v>405</v>
      </c>
      <c r="Y8" s="18" t="s">
        <v>2845</v>
      </c>
      <c r="Z8" s="10" t="s">
        <v>35</v>
      </c>
      <c r="AA8" s="10" t="s">
        <v>35</v>
      </c>
      <c r="AB8" s="10" t="s">
        <v>2846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5" t="s">
        <v>2846</v>
      </c>
      <c r="B9" s="19" t="s">
        <v>2861</v>
      </c>
      <c r="C9" s="19" t="s">
        <v>2862</v>
      </c>
      <c r="D9" s="20">
        <v>45128</v>
      </c>
      <c r="E9" s="21">
        <v>142500</v>
      </c>
      <c r="F9" s="19" t="s">
        <v>32</v>
      </c>
      <c r="G9" s="19" t="s">
        <v>33</v>
      </c>
      <c r="H9" s="21">
        <v>142500</v>
      </c>
      <c r="I9" s="21">
        <v>49800</v>
      </c>
      <c r="J9" s="22">
        <f t="shared" si="0"/>
        <v>34.94736842105263</v>
      </c>
      <c r="K9" s="21">
        <v>126513</v>
      </c>
      <c r="L9" s="21">
        <f>H9-119862</f>
        <v>22638</v>
      </c>
      <c r="M9" s="21">
        <v>6651</v>
      </c>
      <c r="N9" s="67">
        <f t="shared" si="1"/>
        <v>4.6673684210526319E-2</v>
      </c>
      <c r="O9" s="23">
        <v>41.56</v>
      </c>
      <c r="P9" s="24">
        <v>135</v>
      </c>
      <c r="Q9" s="25">
        <v>0.124</v>
      </c>
      <c r="R9" s="25">
        <v>0.124</v>
      </c>
      <c r="S9" s="21">
        <f t="shared" si="2"/>
        <v>544.70644850818087</v>
      </c>
      <c r="T9" s="21">
        <f t="shared" si="3"/>
        <v>182564.51612903227</v>
      </c>
      <c r="U9" s="26">
        <f t="shared" si="4"/>
        <v>4.1911045943304011</v>
      </c>
      <c r="V9" s="25">
        <v>40</v>
      </c>
      <c r="W9" s="25">
        <f t="shared" si="5"/>
        <v>28500</v>
      </c>
      <c r="X9" s="25">
        <f t="shared" si="6"/>
        <v>712.5</v>
      </c>
      <c r="Y9" s="27" t="s">
        <v>2845</v>
      </c>
      <c r="Z9" s="19" t="s">
        <v>35</v>
      </c>
      <c r="AA9" s="19" t="s">
        <v>35</v>
      </c>
      <c r="AB9" s="19" t="s">
        <v>2846</v>
      </c>
      <c r="AC9" s="19">
        <v>0</v>
      </c>
      <c r="AD9" s="19">
        <v>1</v>
      </c>
      <c r="AE9" s="19" t="s">
        <v>37</v>
      </c>
      <c r="AF9" s="19" t="s">
        <v>43</v>
      </c>
      <c r="AG9" s="19" t="s">
        <v>38</v>
      </c>
      <c r="AH9" s="19" t="s">
        <v>92</v>
      </c>
    </row>
    <row r="10" spans="1:34" ht="15" thickBot="1" x14ac:dyDescent="0.35">
      <c r="A10" s="75" t="s">
        <v>2846</v>
      </c>
      <c r="B10" s="19" t="s">
        <v>2853</v>
      </c>
      <c r="C10" s="19" t="s">
        <v>2854</v>
      </c>
      <c r="D10" s="20">
        <v>45672</v>
      </c>
      <c r="E10" s="21">
        <v>145000</v>
      </c>
      <c r="F10" s="19" t="s">
        <v>32</v>
      </c>
      <c r="G10" s="19" t="s">
        <v>33</v>
      </c>
      <c r="H10" s="21">
        <v>145000</v>
      </c>
      <c r="I10" s="21">
        <v>60000</v>
      </c>
      <c r="J10" s="22">
        <f t="shared" si="0"/>
        <v>41.379310344827587</v>
      </c>
      <c r="K10" s="21">
        <v>126851</v>
      </c>
      <c r="L10" s="21">
        <f>H10-120324</f>
        <v>24676</v>
      </c>
      <c r="M10" s="21">
        <v>6527</v>
      </c>
      <c r="N10" s="67">
        <f t="shared" si="1"/>
        <v>4.5013793103448274E-2</v>
      </c>
      <c r="O10" s="23">
        <v>40.79</v>
      </c>
      <c r="P10" s="24">
        <v>130</v>
      </c>
      <c r="Q10" s="25">
        <v>0.11899999999999999</v>
      </c>
      <c r="R10" s="25">
        <v>0.11899999999999999</v>
      </c>
      <c r="S10" s="21">
        <f t="shared" si="2"/>
        <v>604.95219416523662</v>
      </c>
      <c r="T10" s="21">
        <f t="shared" si="3"/>
        <v>207361.34453781514</v>
      </c>
      <c r="U10" s="26">
        <f t="shared" si="4"/>
        <v>4.7603614448534239</v>
      </c>
      <c r="V10" s="25">
        <v>40</v>
      </c>
      <c r="W10" s="25">
        <f t="shared" si="5"/>
        <v>29000</v>
      </c>
      <c r="X10" s="25">
        <f t="shared" si="6"/>
        <v>725</v>
      </c>
      <c r="Y10" s="27" t="s">
        <v>2845</v>
      </c>
      <c r="Z10" s="19" t="s">
        <v>35</v>
      </c>
      <c r="AA10" s="19" t="s">
        <v>35</v>
      </c>
      <c r="AB10" s="19" t="s">
        <v>2846</v>
      </c>
      <c r="AC10" s="19">
        <v>0</v>
      </c>
      <c r="AD10" s="19">
        <v>1</v>
      </c>
      <c r="AE10" s="19" t="s">
        <v>37</v>
      </c>
      <c r="AF10" s="19" t="s">
        <v>35</v>
      </c>
      <c r="AG10" s="19" t="s">
        <v>38</v>
      </c>
      <c r="AH10" s="19" t="s">
        <v>92</v>
      </c>
    </row>
    <row r="11" spans="1:34" ht="15" thickTop="1" x14ac:dyDescent="0.3">
      <c r="A11" s="76"/>
      <c r="B11" s="37"/>
      <c r="C11" s="37"/>
      <c r="D11" s="38" t="s">
        <v>2876</v>
      </c>
      <c r="E11" s="39">
        <f>+SUM(E2:E10)</f>
        <v>1406900</v>
      </c>
      <c r="F11" s="37"/>
      <c r="G11" s="37"/>
      <c r="H11" s="39">
        <f>+SUM(H2:H10)</f>
        <v>1406900</v>
      </c>
      <c r="I11" s="39">
        <f>+SUM(I2:I10)</f>
        <v>563300</v>
      </c>
      <c r="J11" s="40"/>
      <c r="K11" s="39">
        <f>+SUM(K2:K10)</f>
        <v>1274460</v>
      </c>
      <c r="L11" s="39">
        <f>+SUM(L2:L10)</f>
        <v>238550</v>
      </c>
      <c r="M11" s="39">
        <f>+SUM(M2:M10)</f>
        <v>106110</v>
      </c>
      <c r="N11" s="81">
        <f>AVERAGE(N2:N10)</f>
        <v>7.1760911326639684E-2</v>
      </c>
      <c r="O11" s="41">
        <f>+SUM(O2:O10)</f>
        <v>663.13000000000011</v>
      </c>
      <c r="P11" s="42"/>
      <c r="Q11" s="43">
        <f>+SUM(Q2:Q10)</f>
        <v>1.9560000000000002</v>
      </c>
      <c r="R11" s="43">
        <f>+SUM(R2:R10)</f>
        <v>1.9560000000000002</v>
      </c>
      <c r="S11" s="39"/>
      <c r="T11" s="39"/>
      <c r="U11" s="44"/>
      <c r="V11" s="43"/>
      <c r="W11" s="82">
        <f>AVERAGE(W2:W10)</f>
        <v>31264.444444444445</v>
      </c>
      <c r="X11" s="83">
        <f>AVERAGE(X2:X10)</f>
        <v>523.1621812123542</v>
      </c>
      <c r="Y11" s="45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 x14ac:dyDescent="0.3">
      <c r="A12" s="77"/>
      <c r="B12" s="28"/>
      <c r="C12" s="28"/>
      <c r="D12" s="29"/>
      <c r="E12" s="30"/>
      <c r="F12" s="28"/>
      <c r="G12" s="28"/>
      <c r="H12" s="30"/>
      <c r="I12" s="30" t="s">
        <v>2877</v>
      </c>
      <c r="J12" s="31">
        <f>I11/H11*100</f>
        <v>40.03838225886701</v>
      </c>
      <c r="K12" s="30"/>
      <c r="L12" s="30"/>
      <c r="M12" s="30" t="s">
        <v>2879</v>
      </c>
      <c r="N12" s="79"/>
      <c r="O12" s="32"/>
      <c r="P12" s="33"/>
      <c r="Q12" s="34" t="s">
        <v>2879</v>
      </c>
      <c r="R12" s="34"/>
      <c r="S12" s="30"/>
      <c r="T12" s="30" t="s">
        <v>2879</v>
      </c>
      <c r="U12" s="35"/>
      <c r="V12" s="34"/>
      <c r="W12" s="63"/>
      <c r="X12" s="68"/>
      <c r="Y12" s="36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x14ac:dyDescent="0.3">
      <c r="A13" s="78"/>
      <c r="B13" s="46"/>
      <c r="C13" s="46"/>
      <c r="D13" s="47"/>
      <c r="E13" s="48"/>
      <c r="F13" s="46"/>
      <c r="G13" s="46"/>
      <c r="H13" s="48"/>
      <c r="I13" s="48" t="s">
        <v>2878</v>
      </c>
      <c r="J13" s="49">
        <f>STDEV(J2:J10)</f>
        <v>5.3029009661860789</v>
      </c>
      <c r="K13" s="48"/>
      <c r="L13" s="48"/>
      <c r="M13" s="48" t="s">
        <v>2880</v>
      </c>
      <c r="N13" s="80"/>
      <c r="O13" s="54">
        <f>L11/O11</f>
        <v>359.73338561066453</v>
      </c>
      <c r="P13" s="50"/>
      <c r="Q13" s="51" t="s">
        <v>2881</v>
      </c>
      <c r="R13" s="51">
        <f>L11/Q11</f>
        <v>121958.07770961145</v>
      </c>
      <c r="S13" s="48"/>
      <c r="T13" s="48" t="s">
        <v>2882</v>
      </c>
      <c r="U13" s="52">
        <f>L11/Q11/43560</f>
        <v>2.7997722155558185</v>
      </c>
      <c r="V13" s="51"/>
      <c r="W13" s="64"/>
      <c r="X13" s="69"/>
      <c r="Y13" s="53"/>
      <c r="Z13" s="46"/>
      <c r="AA13" s="46"/>
      <c r="AB13" s="46"/>
      <c r="AC13" s="46"/>
      <c r="AD13" s="46"/>
      <c r="AE13" s="46"/>
      <c r="AF13" s="46"/>
      <c r="AG13" s="46"/>
      <c r="AH13" s="46"/>
    </row>
    <row r="14" spans="1:34" x14ac:dyDescent="0.3">
      <c r="E14" s="94" t="s">
        <v>3099</v>
      </c>
      <c r="L14" s="95"/>
    </row>
    <row r="15" spans="1:34" x14ac:dyDescent="0.3">
      <c r="E15" s="383" t="s">
        <v>3163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3164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3165</v>
      </c>
      <c r="F17" s="383"/>
      <c r="G17" s="383"/>
      <c r="H17" s="383"/>
      <c r="I17" s="383"/>
      <c r="J17" s="383"/>
      <c r="K17" s="383"/>
      <c r="L17" s="383"/>
    </row>
    <row r="18" spans="1:34" x14ac:dyDescent="0.3">
      <c r="E18" s="383" t="s">
        <v>3166</v>
      </c>
      <c r="F18" s="383"/>
      <c r="G18" s="383"/>
      <c r="H18" s="383"/>
      <c r="I18" s="383"/>
      <c r="J18" s="96"/>
      <c r="K18" s="96"/>
      <c r="L18" s="96"/>
    </row>
    <row r="19" spans="1:34" x14ac:dyDescent="0.3">
      <c r="E19" s="383" t="s">
        <v>3167</v>
      </c>
      <c r="F19" s="383"/>
      <c r="G19" s="383"/>
      <c r="H19" s="383"/>
      <c r="I19" s="383"/>
      <c r="L19" s="95"/>
    </row>
    <row r="20" spans="1:34" x14ac:dyDescent="0.3">
      <c r="E20" s="383" t="s">
        <v>3100</v>
      </c>
      <c r="F20" s="383"/>
      <c r="G20" s="383"/>
      <c r="H20" s="383"/>
      <c r="I20" s="383"/>
      <c r="L20" s="95"/>
    </row>
    <row r="21" spans="1:34" x14ac:dyDescent="0.3">
      <c r="E21" s="96"/>
      <c r="F21" s="96"/>
      <c r="G21" s="96"/>
      <c r="H21" s="96"/>
      <c r="I21" s="96"/>
      <c r="L21" s="95"/>
    </row>
    <row r="22" spans="1:34" x14ac:dyDescent="0.3">
      <c r="A22" s="55" t="s">
        <v>3092</v>
      </c>
      <c r="E22" s="96"/>
      <c r="F22" s="96"/>
      <c r="G22" s="96"/>
      <c r="H22" s="96"/>
      <c r="I22" s="96"/>
      <c r="L22" s="95"/>
    </row>
    <row r="23" spans="1:34" x14ac:dyDescent="0.3">
      <c r="A23" s="74" t="s">
        <v>2846</v>
      </c>
      <c r="B23" s="10" t="s">
        <v>2867</v>
      </c>
      <c r="C23" s="10" t="s">
        <v>2868</v>
      </c>
      <c r="D23" s="11">
        <v>45029</v>
      </c>
      <c r="E23" s="12">
        <v>105000</v>
      </c>
      <c r="F23" s="10" t="s">
        <v>32</v>
      </c>
      <c r="G23" s="10" t="s">
        <v>33</v>
      </c>
      <c r="H23" s="12">
        <v>105000</v>
      </c>
      <c r="I23" s="12">
        <v>57500</v>
      </c>
      <c r="J23" s="13">
        <f t="shared" ref="J23:J27" si="7">I23/H23*100</f>
        <v>54.761904761904766</v>
      </c>
      <c r="K23" s="12">
        <v>148164</v>
      </c>
      <c r="L23" s="12">
        <f>H23-141513</f>
        <v>-36513</v>
      </c>
      <c r="M23" s="12">
        <v>6651</v>
      </c>
      <c r="N23" s="66">
        <f t="shared" ref="N23:N27" si="8">M23/E23</f>
        <v>6.3342857142857145E-2</v>
      </c>
      <c r="O23" s="14">
        <v>41.56</v>
      </c>
      <c r="P23" s="15">
        <v>135</v>
      </c>
      <c r="Q23" s="16">
        <v>0.124</v>
      </c>
      <c r="R23" s="16">
        <v>0.124</v>
      </c>
      <c r="S23" s="12">
        <f t="shared" ref="S23:S27" si="9">L23/O23</f>
        <v>-878.5611164581328</v>
      </c>
      <c r="T23" s="12">
        <f t="shared" ref="T23:T27" si="10">L23/Q23</f>
        <v>-294459.67741935485</v>
      </c>
      <c r="U23" s="17">
        <f t="shared" ref="U23:U27" si="11">L23/Q23/43560</f>
        <v>-6.7598640362569986</v>
      </c>
      <c r="V23" s="16">
        <v>40</v>
      </c>
      <c r="W23" s="16">
        <f t="shared" ref="W23:W27" si="12">0.2*E23</f>
        <v>21000</v>
      </c>
      <c r="X23" s="16">
        <f t="shared" ref="X23:X27" si="13">W23/V23</f>
        <v>525</v>
      </c>
      <c r="Y23" s="18" t="s">
        <v>2845</v>
      </c>
      <c r="Z23" s="10" t="s">
        <v>35</v>
      </c>
      <c r="AA23" s="10" t="s">
        <v>35</v>
      </c>
      <c r="AB23" s="10" t="s">
        <v>2846</v>
      </c>
      <c r="AC23" s="10">
        <v>0</v>
      </c>
      <c r="AD23" s="10">
        <v>1</v>
      </c>
      <c r="AE23" s="10" t="s">
        <v>37</v>
      </c>
      <c r="AF23" s="10" t="s">
        <v>43</v>
      </c>
      <c r="AG23" s="10" t="s">
        <v>38</v>
      </c>
      <c r="AH23" s="10" t="s">
        <v>92</v>
      </c>
    </row>
    <row r="24" spans="1:34" x14ac:dyDescent="0.3">
      <c r="A24" s="74" t="s">
        <v>2846</v>
      </c>
      <c r="B24" s="10" t="s">
        <v>2873</v>
      </c>
      <c r="C24" s="10" t="s">
        <v>2874</v>
      </c>
      <c r="D24" s="11">
        <v>45149</v>
      </c>
      <c r="E24" s="12">
        <v>245000</v>
      </c>
      <c r="F24" s="10" t="s">
        <v>32</v>
      </c>
      <c r="G24" s="10" t="s">
        <v>33</v>
      </c>
      <c r="H24" s="12">
        <v>245000</v>
      </c>
      <c r="I24" s="12">
        <v>119900</v>
      </c>
      <c r="J24" s="13">
        <f t="shared" si="7"/>
        <v>48.938775510204081</v>
      </c>
      <c r="K24" s="12">
        <v>317721</v>
      </c>
      <c r="L24" s="12">
        <f>H24-303161</f>
        <v>-58161</v>
      </c>
      <c r="M24" s="12">
        <v>14560</v>
      </c>
      <c r="N24" s="66">
        <f t="shared" si="8"/>
        <v>5.9428571428571428E-2</v>
      </c>
      <c r="O24" s="14">
        <v>91</v>
      </c>
      <c r="P24" s="15">
        <v>211.25</v>
      </c>
      <c r="Q24" s="16">
        <v>0.33900000000000002</v>
      </c>
      <c r="R24" s="16">
        <v>0.33900000000000002</v>
      </c>
      <c r="S24" s="12">
        <f t="shared" si="9"/>
        <v>-639.13186813186815</v>
      </c>
      <c r="T24" s="12">
        <f t="shared" si="10"/>
        <v>-171566.37168141591</v>
      </c>
      <c r="U24" s="17">
        <f t="shared" si="11"/>
        <v>-3.9386219394264441</v>
      </c>
      <c r="V24" s="16">
        <v>70</v>
      </c>
      <c r="W24" s="16">
        <f t="shared" si="12"/>
        <v>49000</v>
      </c>
      <c r="X24" s="16">
        <f t="shared" si="13"/>
        <v>700</v>
      </c>
      <c r="Y24" s="18" t="s">
        <v>2845</v>
      </c>
      <c r="Z24" s="10" t="s">
        <v>35</v>
      </c>
      <c r="AA24" s="10" t="s">
        <v>35</v>
      </c>
      <c r="AB24" s="10" t="s">
        <v>2846</v>
      </c>
      <c r="AC24" s="10">
        <v>0</v>
      </c>
      <c r="AD24" s="10">
        <v>1</v>
      </c>
      <c r="AE24" s="10" t="s">
        <v>2875</v>
      </c>
      <c r="AF24" s="10" t="s">
        <v>43</v>
      </c>
      <c r="AG24" s="10" t="s">
        <v>38</v>
      </c>
      <c r="AH24" s="10" t="s">
        <v>92</v>
      </c>
    </row>
    <row r="25" spans="1:34" x14ac:dyDescent="0.3">
      <c r="A25" s="74" t="s">
        <v>2846</v>
      </c>
      <c r="B25" s="10" t="s">
        <v>2847</v>
      </c>
      <c r="C25" s="10" t="s">
        <v>2848</v>
      </c>
      <c r="D25" s="11">
        <v>45209</v>
      </c>
      <c r="E25" s="12">
        <v>80000</v>
      </c>
      <c r="F25" s="10" t="s">
        <v>32</v>
      </c>
      <c r="G25" s="10" t="s">
        <v>33</v>
      </c>
      <c r="H25" s="12">
        <v>80000</v>
      </c>
      <c r="I25" s="12">
        <v>40300</v>
      </c>
      <c r="J25" s="13">
        <f t="shared" si="7"/>
        <v>50.375</v>
      </c>
      <c r="K25" s="12">
        <v>112511</v>
      </c>
      <c r="L25" s="12">
        <f>H25-103505</f>
        <v>-23505</v>
      </c>
      <c r="M25" s="12">
        <v>9006</v>
      </c>
      <c r="N25" s="66">
        <f t="shared" si="8"/>
        <v>0.11257499999999999</v>
      </c>
      <c r="O25" s="14">
        <v>56.28</v>
      </c>
      <c r="P25" s="15">
        <v>110</v>
      </c>
      <c r="Q25" s="16">
        <v>0.152</v>
      </c>
      <c r="R25" s="16">
        <v>0.152</v>
      </c>
      <c r="S25" s="12">
        <f t="shared" si="9"/>
        <v>-417.64392324093814</v>
      </c>
      <c r="T25" s="12">
        <f t="shared" si="10"/>
        <v>-154638.15789473685</v>
      </c>
      <c r="U25" s="17">
        <f t="shared" si="11"/>
        <v>-3.5500036247643907</v>
      </c>
      <c r="V25" s="16">
        <v>60</v>
      </c>
      <c r="W25" s="16">
        <f t="shared" si="12"/>
        <v>16000</v>
      </c>
      <c r="X25" s="16">
        <f t="shared" si="13"/>
        <v>266.66666666666669</v>
      </c>
      <c r="Y25" s="18" t="s">
        <v>2845</v>
      </c>
      <c r="Z25" s="10" t="s">
        <v>35</v>
      </c>
      <c r="AA25" s="10" t="s">
        <v>35</v>
      </c>
      <c r="AB25" s="10" t="s">
        <v>2846</v>
      </c>
      <c r="AC25" s="10">
        <v>0</v>
      </c>
      <c r="AD25" s="10">
        <v>0</v>
      </c>
      <c r="AE25" s="10" t="s">
        <v>2730</v>
      </c>
      <c r="AF25" s="10" t="s">
        <v>43</v>
      </c>
      <c r="AG25" s="10" t="s">
        <v>38</v>
      </c>
      <c r="AH25" s="10" t="s">
        <v>92</v>
      </c>
    </row>
    <row r="26" spans="1:34" x14ac:dyDescent="0.3">
      <c r="A26" s="74" t="s">
        <v>2846</v>
      </c>
      <c r="B26" s="10" t="s">
        <v>2855</v>
      </c>
      <c r="C26" s="10" t="s">
        <v>2856</v>
      </c>
      <c r="D26" s="11">
        <v>45692</v>
      </c>
      <c r="E26" s="12">
        <v>100000</v>
      </c>
      <c r="F26" s="10" t="s">
        <v>32</v>
      </c>
      <c r="G26" s="10" t="s">
        <v>33</v>
      </c>
      <c r="H26" s="12">
        <v>100000</v>
      </c>
      <c r="I26" s="12">
        <v>53700</v>
      </c>
      <c r="J26" s="13">
        <f t="shared" si="7"/>
        <v>53.7</v>
      </c>
      <c r="K26" s="12">
        <v>113231</v>
      </c>
      <c r="L26" s="12">
        <f>H26-106580</f>
        <v>-6580</v>
      </c>
      <c r="M26" s="12">
        <v>6651</v>
      </c>
      <c r="N26" s="66">
        <f t="shared" si="8"/>
        <v>6.651E-2</v>
      </c>
      <c r="O26" s="14">
        <v>41.56</v>
      </c>
      <c r="P26" s="15">
        <v>135</v>
      </c>
      <c r="Q26" s="16">
        <v>0.124</v>
      </c>
      <c r="R26" s="16">
        <v>0.124</v>
      </c>
      <c r="S26" s="12">
        <f t="shared" si="9"/>
        <v>-158.32531280076995</v>
      </c>
      <c r="T26" s="12">
        <f t="shared" si="10"/>
        <v>-53064.516129032258</v>
      </c>
      <c r="U26" s="17">
        <f t="shared" si="11"/>
        <v>-1.2181936668740188</v>
      </c>
      <c r="V26" s="16">
        <v>40</v>
      </c>
      <c r="W26" s="16">
        <f t="shared" si="12"/>
        <v>20000</v>
      </c>
      <c r="X26" s="16">
        <f t="shared" si="13"/>
        <v>500</v>
      </c>
      <c r="Y26" s="18" t="s">
        <v>2845</v>
      </c>
      <c r="Z26" s="10" t="s">
        <v>35</v>
      </c>
      <c r="AA26" s="10" t="s">
        <v>35</v>
      </c>
      <c r="AB26" s="10" t="s">
        <v>2846</v>
      </c>
      <c r="AC26" s="10">
        <v>0</v>
      </c>
      <c r="AD26" s="10">
        <v>1</v>
      </c>
      <c r="AE26" s="10" t="s">
        <v>37</v>
      </c>
      <c r="AF26" s="10" t="s">
        <v>35</v>
      </c>
      <c r="AG26" s="10" t="s">
        <v>38</v>
      </c>
      <c r="AH26" s="10" t="s">
        <v>92</v>
      </c>
    </row>
    <row r="27" spans="1:34" x14ac:dyDescent="0.3">
      <c r="A27" s="74" t="s">
        <v>2846</v>
      </c>
      <c r="B27" s="10" t="s">
        <v>2863</v>
      </c>
      <c r="C27" s="10" t="s">
        <v>2864</v>
      </c>
      <c r="D27" s="11">
        <v>45441</v>
      </c>
      <c r="E27" s="12">
        <v>12000</v>
      </c>
      <c r="F27" s="10" t="s">
        <v>32</v>
      </c>
      <c r="G27" s="10" t="s">
        <v>66</v>
      </c>
      <c r="H27" s="12">
        <v>12000</v>
      </c>
      <c r="I27" s="12">
        <v>10000</v>
      </c>
      <c r="J27" s="13">
        <f t="shared" si="7"/>
        <v>83.333333333333343</v>
      </c>
      <c r="K27" s="12">
        <v>19954</v>
      </c>
      <c r="L27" s="12">
        <f>H27-0</f>
        <v>12000</v>
      </c>
      <c r="M27" s="12">
        <v>19954</v>
      </c>
      <c r="N27" s="66">
        <f t="shared" si="8"/>
        <v>1.6628333333333334</v>
      </c>
      <c r="O27" s="14">
        <v>124.7</v>
      </c>
      <c r="P27" s="15">
        <v>270</v>
      </c>
      <c r="Q27" s="16">
        <v>0.372</v>
      </c>
      <c r="R27" s="16">
        <v>0.186</v>
      </c>
      <c r="S27" s="12">
        <f t="shared" si="9"/>
        <v>96.230954290296708</v>
      </c>
      <c r="T27" s="12">
        <f t="shared" si="10"/>
        <v>32258.064516129034</v>
      </c>
      <c r="U27" s="17">
        <f t="shared" si="11"/>
        <v>0.74054326253739744</v>
      </c>
      <c r="V27" s="16">
        <v>120</v>
      </c>
      <c r="W27" s="16">
        <f t="shared" si="12"/>
        <v>2400</v>
      </c>
      <c r="X27" s="16">
        <f t="shared" si="13"/>
        <v>20</v>
      </c>
      <c r="Y27" s="18" t="s">
        <v>2845</v>
      </c>
      <c r="Z27" s="10" t="s">
        <v>35</v>
      </c>
      <c r="AA27" s="10" t="s">
        <v>2865</v>
      </c>
      <c r="AB27" s="10" t="s">
        <v>2846</v>
      </c>
      <c r="AC27" s="10">
        <v>0</v>
      </c>
      <c r="AD27" s="10">
        <v>0</v>
      </c>
      <c r="AE27" s="10" t="s">
        <v>2866</v>
      </c>
      <c r="AF27" s="10" t="s">
        <v>43</v>
      </c>
      <c r="AG27" s="10" t="s">
        <v>61</v>
      </c>
      <c r="AH27" s="10" t="s">
        <v>92</v>
      </c>
    </row>
  </sheetData>
  <sortState xmlns:xlrd2="http://schemas.microsoft.com/office/spreadsheetml/2017/richdata2" ref="A2:AH15">
    <sortCondition ref="S2:S15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6"/>
  <dimension ref="A1:T112"/>
  <sheetViews>
    <sheetView topLeftCell="A78" workbookViewId="0">
      <selection activeCell="C106" sqref="C106:G112"/>
    </sheetView>
  </sheetViews>
  <sheetFormatPr defaultRowHeight="14.4" x14ac:dyDescent="0.3"/>
  <cols>
    <col min="1" max="1" width="24.5546875" style="55" bestFit="1" customWidth="1" collapsed="1"/>
    <col min="2" max="2" width="20.6640625" bestFit="1" customWidth="1" collapsed="1"/>
    <col min="3" max="3" width="29.8867187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17.332031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8.33203125" style="55" bestFit="1" customWidth="1"/>
    <col min="15" max="15" width="13.6640625" style="169" customWidth="1"/>
    <col min="16" max="16" width="10.6640625" bestFit="1" customWidth="1" collapsed="1"/>
    <col min="17" max="17" width="26.6640625" bestFit="1" customWidth="1" collapsed="1"/>
    <col min="18" max="18" width="16.6640625" bestFit="1" customWidth="1" collapsed="1"/>
    <col min="19" max="19" width="7.6640625" bestFit="1" customWidth="1" collapsed="1"/>
    <col min="20" max="20" width="20.6640625" bestFit="1" customWidth="1" collapsed="1"/>
  </cols>
  <sheetData>
    <row r="1" spans="1:20" x14ac:dyDescent="0.3">
      <c r="A1" s="211" t="s">
        <v>3130</v>
      </c>
    </row>
    <row r="2" spans="1:20" x14ac:dyDescent="0.3">
      <c r="A2" s="1" t="s">
        <v>23</v>
      </c>
      <c r="B2" s="1" t="s">
        <v>0</v>
      </c>
      <c r="C2" s="1" t="s">
        <v>1</v>
      </c>
      <c r="D2" s="2" t="s">
        <v>2</v>
      </c>
      <c r="E2" s="3" t="s">
        <v>3</v>
      </c>
      <c r="F2" s="1" t="s">
        <v>4</v>
      </c>
      <c r="G2" s="1" t="s">
        <v>5</v>
      </c>
      <c r="H2" s="3" t="s">
        <v>6</v>
      </c>
      <c r="I2" s="3" t="s">
        <v>7</v>
      </c>
      <c r="J2" s="4" t="s">
        <v>8</v>
      </c>
      <c r="K2" s="3" t="s">
        <v>9</v>
      </c>
      <c r="L2" s="3" t="s">
        <v>10</v>
      </c>
      <c r="M2" s="3" t="s">
        <v>11</v>
      </c>
      <c r="N2" s="339" t="s">
        <v>3066</v>
      </c>
      <c r="O2" s="338" t="s">
        <v>3069</v>
      </c>
      <c r="P2" s="9" t="s">
        <v>20</v>
      </c>
      <c r="Q2" s="1" t="s">
        <v>23</v>
      </c>
      <c r="R2" s="1" t="s">
        <v>27</v>
      </c>
      <c r="S2" s="1" t="s">
        <v>28</v>
      </c>
      <c r="T2" s="1" t="s">
        <v>29</v>
      </c>
    </row>
    <row r="3" spans="1:20" ht="15" thickBot="1" x14ac:dyDescent="0.35">
      <c r="A3" s="75" t="s">
        <v>2005</v>
      </c>
      <c r="B3" s="19" t="s">
        <v>2002</v>
      </c>
      <c r="C3" s="19" t="s">
        <v>2003</v>
      </c>
      <c r="D3" s="20">
        <v>45100</v>
      </c>
      <c r="E3" s="21">
        <v>235000</v>
      </c>
      <c r="F3" s="19" t="s">
        <v>32</v>
      </c>
      <c r="G3" s="19" t="s">
        <v>33</v>
      </c>
      <c r="H3" s="21">
        <v>235000</v>
      </c>
      <c r="I3" s="21">
        <v>116700</v>
      </c>
      <c r="J3" s="22">
        <f t="shared" ref="J3" si="0">I3/H3*100</f>
        <v>49.659574468085104</v>
      </c>
      <c r="K3" s="21">
        <v>275713</v>
      </c>
      <c r="L3" s="21">
        <f>H3-255713</f>
        <v>-20713</v>
      </c>
      <c r="M3" s="21">
        <v>20000</v>
      </c>
      <c r="N3" s="123">
        <f t="shared" ref="N3" si="1">M3/E3</f>
        <v>8.5106382978723402E-2</v>
      </c>
      <c r="O3" s="25">
        <f t="shared" ref="O3" si="2">0.2*E3</f>
        <v>47000</v>
      </c>
      <c r="P3" s="27" t="s">
        <v>2004</v>
      </c>
      <c r="Q3" s="19" t="s">
        <v>2005</v>
      </c>
      <c r="R3" s="19" t="s">
        <v>43</v>
      </c>
      <c r="S3" s="19" t="s">
        <v>38</v>
      </c>
      <c r="T3" s="19" t="s">
        <v>2007</v>
      </c>
    </row>
    <row r="4" spans="1:20" ht="15" thickTop="1" x14ac:dyDescent="0.3">
      <c r="A4" s="76"/>
      <c r="B4" s="37"/>
      <c r="C4" s="37"/>
      <c r="D4" s="38" t="s">
        <v>2876</v>
      </c>
      <c r="E4" s="39">
        <f>+SUM(E3:E3)</f>
        <v>235000</v>
      </c>
      <c r="F4" s="37"/>
      <c r="G4" s="37"/>
      <c r="H4" s="39">
        <f>+SUM(H3:H3)</f>
        <v>235000</v>
      </c>
      <c r="I4" s="39">
        <f>+SUM(I3:I3)</f>
        <v>116700</v>
      </c>
      <c r="J4" s="40"/>
      <c r="K4" s="39">
        <f>+SUM(K3:K3)</f>
        <v>275713</v>
      </c>
      <c r="L4" s="39">
        <f>+SUM(L3:L3)</f>
        <v>-20713</v>
      </c>
      <c r="M4" s="39">
        <f>+SUM(M3:M3)</f>
        <v>20000</v>
      </c>
      <c r="N4" s="134">
        <f>AVERAGE(N3:N3)</f>
        <v>8.5106382978723402E-2</v>
      </c>
      <c r="O4" s="139">
        <f>AVERAGE(O3:O3)</f>
        <v>47000</v>
      </c>
      <c r="P4" s="45"/>
      <c r="Q4" s="37"/>
      <c r="R4" s="37"/>
      <c r="S4" s="37"/>
      <c r="T4" s="37"/>
    </row>
    <row r="5" spans="1:20" x14ac:dyDescent="0.3">
      <c r="A5" s="77"/>
      <c r="B5" s="28"/>
      <c r="C5" s="224" t="s">
        <v>3131</v>
      </c>
      <c r="D5" s="29"/>
      <c r="E5" s="30"/>
      <c r="F5" s="28"/>
      <c r="G5" s="28"/>
      <c r="H5" s="30"/>
      <c r="I5" s="30" t="s">
        <v>2877</v>
      </c>
      <c r="J5" s="31">
        <f>I4/H4*100</f>
        <v>49.659574468085104</v>
      </c>
      <c r="K5" s="30"/>
      <c r="L5" s="30"/>
      <c r="M5" s="30" t="s">
        <v>2879</v>
      </c>
      <c r="N5" s="79"/>
      <c r="O5" s="152"/>
      <c r="P5" s="36"/>
      <c r="Q5" s="28"/>
      <c r="R5" s="28"/>
      <c r="S5" s="28"/>
      <c r="T5" s="28"/>
    </row>
    <row r="6" spans="1:20" x14ac:dyDescent="0.3">
      <c r="A6" s="188" t="s">
        <v>3132</v>
      </c>
      <c r="B6" s="188"/>
      <c r="C6" s="212" t="s">
        <v>3133</v>
      </c>
      <c r="D6" s="46"/>
      <c r="E6" s="225"/>
      <c r="F6" s="225"/>
      <c r="G6" s="46"/>
      <c r="H6" s="48"/>
      <c r="I6" s="48" t="s">
        <v>2878</v>
      </c>
      <c r="J6" s="49" t="e">
        <f>STDEV(J3:J3)</f>
        <v>#DIV/0!</v>
      </c>
      <c r="K6" s="48"/>
      <c r="L6" s="48"/>
      <c r="M6" s="48" t="s">
        <v>2880</v>
      </c>
      <c r="N6" s="80"/>
      <c r="O6" s="165"/>
      <c r="P6" s="53"/>
      <c r="Q6" s="46"/>
      <c r="R6" s="46"/>
      <c r="S6" s="46"/>
      <c r="T6" s="46"/>
    </row>
    <row r="7" spans="1:20" x14ac:dyDescent="0.3">
      <c r="D7" s="190" t="s">
        <v>3112</v>
      </c>
      <c r="E7" s="191">
        <f>AVERAGE(E2:E3)</f>
        <v>235000</v>
      </c>
    </row>
    <row r="8" spans="1:20" x14ac:dyDescent="0.3">
      <c r="D8" s="190"/>
      <c r="E8" s="192">
        <v>0.2</v>
      </c>
    </row>
    <row r="9" spans="1:20" x14ac:dyDescent="0.3">
      <c r="D9" s="190"/>
      <c r="E9" s="226">
        <f>E7*0.2</f>
        <v>47000</v>
      </c>
    </row>
    <row r="14" spans="1:20" x14ac:dyDescent="0.3">
      <c r="A14" s="211" t="s">
        <v>3134</v>
      </c>
    </row>
    <row r="15" spans="1:20" x14ac:dyDescent="0.3">
      <c r="A15" s="1" t="s">
        <v>23</v>
      </c>
      <c r="B15" s="1" t="s">
        <v>0</v>
      </c>
      <c r="C15" s="1" t="s">
        <v>1</v>
      </c>
      <c r="D15" s="2" t="s">
        <v>2</v>
      </c>
      <c r="E15" s="3" t="s">
        <v>3</v>
      </c>
      <c r="F15" s="1" t="s">
        <v>4</v>
      </c>
      <c r="G15" s="1" t="s">
        <v>5</v>
      </c>
      <c r="H15" s="3" t="s">
        <v>6</v>
      </c>
      <c r="I15" s="3" t="s">
        <v>7</v>
      </c>
      <c r="J15" s="4" t="s">
        <v>8</v>
      </c>
      <c r="K15" s="3" t="s">
        <v>9</v>
      </c>
      <c r="L15" s="3" t="s">
        <v>10</v>
      </c>
      <c r="M15" s="3" t="s">
        <v>11</v>
      </c>
      <c r="N15" s="339" t="s">
        <v>3066</v>
      </c>
      <c r="O15" s="338" t="s">
        <v>3069</v>
      </c>
      <c r="P15" s="9" t="s">
        <v>20</v>
      </c>
      <c r="Q15" s="1" t="s">
        <v>23</v>
      </c>
      <c r="R15" s="1" t="s">
        <v>27</v>
      </c>
      <c r="S15" s="1" t="s">
        <v>28</v>
      </c>
      <c r="T15" s="1" t="s">
        <v>29</v>
      </c>
    </row>
    <row r="16" spans="1:20" x14ac:dyDescent="0.3">
      <c r="A16" s="75" t="s">
        <v>2005</v>
      </c>
      <c r="B16" s="19" t="s">
        <v>2137</v>
      </c>
      <c r="C16" s="19" t="s">
        <v>2138</v>
      </c>
      <c r="D16" s="20">
        <v>45049</v>
      </c>
      <c r="E16" s="21">
        <v>165000</v>
      </c>
      <c r="F16" s="19" t="s">
        <v>32</v>
      </c>
      <c r="G16" s="19" t="s">
        <v>33</v>
      </c>
      <c r="H16" s="21">
        <v>165000</v>
      </c>
      <c r="I16" s="21">
        <v>72200</v>
      </c>
      <c r="J16" s="22">
        <f t="shared" ref="J16:J19" si="3">I16/H16*100</f>
        <v>43.757575757575758</v>
      </c>
      <c r="K16" s="21">
        <v>169254</v>
      </c>
      <c r="L16" s="21">
        <f>H16-149254</f>
        <v>15746</v>
      </c>
      <c r="M16" s="21">
        <v>20000</v>
      </c>
      <c r="N16" s="123">
        <f t="shared" ref="N16:N19" si="4">M16/E16</f>
        <v>0.12121212121212122</v>
      </c>
      <c r="O16" s="25">
        <f t="shared" ref="O16:O19" si="5">0.2*E16</f>
        <v>33000</v>
      </c>
      <c r="P16" s="27" t="s">
        <v>2139</v>
      </c>
      <c r="Q16" s="19" t="s">
        <v>2005</v>
      </c>
      <c r="R16" s="19" t="s">
        <v>43</v>
      </c>
      <c r="S16" s="19" t="s">
        <v>38</v>
      </c>
      <c r="T16" s="19" t="s">
        <v>2140</v>
      </c>
    </row>
    <row r="17" spans="1:20" x14ac:dyDescent="0.3">
      <c r="A17" s="75" t="s">
        <v>2005</v>
      </c>
      <c r="B17" s="19" t="s">
        <v>2141</v>
      </c>
      <c r="C17" s="19" t="s">
        <v>2142</v>
      </c>
      <c r="D17" s="20">
        <v>45372</v>
      </c>
      <c r="E17" s="21">
        <v>155500</v>
      </c>
      <c r="F17" s="19" t="s">
        <v>32</v>
      </c>
      <c r="G17" s="19" t="s">
        <v>33</v>
      </c>
      <c r="H17" s="21">
        <v>155500</v>
      </c>
      <c r="I17" s="21">
        <v>72000</v>
      </c>
      <c r="J17" s="22">
        <f t="shared" si="3"/>
        <v>46.30225080385852</v>
      </c>
      <c r="K17" s="21">
        <v>169136</v>
      </c>
      <c r="L17" s="21">
        <f>H17-149136</f>
        <v>6364</v>
      </c>
      <c r="M17" s="21">
        <v>20000</v>
      </c>
      <c r="N17" s="123">
        <f t="shared" si="4"/>
        <v>0.12861736334405144</v>
      </c>
      <c r="O17" s="25">
        <f t="shared" si="5"/>
        <v>31100</v>
      </c>
      <c r="P17" s="27" t="s">
        <v>2139</v>
      </c>
      <c r="Q17" s="19" t="s">
        <v>2005</v>
      </c>
      <c r="R17" s="19" t="s">
        <v>43</v>
      </c>
      <c r="S17" s="19" t="s">
        <v>38</v>
      </c>
      <c r="T17" s="19" t="s">
        <v>2140</v>
      </c>
    </row>
    <row r="18" spans="1:20" x14ac:dyDescent="0.3">
      <c r="A18" s="74" t="s">
        <v>2005</v>
      </c>
      <c r="B18" s="10" t="s">
        <v>2143</v>
      </c>
      <c r="C18" s="10" t="s">
        <v>2144</v>
      </c>
      <c r="D18" s="11">
        <v>45693</v>
      </c>
      <c r="E18" s="12">
        <v>174400</v>
      </c>
      <c r="F18" s="10" t="s">
        <v>32</v>
      </c>
      <c r="G18" s="10" t="s">
        <v>33</v>
      </c>
      <c r="H18" s="12">
        <v>174400</v>
      </c>
      <c r="I18" s="12">
        <v>99300</v>
      </c>
      <c r="J18" s="13">
        <f t="shared" si="3"/>
        <v>56.938073394495412</v>
      </c>
      <c r="K18" s="12">
        <v>197669</v>
      </c>
      <c r="L18" s="12">
        <f>H18-177669</f>
        <v>-3269</v>
      </c>
      <c r="M18" s="12">
        <v>20000</v>
      </c>
      <c r="N18" s="112">
        <f t="shared" si="4"/>
        <v>0.11467889908256881</v>
      </c>
      <c r="O18" s="16">
        <f t="shared" si="5"/>
        <v>34880</v>
      </c>
      <c r="P18" s="18" t="s">
        <v>2139</v>
      </c>
      <c r="Q18" s="10" t="s">
        <v>2005</v>
      </c>
      <c r="R18" s="10" t="s">
        <v>35</v>
      </c>
      <c r="S18" s="10" t="s">
        <v>38</v>
      </c>
      <c r="T18" s="10" t="s">
        <v>2140</v>
      </c>
    </row>
    <row r="19" spans="1:20" ht="15" thickBot="1" x14ac:dyDescent="0.35">
      <c r="A19" s="74" t="s">
        <v>2005</v>
      </c>
      <c r="B19" s="10" t="s">
        <v>2145</v>
      </c>
      <c r="C19" s="10" t="s">
        <v>2146</v>
      </c>
      <c r="D19" s="11">
        <v>45293</v>
      </c>
      <c r="E19" s="12">
        <v>180000</v>
      </c>
      <c r="F19" s="10" t="s">
        <v>32</v>
      </c>
      <c r="G19" s="10" t="s">
        <v>33</v>
      </c>
      <c r="H19" s="12">
        <v>180000</v>
      </c>
      <c r="I19" s="12">
        <v>82600</v>
      </c>
      <c r="J19" s="13">
        <f t="shared" si="3"/>
        <v>45.888888888888893</v>
      </c>
      <c r="K19" s="12">
        <v>194778</v>
      </c>
      <c r="L19" s="12">
        <f>H19-174778</f>
        <v>5222</v>
      </c>
      <c r="M19" s="12">
        <v>20000</v>
      </c>
      <c r="N19" s="112">
        <f t="shared" si="4"/>
        <v>0.1111111111111111</v>
      </c>
      <c r="O19" s="16">
        <f t="shared" si="5"/>
        <v>36000</v>
      </c>
      <c r="P19" s="18" t="s">
        <v>2139</v>
      </c>
      <c r="Q19" s="10" t="s">
        <v>2005</v>
      </c>
      <c r="R19" s="10" t="s">
        <v>43</v>
      </c>
      <c r="S19" s="10" t="s">
        <v>38</v>
      </c>
      <c r="T19" s="10" t="s">
        <v>2140</v>
      </c>
    </row>
    <row r="20" spans="1:20" ht="15" thickTop="1" x14ac:dyDescent="0.3">
      <c r="A20" s="76"/>
      <c r="B20" s="37"/>
      <c r="C20" s="37"/>
      <c r="D20" s="38" t="s">
        <v>2876</v>
      </c>
      <c r="E20" s="39">
        <f>+SUM(E16:E19)</f>
        <v>674900</v>
      </c>
      <c r="F20" s="37"/>
      <c r="G20" s="37"/>
      <c r="H20" s="39">
        <f>+SUM(H16:H19)</f>
        <v>674900</v>
      </c>
      <c r="I20" s="39">
        <f>+SUM(I16:I19)</f>
        <v>326100</v>
      </c>
      <c r="J20" s="40"/>
      <c r="K20" s="39">
        <f>+SUM(K16:K19)</f>
        <v>730837</v>
      </c>
      <c r="L20" s="39">
        <f>+SUM(L16:L19)</f>
        <v>24063</v>
      </c>
      <c r="M20" s="39">
        <f>+SUM(M16:M19)</f>
        <v>80000</v>
      </c>
      <c r="N20" s="134">
        <f>AVERAGE(N16:N19)</f>
        <v>0.11890487368746315</v>
      </c>
      <c r="O20" s="139">
        <f>AVERAGE(O16:O19)</f>
        <v>33745</v>
      </c>
      <c r="P20" s="45"/>
      <c r="Q20" s="37"/>
      <c r="R20" s="37"/>
      <c r="S20" s="37"/>
      <c r="T20" s="37"/>
    </row>
    <row r="21" spans="1:20" x14ac:dyDescent="0.3">
      <c r="A21" s="77"/>
      <c r="B21" s="28"/>
      <c r="C21" s="224" t="s">
        <v>3131</v>
      </c>
      <c r="D21" s="29"/>
      <c r="E21" s="30"/>
      <c r="F21" s="28"/>
      <c r="G21" s="28"/>
      <c r="H21" s="30"/>
      <c r="I21" s="30" t="s">
        <v>2877</v>
      </c>
      <c r="J21" s="31">
        <f>I20/H20*100</f>
        <v>48.318269373240483</v>
      </c>
      <c r="K21" s="30"/>
      <c r="L21" s="30"/>
      <c r="M21" s="30" t="s">
        <v>2879</v>
      </c>
      <c r="N21" s="79"/>
      <c r="O21" s="152"/>
      <c r="P21" s="36"/>
      <c r="Q21" s="28"/>
      <c r="R21" s="28"/>
      <c r="S21" s="28"/>
      <c r="T21" s="28"/>
    </row>
    <row r="22" spans="1:20" x14ac:dyDescent="0.3">
      <c r="A22" s="188" t="s">
        <v>3135</v>
      </c>
      <c r="B22" s="188"/>
      <c r="C22" s="212" t="s">
        <v>3136</v>
      </c>
      <c r="D22" s="46"/>
      <c r="E22" s="225"/>
      <c r="F22" s="225"/>
      <c r="G22" s="46"/>
      <c r="H22" s="48"/>
      <c r="I22" s="48" t="s">
        <v>2878</v>
      </c>
      <c r="J22" s="49">
        <f>STDEV(J16:J19)</f>
        <v>5.9169210264779224</v>
      </c>
      <c r="K22" s="48"/>
      <c r="L22" s="48"/>
      <c r="M22" s="48" t="s">
        <v>2880</v>
      </c>
      <c r="N22" s="80"/>
      <c r="O22" s="165"/>
      <c r="P22" s="53"/>
      <c r="Q22" s="46"/>
      <c r="R22" s="46"/>
      <c r="S22" s="46"/>
      <c r="T22" s="46"/>
    </row>
    <row r="23" spans="1:20" x14ac:dyDescent="0.3">
      <c r="D23" s="190" t="s">
        <v>3112</v>
      </c>
      <c r="E23" s="191">
        <f>AVERAGE(E16:E19)</f>
        <v>168725</v>
      </c>
    </row>
    <row r="24" spans="1:20" x14ac:dyDescent="0.3">
      <c r="D24" s="190"/>
      <c r="E24" s="192">
        <v>0.2</v>
      </c>
    </row>
    <row r="25" spans="1:20" x14ac:dyDescent="0.3">
      <c r="D25" s="190"/>
      <c r="E25" s="226">
        <f>0.2*E23</f>
        <v>33745</v>
      </c>
    </row>
    <row r="28" spans="1:20" x14ac:dyDescent="0.3">
      <c r="A28" s="211" t="s">
        <v>3137</v>
      </c>
    </row>
    <row r="29" spans="1:20" x14ac:dyDescent="0.3">
      <c r="A29" s="1" t="s">
        <v>23</v>
      </c>
      <c r="B29" s="1" t="s">
        <v>0</v>
      </c>
      <c r="C29" s="1" t="s">
        <v>1</v>
      </c>
      <c r="D29" s="2" t="s">
        <v>2</v>
      </c>
      <c r="E29" s="3" t="s">
        <v>3</v>
      </c>
      <c r="F29" s="1" t="s">
        <v>4</v>
      </c>
      <c r="G29" s="1" t="s">
        <v>5</v>
      </c>
      <c r="H29" s="3" t="s">
        <v>6</v>
      </c>
      <c r="I29" s="3" t="s">
        <v>7</v>
      </c>
      <c r="J29" s="4" t="s">
        <v>8</v>
      </c>
      <c r="K29" s="3" t="s">
        <v>9</v>
      </c>
      <c r="L29" s="3" t="s">
        <v>10</v>
      </c>
      <c r="M29" s="3" t="s">
        <v>11</v>
      </c>
      <c r="N29" s="339" t="s">
        <v>3066</v>
      </c>
      <c r="O29" s="338" t="s">
        <v>3069</v>
      </c>
      <c r="P29" s="9" t="s">
        <v>20</v>
      </c>
      <c r="Q29" s="1" t="s">
        <v>23</v>
      </c>
      <c r="R29" s="1" t="s">
        <v>27</v>
      </c>
      <c r="S29" s="1" t="s">
        <v>28</v>
      </c>
      <c r="T29" s="1" t="s">
        <v>29</v>
      </c>
    </row>
    <row r="30" spans="1:20" ht="15" thickBot="1" x14ac:dyDescent="0.35">
      <c r="A30" s="74" t="s">
        <v>2005</v>
      </c>
      <c r="B30" s="10" t="s">
        <v>2358</v>
      </c>
      <c r="C30" s="10" t="s">
        <v>2359</v>
      </c>
      <c r="D30" s="11">
        <v>45308</v>
      </c>
      <c r="E30" s="12">
        <v>218000</v>
      </c>
      <c r="F30" s="10" t="s">
        <v>32</v>
      </c>
      <c r="G30" s="10" t="s">
        <v>33</v>
      </c>
      <c r="H30" s="12">
        <v>218000</v>
      </c>
      <c r="I30" s="12">
        <v>57400</v>
      </c>
      <c r="J30" s="13">
        <f t="shared" ref="J30" si="6">I30/H30*100</f>
        <v>26.330275229357795</v>
      </c>
      <c r="K30" s="12">
        <v>150432</v>
      </c>
      <c r="L30" s="12">
        <f>H30-130432</f>
        <v>87568</v>
      </c>
      <c r="M30" s="12">
        <v>20000</v>
      </c>
      <c r="N30" s="112">
        <f t="shared" ref="N30" si="7">M30/E30</f>
        <v>9.1743119266055051E-2</v>
      </c>
      <c r="O30" s="16">
        <f t="shared" ref="O30" si="8">0.2*E30</f>
        <v>43600</v>
      </c>
      <c r="P30" s="18" t="s">
        <v>2360</v>
      </c>
      <c r="Q30" s="10" t="s">
        <v>2005</v>
      </c>
      <c r="R30" s="10" t="s">
        <v>43</v>
      </c>
      <c r="S30" s="10" t="s">
        <v>38</v>
      </c>
      <c r="T30" s="10" t="s">
        <v>2361</v>
      </c>
    </row>
    <row r="31" spans="1:20" ht="15" thickTop="1" x14ac:dyDescent="0.3">
      <c r="A31" s="76"/>
      <c r="B31" s="37"/>
      <c r="C31" s="37"/>
      <c r="D31" s="38" t="s">
        <v>2876</v>
      </c>
      <c r="E31" s="39">
        <f>+SUM(E30:E30)</f>
        <v>218000</v>
      </c>
      <c r="F31" s="37"/>
      <c r="G31" s="37"/>
      <c r="H31" s="39">
        <f>+SUM(H30:H30)</f>
        <v>218000</v>
      </c>
      <c r="I31" s="39">
        <f>+SUM(I30:I30)</f>
        <v>57400</v>
      </c>
      <c r="J31" s="40"/>
      <c r="K31" s="39">
        <f>+SUM(K30:K30)</f>
        <v>150432</v>
      </c>
      <c r="L31" s="39">
        <f>+SUM(L30:L30)</f>
        <v>87568</v>
      </c>
      <c r="M31" s="39">
        <f>+SUM(M30:M30)</f>
        <v>20000</v>
      </c>
      <c r="N31" s="134">
        <f>AVERAGE(N30:N30)</f>
        <v>9.1743119266055051E-2</v>
      </c>
      <c r="O31" s="139">
        <f>AVERAGE(O30:O30)</f>
        <v>43600</v>
      </c>
      <c r="P31" s="45"/>
      <c r="Q31" s="37"/>
      <c r="R31" s="37"/>
      <c r="S31" s="37"/>
      <c r="T31" s="37"/>
    </row>
    <row r="32" spans="1:20" x14ac:dyDescent="0.3">
      <c r="A32" s="77"/>
      <c r="B32" s="28"/>
      <c r="C32" s="227" t="s">
        <v>3131</v>
      </c>
      <c r="D32" s="29"/>
      <c r="E32" s="30"/>
      <c r="F32" s="28"/>
      <c r="G32" s="28"/>
      <c r="H32" s="30"/>
      <c r="I32" s="30" t="s">
        <v>2877</v>
      </c>
      <c r="J32" s="31">
        <f>I31/H31*100</f>
        <v>26.330275229357795</v>
      </c>
      <c r="K32" s="30"/>
      <c r="L32" s="30"/>
      <c r="M32" s="30" t="s">
        <v>2879</v>
      </c>
      <c r="N32" s="79"/>
      <c r="O32" s="152"/>
      <c r="P32" s="36"/>
      <c r="Q32" s="28"/>
      <c r="R32" s="28"/>
      <c r="S32" s="28"/>
      <c r="T32" s="28"/>
    </row>
    <row r="33" spans="1:20" x14ac:dyDescent="0.3">
      <c r="A33" s="188" t="s">
        <v>3138</v>
      </c>
      <c r="B33" s="188"/>
      <c r="C33" s="212" t="s">
        <v>3139</v>
      </c>
      <c r="D33" s="46"/>
      <c r="E33" s="225"/>
      <c r="F33" s="225"/>
      <c r="G33" s="46"/>
      <c r="H33" s="48"/>
      <c r="I33" s="48" t="s">
        <v>2878</v>
      </c>
      <c r="J33" s="49" t="e">
        <f>STDEV(J30:J30)</f>
        <v>#DIV/0!</v>
      </c>
      <c r="K33" s="48"/>
      <c r="L33" s="48"/>
      <c r="M33" s="48" t="s">
        <v>2880</v>
      </c>
      <c r="N33" s="80"/>
      <c r="O33" s="165"/>
      <c r="P33" s="53"/>
      <c r="Q33" s="46"/>
      <c r="R33" s="46"/>
      <c r="S33" s="46"/>
      <c r="T33" s="46"/>
    </row>
    <row r="34" spans="1:20" x14ac:dyDescent="0.3">
      <c r="A34" s="92" t="s">
        <v>3140</v>
      </c>
      <c r="D34" s="190" t="s">
        <v>3112</v>
      </c>
      <c r="E34" s="191">
        <f>AVERAGE(E29:E30)</f>
        <v>218000</v>
      </c>
    </row>
    <row r="35" spans="1:20" x14ac:dyDescent="0.3">
      <c r="D35" s="190"/>
      <c r="E35" s="192">
        <v>0.2</v>
      </c>
    </row>
    <row r="36" spans="1:20" x14ac:dyDescent="0.3">
      <c r="D36" s="190"/>
      <c r="E36" s="226">
        <f>E34*0.2</f>
        <v>43600</v>
      </c>
    </row>
    <row r="40" spans="1:20" x14ac:dyDescent="0.3">
      <c r="A40" s="211" t="s">
        <v>3141</v>
      </c>
    </row>
    <row r="41" spans="1:20" x14ac:dyDescent="0.3">
      <c r="A41" s="1" t="s">
        <v>23</v>
      </c>
      <c r="B41" s="1" t="s">
        <v>0</v>
      </c>
      <c r="C41" s="1" t="s">
        <v>1</v>
      </c>
      <c r="D41" s="2" t="s">
        <v>2</v>
      </c>
      <c r="E41" s="3" t="s">
        <v>3</v>
      </c>
      <c r="F41" s="1" t="s">
        <v>4</v>
      </c>
      <c r="G41" s="1" t="s">
        <v>5</v>
      </c>
      <c r="H41" s="3" t="s">
        <v>6</v>
      </c>
      <c r="I41" s="3" t="s">
        <v>7</v>
      </c>
      <c r="J41" s="4" t="s">
        <v>8</v>
      </c>
      <c r="K41" s="3" t="s">
        <v>9</v>
      </c>
      <c r="L41" s="3" t="s">
        <v>10</v>
      </c>
      <c r="M41" s="3" t="s">
        <v>11</v>
      </c>
      <c r="N41" s="339" t="s">
        <v>3066</v>
      </c>
      <c r="O41" s="338" t="s">
        <v>3069</v>
      </c>
      <c r="P41" s="9" t="s">
        <v>20</v>
      </c>
      <c r="Q41" s="1" t="s">
        <v>23</v>
      </c>
      <c r="R41" s="1" t="s">
        <v>27</v>
      </c>
      <c r="S41" s="1" t="s">
        <v>28</v>
      </c>
      <c r="T41" s="1" t="s">
        <v>29</v>
      </c>
    </row>
    <row r="42" spans="1:20" x14ac:dyDescent="0.3">
      <c r="A42" s="74" t="s">
        <v>2005</v>
      </c>
      <c r="B42" s="10" t="s">
        <v>2404</v>
      </c>
      <c r="C42" s="10" t="s">
        <v>2405</v>
      </c>
      <c r="D42" s="11">
        <v>45170</v>
      </c>
      <c r="E42" s="12">
        <v>180000</v>
      </c>
      <c r="F42" s="10" t="s">
        <v>32</v>
      </c>
      <c r="G42" s="10" t="s">
        <v>33</v>
      </c>
      <c r="H42" s="12">
        <v>180000</v>
      </c>
      <c r="I42" s="12">
        <v>69100</v>
      </c>
      <c r="J42" s="13">
        <f t="shared" ref="J42:J46" si="9">I42/H42*100</f>
        <v>38.388888888888886</v>
      </c>
      <c r="K42" s="12">
        <v>203969</v>
      </c>
      <c r="L42" s="12">
        <f>H42-183969</f>
        <v>-3969</v>
      </c>
      <c r="M42" s="12">
        <v>20000</v>
      </c>
      <c r="N42" s="112">
        <f t="shared" ref="N42:N46" si="10">M42/E42</f>
        <v>0.1111111111111111</v>
      </c>
      <c r="O42" s="16">
        <f t="shared" ref="O42:O46" si="11">0.2*E42</f>
        <v>36000</v>
      </c>
      <c r="P42" s="18" t="s">
        <v>2406</v>
      </c>
      <c r="Q42" s="10" t="s">
        <v>2005</v>
      </c>
      <c r="R42" s="10" t="s">
        <v>43</v>
      </c>
      <c r="S42" s="10" t="s">
        <v>38</v>
      </c>
      <c r="T42" s="10" t="s">
        <v>2407</v>
      </c>
    </row>
    <row r="43" spans="1:20" x14ac:dyDescent="0.3">
      <c r="A43" s="75" t="s">
        <v>2005</v>
      </c>
      <c r="B43" s="19" t="s">
        <v>2408</v>
      </c>
      <c r="C43" s="19" t="s">
        <v>2409</v>
      </c>
      <c r="D43" s="20">
        <v>45252</v>
      </c>
      <c r="E43" s="21">
        <v>188000</v>
      </c>
      <c r="F43" s="19" t="s">
        <v>32</v>
      </c>
      <c r="G43" s="19" t="s">
        <v>33</v>
      </c>
      <c r="H43" s="21">
        <v>188000</v>
      </c>
      <c r="I43" s="21">
        <v>70800</v>
      </c>
      <c r="J43" s="22">
        <f t="shared" si="9"/>
        <v>37.659574468085104</v>
      </c>
      <c r="K43" s="21">
        <v>208985</v>
      </c>
      <c r="L43" s="21">
        <f>H43-188985</f>
        <v>-985</v>
      </c>
      <c r="M43" s="21">
        <v>20000</v>
      </c>
      <c r="N43" s="123">
        <f t="shared" si="10"/>
        <v>0.10638297872340426</v>
      </c>
      <c r="O43" s="25">
        <f t="shared" si="11"/>
        <v>37600</v>
      </c>
      <c r="P43" s="27" t="s">
        <v>2406</v>
      </c>
      <c r="Q43" s="19" t="s">
        <v>2005</v>
      </c>
      <c r="R43" s="19" t="s">
        <v>35</v>
      </c>
      <c r="S43" s="19" t="s">
        <v>38</v>
      </c>
      <c r="T43" s="19" t="s">
        <v>2407</v>
      </c>
    </row>
    <row r="44" spans="1:20" x14ac:dyDescent="0.3">
      <c r="A44" s="75" t="s">
        <v>2005</v>
      </c>
      <c r="B44" s="19" t="s">
        <v>2410</v>
      </c>
      <c r="C44" s="19" t="s">
        <v>2411</v>
      </c>
      <c r="D44" s="20">
        <v>45044</v>
      </c>
      <c r="E44" s="21">
        <v>181000</v>
      </c>
      <c r="F44" s="19" t="s">
        <v>32</v>
      </c>
      <c r="G44" s="19" t="s">
        <v>33</v>
      </c>
      <c r="H44" s="21">
        <v>181000</v>
      </c>
      <c r="I44" s="21">
        <v>69100</v>
      </c>
      <c r="J44" s="22">
        <f t="shared" si="9"/>
        <v>38.176795580110493</v>
      </c>
      <c r="K44" s="21">
        <v>203969</v>
      </c>
      <c r="L44" s="21">
        <f>H44-183969</f>
        <v>-2969</v>
      </c>
      <c r="M44" s="21">
        <v>20000</v>
      </c>
      <c r="N44" s="123">
        <f t="shared" si="10"/>
        <v>0.11049723756906077</v>
      </c>
      <c r="O44" s="25">
        <f t="shared" si="11"/>
        <v>36200</v>
      </c>
      <c r="P44" s="27" t="s">
        <v>2406</v>
      </c>
      <c r="Q44" s="19" t="s">
        <v>2005</v>
      </c>
      <c r="R44" s="19" t="s">
        <v>43</v>
      </c>
      <c r="S44" s="19" t="s">
        <v>38</v>
      </c>
      <c r="T44" s="19" t="s">
        <v>2407</v>
      </c>
    </row>
    <row r="45" spans="1:20" x14ac:dyDescent="0.3">
      <c r="A45" s="74" t="s">
        <v>2005</v>
      </c>
      <c r="B45" s="10" t="s">
        <v>2412</v>
      </c>
      <c r="C45" s="10" t="s">
        <v>2413</v>
      </c>
      <c r="D45" s="11">
        <v>45079</v>
      </c>
      <c r="E45" s="12">
        <v>188500</v>
      </c>
      <c r="F45" s="10" t="s">
        <v>32</v>
      </c>
      <c r="G45" s="10" t="s">
        <v>33</v>
      </c>
      <c r="H45" s="12">
        <v>188500</v>
      </c>
      <c r="I45" s="12">
        <v>63500</v>
      </c>
      <c r="J45" s="13">
        <f t="shared" si="9"/>
        <v>33.687002652519894</v>
      </c>
      <c r="K45" s="12">
        <v>186307</v>
      </c>
      <c r="L45" s="12">
        <f>H45-166307</f>
        <v>22193</v>
      </c>
      <c r="M45" s="12">
        <v>20000</v>
      </c>
      <c r="N45" s="112">
        <f t="shared" si="10"/>
        <v>0.10610079575596817</v>
      </c>
      <c r="O45" s="16">
        <f t="shared" si="11"/>
        <v>37700</v>
      </c>
      <c r="P45" s="18" t="s">
        <v>2406</v>
      </c>
      <c r="Q45" s="10" t="s">
        <v>2005</v>
      </c>
      <c r="R45" s="10" t="s">
        <v>43</v>
      </c>
      <c r="S45" s="10" t="s">
        <v>38</v>
      </c>
      <c r="T45" s="10" t="s">
        <v>2407</v>
      </c>
    </row>
    <row r="46" spans="1:20" ht="15" thickBot="1" x14ac:dyDescent="0.35">
      <c r="A46" s="74" t="s">
        <v>2005</v>
      </c>
      <c r="B46" s="10" t="s">
        <v>2414</v>
      </c>
      <c r="C46" s="10" t="s">
        <v>2415</v>
      </c>
      <c r="D46" s="11">
        <v>45387</v>
      </c>
      <c r="E46" s="12">
        <v>170000</v>
      </c>
      <c r="F46" s="10" t="s">
        <v>32</v>
      </c>
      <c r="G46" s="10" t="s">
        <v>33</v>
      </c>
      <c r="H46" s="12">
        <v>170000</v>
      </c>
      <c r="I46" s="12">
        <v>79500</v>
      </c>
      <c r="J46" s="13">
        <f t="shared" si="9"/>
        <v>46.764705882352942</v>
      </c>
      <c r="K46" s="12">
        <v>187171</v>
      </c>
      <c r="L46" s="12">
        <f>H46-167171</f>
        <v>2829</v>
      </c>
      <c r="M46" s="12">
        <v>20000</v>
      </c>
      <c r="N46" s="112">
        <f t="shared" si="10"/>
        <v>0.11764705882352941</v>
      </c>
      <c r="O46" s="16">
        <f t="shared" si="11"/>
        <v>34000</v>
      </c>
      <c r="P46" s="18" t="s">
        <v>2406</v>
      </c>
      <c r="Q46" s="10" t="s">
        <v>2005</v>
      </c>
      <c r="R46" s="10" t="s">
        <v>43</v>
      </c>
      <c r="S46" s="10" t="s">
        <v>38</v>
      </c>
      <c r="T46" s="10" t="s">
        <v>2407</v>
      </c>
    </row>
    <row r="47" spans="1:20" ht="15" thickTop="1" x14ac:dyDescent="0.3">
      <c r="A47" s="76"/>
      <c r="B47" s="37"/>
      <c r="C47" s="37"/>
      <c r="D47" s="38" t="s">
        <v>2876</v>
      </c>
      <c r="E47" s="39">
        <f>+SUM(E42:E46)</f>
        <v>907500</v>
      </c>
      <c r="F47" s="37"/>
      <c r="G47" s="37"/>
      <c r="H47" s="39">
        <f>+SUM(H42:H46)</f>
        <v>907500</v>
      </c>
      <c r="I47" s="39">
        <f>+SUM(I42:I46)</f>
        <v>352000</v>
      </c>
      <c r="J47" s="40"/>
      <c r="K47" s="39">
        <f>+SUM(K42:K46)</f>
        <v>990401</v>
      </c>
      <c r="L47" s="39">
        <f>+SUM(L42:L46)</f>
        <v>17099</v>
      </c>
      <c r="M47" s="39">
        <f>+SUM(M42:M46)</f>
        <v>100000</v>
      </c>
      <c r="N47" s="134">
        <f>AVERAGE(N42:N46)</f>
        <v>0.11034783639661475</v>
      </c>
      <c r="O47" s="139">
        <f>AVERAGE(O42:O46)</f>
        <v>36300</v>
      </c>
      <c r="P47" s="45"/>
      <c r="Q47" s="37"/>
      <c r="R47" s="37"/>
      <c r="S47" s="37"/>
      <c r="T47" s="37"/>
    </row>
    <row r="48" spans="1:20" x14ac:dyDescent="0.3">
      <c r="A48" s="77"/>
      <c r="B48" s="28"/>
      <c r="C48" s="224" t="s">
        <v>3131</v>
      </c>
      <c r="D48" s="29"/>
      <c r="E48" s="30"/>
      <c r="F48" s="28"/>
      <c r="G48" s="28"/>
      <c r="H48" s="30"/>
      <c r="I48" s="30" t="s">
        <v>2877</v>
      </c>
      <c r="J48" s="31">
        <f>I47/H47*100</f>
        <v>38.787878787878789</v>
      </c>
      <c r="K48" s="30"/>
      <c r="L48" s="30"/>
      <c r="M48" s="30" t="s">
        <v>2879</v>
      </c>
      <c r="N48" s="79"/>
      <c r="O48" s="152"/>
      <c r="P48" s="36"/>
      <c r="Q48" s="28"/>
      <c r="R48" s="28"/>
      <c r="S48" s="28"/>
      <c r="T48" s="28"/>
    </row>
    <row r="49" spans="1:20" x14ac:dyDescent="0.3">
      <c r="A49" s="188" t="s">
        <v>3142</v>
      </c>
      <c r="B49" s="188"/>
      <c r="C49" s="212" t="s">
        <v>3143</v>
      </c>
      <c r="D49" s="46"/>
      <c r="E49" s="225"/>
      <c r="F49" s="225"/>
      <c r="G49" s="46"/>
      <c r="H49" s="48"/>
      <c r="I49" s="48" t="s">
        <v>2878</v>
      </c>
      <c r="J49" s="49">
        <f>STDEV(J42:J46)</f>
        <v>4.7787443739072453</v>
      </c>
      <c r="K49" s="48"/>
      <c r="L49" s="48"/>
      <c r="M49" s="48" t="s">
        <v>2880</v>
      </c>
      <c r="N49" s="80"/>
      <c r="O49" s="165"/>
      <c r="P49" s="53"/>
      <c r="Q49" s="46"/>
      <c r="R49" s="46"/>
      <c r="S49" s="46"/>
      <c r="T49" s="46"/>
    </row>
    <row r="50" spans="1:20" x14ac:dyDescent="0.3">
      <c r="D50" s="190" t="s">
        <v>3112</v>
      </c>
      <c r="E50" s="191">
        <f>AVERAGE(E42:E46)</f>
        <v>181500</v>
      </c>
    </row>
    <row r="51" spans="1:20" x14ac:dyDescent="0.3">
      <c r="D51" s="190"/>
      <c r="E51" s="192">
        <v>0.2</v>
      </c>
    </row>
    <row r="52" spans="1:20" x14ac:dyDescent="0.3">
      <c r="D52" s="190"/>
      <c r="E52" s="226">
        <f>E50*0.2</f>
        <v>36300</v>
      </c>
    </row>
    <row r="55" spans="1:20" x14ac:dyDescent="0.3">
      <c r="A55" s="211" t="s">
        <v>3144</v>
      </c>
    </row>
    <row r="56" spans="1:20" x14ac:dyDescent="0.3">
      <c r="A56" s="1" t="s">
        <v>23</v>
      </c>
      <c r="B56" s="1" t="s">
        <v>0</v>
      </c>
      <c r="C56" s="1" t="s">
        <v>1</v>
      </c>
      <c r="D56" s="2" t="s">
        <v>2</v>
      </c>
      <c r="E56" s="3" t="s">
        <v>3</v>
      </c>
      <c r="F56" s="1" t="s">
        <v>4</v>
      </c>
      <c r="G56" s="1" t="s">
        <v>5</v>
      </c>
      <c r="H56" s="3" t="s">
        <v>6</v>
      </c>
      <c r="I56" s="3" t="s">
        <v>7</v>
      </c>
      <c r="J56" s="4" t="s">
        <v>8</v>
      </c>
      <c r="K56" s="3" t="s">
        <v>9</v>
      </c>
      <c r="L56" s="3" t="s">
        <v>10</v>
      </c>
      <c r="M56" s="3" t="s">
        <v>11</v>
      </c>
      <c r="N56" s="339" t="s">
        <v>3066</v>
      </c>
      <c r="O56" s="338" t="s">
        <v>3069</v>
      </c>
      <c r="P56" s="9" t="s">
        <v>20</v>
      </c>
      <c r="Q56" s="1" t="s">
        <v>23</v>
      </c>
      <c r="R56" s="1" t="s">
        <v>27</v>
      </c>
      <c r="S56" s="1" t="s">
        <v>28</v>
      </c>
      <c r="T56" s="1" t="s">
        <v>29</v>
      </c>
    </row>
    <row r="57" spans="1:20" x14ac:dyDescent="0.3">
      <c r="A57" s="75" t="s">
        <v>2005</v>
      </c>
      <c r="B57" s="19" t="s">
        <v>2426</v>
      </c>
      <c r="C57" s="19" t="s">
        <v>2427</v>
      </c>
      <c r="D57" s="20">
        <v>45744</v>
      </c>
      <c r="E57" s="21">
        <v>248750</v>
      </c>
      <c r="F57" s="19" t="s">
        <v>32</v>
      </c>
      <c r="G57" s="19" t="s">
        <v>33</v>
      </c>
      <c r="H57" s="21">
        <v>248750</v>
      </c>
      <c r="I57" s="21">
        <v>100600</v>
      </c>
      <c r="J57" s="22">
        <f t="shared" ref="J57:J58" si="12">I57/H57*100</f>
        <v>40.442211055276381</v>
      </c>
      <c r="K57" s="21">
        <v>228363</v>
      </c>
      <c r="L57" s="21">
        <f>H57-208363</f>
        <v>40387</v>
      </c>
      <c r="M57" s="21">
        <v>20000</v>
      </c>
      <c r="N57" s="123">
        <f t="shared" ref="N57:N58" si="13">M57/E57</f>
        <v>8.0402010050251257E-2</v>
      </c>
      <c r="O57" s="25">
        <f t="shared" ref="O57:O58" si="14">0.2*E57</f>
        <v>49750</v>
      </c>
      <c r="P57" s="27" t="s">
        <v>2428</v>
      </c>
      <c r="Q57" s="19" t="s">
        <v>2005</v>
      </c>
      <c r="R57" s="19" t="s">
        <v>35</v>
      </c>
      <c r="S57" s="19" t="s">
        <v>38</v>
      </c>
      <c r="T57" s="19" t="s">
        <v>2429</v>
      </c>
    </row>
    <row r="58" spans="1:20" ht="15" thickBot="1" x14ac:dyDescent="0.35">
      <c r="A58" s="75" t="s">
        <v>2005</v>
      </c>
      <c r="B58" s="19" t="s">
        <v>2430</v>
      </c>
      <c r="C58" s="19" t="s">
        <v>2431</v>
      </c>
      <c r="D58" s="20">
        <v>45457</v>
      </c>
      <c r="E58" s="21">
        <v>245000</v>
      </c>
      <c r="F58" s="19" t="s">
        <v>32</v>
      </c>
      <c r="G58" s="19" t="s">
        <v>33</v>
      </c>
      <c r="H58" s="21">
        <v>245000</v>
      </c>
      <c r="I58" s="21">
        <v>103800</v>
      </c>
      <c r="J58" s="22">
        <f t="shared" si="12"/>
        <v>42.367346938775505</v>
      </c>
      <c r="K58" s="21">
        <v>235944</v>
      </c>
      <c r="L58" s="21">
        <f>H58-215944</f>
        <v>29056</v>
      </c>
      <c r="M58" s="21">
        <v>20000</v>
      </c>
      <c r="N58" s="123">
        <f t="shared" si="13"/>
        <v>8.1632653061224483E-2</v>
      </c>
      <c r="O58" s="25">
        <f t="shared" si="14"/>
        <v>49000</v>
      </c>
      <c r="P58" s="27" t="s">
        <v>2428</v>
      </c>
      <c r="Q58" s="19" t="s">
        <v>2005</v>
      </c>
      <c r="R58" s="19" t="s">
        <v>43</v>
      </c>
      <c r="S58" s="19" t="s">
        <v>38</v>
      </c>
      <c r="T58" s="19" t="s">
        <v>2429</v>
      </c>
    </row>
    <row r="59" spans="1:20" ht="15" thickTop="1" x14ac:dyDescent="0.3">
      <c r="A59" s="76"/>
      <c r="B59" s="37"/>
      <c r="C59" s="37"/>
      <c r="D59" s="38" t="s">
        <v>2876</v>
      </c>
      <c r="E59" s="39">
        <f>+SUM(E57:E58)</f>
        <v>493750</v>
      </c>
      <c r="F59" s="37"/>
      <c r="G59" s="37"/>
      <c r="H59" s="39">
        <f>+SUM(H57:H58)</f>
        <v>493750</v>
      </c>
      <c r="I59" s="39">
        <f>+SUM(I57:I58)</f>
        <v>204400</v>
      </c>
      <c r="J59" s="40"/>
      <c r="K59" s="39">
        <f>+SUM(K57:K58)</f>
        <v>464307</v>
      </c>
      <c r="L59" s="39">
        <f>+SUM(L57:L58)</f>
        <v>69443</v>
      </c>
      <c r="M59" s="39">
        <f>+SUM(M57:M58)</f>
        <v>40000</v>
      </c>
      <c r="N59" s="134">
        <f>AVERAGE(N57:N58)</f>
        <v>8.101733155573787E-2</v>
      </c>
      <c r="O59" s="139">
        <f>AVERAGE(O57:O58)</f>
        <v>49375</v>
      </c>
      <c r="P59" s="45"/>
      <c r="Q59" s="37"/>
      <c r="R59" s="37"/>
      <c r="S59" s="37"/>
      <c r="T59" s="37"/>
    </row>
    <row r="60" spans="1:20" x14ac:dyDescent="0.3">
      <c r="A60" s="77"/>
      <c r="B60" s="28"/>
      <c r="C60" s="224" t="s">
        <v>3131</v>
      </c>
      <c r="D60" s="29"/>
      <c r="E60" s="30"/>
      <c r="F60" s="28"/>
      <c r="G60" s="28"/>
      <c r="H60" s="30"/>
      <c r="I60" s="30" t="s">
        <v>2877</v>
      </c>
      <c r="J60" s="31">
        <f>I59/H59*100</f>
        <v>41.39746835443038</v>
      </c>
      <c r="K60" s="30"/>
      <c r="L60" s="30"/>
      <c r="M60" s="30" t="s">
        <v>2879</v>
      </c>
      <c r="N60" s="79"/>
      <c r="O60" s="152"/>
      <c r="P60" s="36"/>
      <c r="Q60" s="28"/>
      <c r="R60" s="28"/>
      <c r="S60" s="28"/>
      <c r="T60" s="28"/>
    </row>
    <row r="61" spans="1:20" x14ac:dyDescent="0.3">
      <c r="A61" s="188" t="s">
        <v>3145</v>
      </c>
      <c r="B61" s="188"/>
      <c r="C61" s="212" t="s">
        <v>3146</v>
      </c>
      <c r="D61" s="46"/>
      <c r="E61" s="46"/>
      <c r="F61" s="225"/>
      <c r="G61" s="225"/>
      <c r="H61" s="48"/>
      <c r="I61" s="48" t="s">
        <v>2878</v>
      </c>
      <c r="J61" s="49">
        <f>STDEV(J57:J58)</f>
        <v>1.3612766379277856</v>
      </c>
      <c r="K61" s="48"/>
      <c r="L61" s="48"/>
      <c r="M61" s="48" t="s">
        <v>2880</v>
      </c>
      <c r="N61" s="80"/>
      <c r="O61" s="165"/>
      <c r="P61" s="53"/>
      <c r="Q61" s="46"/>
      <c r="R61" s="46"/>
      <c r="S61" s="46"/>
      <c r="T61" s="46"/>
    </row>
    <row r="62" spans="1:20" x14ac:dyDescent="0.3">
      <c r="D62" s="190" t="s">
        <v>3112</v>
      </c>
      <c r="E62" s="191">
        <f>AVERAGE(E57:E58)</f>
        <v>246875</v>
      </c>
    </row>
    <row r="63" spans="1:20" x14ac:dyDescent="0.3">
      <c r="D63" s="190"/>
      <c r="E63" s="192">
        <v>0.2</v>
      </c>
    </row>
    <row r="64" spans="1:20" x14ac:dyDescent="0.3">
      <c r="D64" s="190"/>
      <c r="E64" s="226">
        <f>E62*0.2</f>
        <v>49375</v>
      </c>
    </row>
    <row r="66" spans="1:20" ht="15" thickBot="1" x14ac:dyDescent="0.35"/>
    <row r="67" spans="1:20" x14ac:dyDescent="0.3">
      <c r="A67" s="213" t="s">
        <v>3147</v>
      </c>
      <c r="B67" s="195"/>
      <c r="C67" s="228" t="s">
        <v>3148</v>
      </c>
    </row>
    <row r="68" spans="1:20" ht="15" thickBot="1" x14ac:dyDescent="0.35">
      <c r="A68" s="200" t="s">
        <v>3149</v>
      </c>
      <c r="B68" s="229"/>
      <c r="C68" s="230" t="s">
        <v>3150</v>
      </c>
    </row>
    <row r="69" spans="1:20" x14ac:dyDescent="0.3">
      <c r="A69"/>
      <c r="C69" t="s">
        <v>3151</v>
      </c>
    </row>
    <row r="73" spans="1:20" x14ac:dyDescent="0.3">
      <c r="A73" s="211" t="s">
        <v>3152</v>
      </c>
    </row>
    <row r="74" spans="1:20" x14ac:dyDescent="0.3">
      <c r="A74" s="1" t="s">
        <v>23</v>
      </c>
      <c r="B74" s="1" t="s">
        <v>0</v>
      </c>
      <c r="C74" s="1" t="s">
        <v>1</v>
      </c>
      <c r="D74" s="2" t="s">
        <v>2</v>
      </c>
      <c r="E74" s="3" t="s">
        <v>3</v>
      </c>
      <c r="F74" s="1" t="s">
        <v>4</v>
      </c>
      <c r="G74" s="1" t="s">
        <v>5</v>
      </c>
      <c r="H74" s="3" t="s">
        <v>6</v>
      </c>
      <c r="I74" s="3" t="s">
        <v>7</v>
      </c>
      <c r="J74" s="4" t="s">
        <v>8</v>
      </c>
      <c r="K74" s="3" t="s">
        <v>9</v>
      </c>
      <c r="L74" s="3" t="s">
        <v>10</v>
      </c>
      <c r="M74" s="3" t="s">
        <v>11</v>
      </c>
      <c r="N74" s="339" t="s">
        <v>3066</v>
      </c>
      <c r="O74" s="338" t="s">
        <v>3069</v>
      </c>
      <c r="P74" s="9" t="s">
        <v>20</v>
      </c>
      <c r="Q74" s="1" t="s">
        <v>23</v>
      </c>
      <c r="R74" s="1" t="s">
        <v>27</v>
      </c>
      <c r="S74" s="1" t="s">
        <v>28</v>
      </c>
      <c r="T74" s="1" t="s">
        <v>29</v>
      </c>
    </row>
    <row r="75" spans="1:20" x14ac:dyDescent="0.3">
      <c r="A75" s="74" t="s">
        <v>2005</v>
      </c>
      <c r="B75" s="10" t="s">
        <v>2667</v>
      </c>
      <c r="C75" s="10" t="s">
        <v>2668</v>
      </c>
      <c r="D75" s="11">
        <v>45719</v>
      </c>
      <c r="E75" s="12">
        <v>74000</v>
      </c>
      <c r="F75" s="10" t="s">
        <v>32</v>
      </c>
      <c r="G75" s="10" t="s">
        <v>33</v>
      </c>
      <c r="H75" s="12">
        <v>74000</v>
      </c>
      <c r="I75" s="12">
        <v>42000</v>
      </c>
      <c r="J75" s="13">
        <f t="shared" ref="J75:J91" si="15">I75/H75*100</f>
        <v>56.756756756756758</v>
      </c>
      <c r="K75" s="12">
        <v>98241</v>
      </c>
      <c r="L75" s="12">
        <f>H75-88241</f>
        <v>-14241</v>
      </c>
      <c r="M75" s="12">
        <v>10000</v>
      </c>
      <c r="N75" s="112">
        <f t="shared" ref="N75:N91" si="16">M75/E75</f>
        <v>0.13513513513513514</v>
      </c>
      <c r="O75" s="16">
        <f t="shared" ref="O75:O91" si="17">0.2*E75</f>
        <v>14800</v>
      </c>
      <c r="P75" s="18" t="s">
        <v>2669</v>
      </c>
      <c r="Q75" s="10" t="s">
        <v>2005</v>
      </c>
      <c r="R75" s="10" t="s">
        <v>35</v>
      </c>
      <c r="S75" s="10" t="s">
        <v>38</v>
      </c>
      <c r="T75" s="10" t="s">
        <v>2670</v>
      </c>
    </row>
    <row r="76" spans="1:20" x14ac:dyDescent="0.3">
      <c r="A76" s="75" t="s">
        <v>2005</v>
      </c>
      <c r="B76" s="19" t="s">
        <v>2671</v>
      </c>
      <c r="C76" s="19" t="s">
        <v>2672</v>
      </c>
      <c r="D76" s="20">
        <v>45534</v>
      </c>
      <c r="E76" s="21">
        <v>115000</v>
      </c>
      <c r="F76" s="19" t="s">
        <v>32</v>
      </c>
      <c r="G76" s="19" t="s">
        <v>33</v>
      </c>
      <c r="H76" s="21">
        <v>115000</v>
      </c>
      <c r="I76" s="21">
        <v>40200</v>
      </c>
      <c r="J76" s="22">
        <f t="shared" si="15"/>
        <v>34.956521739130437</v>
      </c>
      <c r="K76" s="21">
        <v>93869</v>
      </c>
      <c r="L76" s="21">
        <f>H76-83869</f>
        <v>31131</v>
      </c>
      <c r="M76" s="21">
        <v>10000</v>
      </c>
      <c r="N76" s="123">
        <f t="shared" si="16"/>
        <v>8.6956521739130432E-2</v>
      </c>
      <c r="O76" s="25">
        <f t="shared" si="17"/>
        <v>23000</v>
      </c>
      <c r="P76" s="27" t="s">
        <v>2669</v>
      </c>
      <c r="Q76" s="19" t="s">
        <v>2005</v>
      </c>
      <c r="R76" s="19" t="s">
        <v>43</v>
      </c>
      <c r="S76" s="19" t="s">
        <v>38</v>
      </c>
      <c r="T76" s="19" t="s">
        <v>2670</v>
      </c>
    </row>
    <row r="77" spans="1:20" x14ac:dyDescent="0.3">
      <c r="A77" s="75" t="s">
        <v>2005</v>
      </c>
      <c r="B77" s="19" t="s">
        <v>2673</v>
      </c>
      <c r="C77" s="19" t="s">
        <v>2674</v>
      </c>
      <c r="D77" s="20">
        <v>45646</v>
      </c>
      <c r="E77" s="21">
        <v>138000</v>
      </c>
      <c r="F77" s="19" t="s">
        <v>32</v>
      </c>
      <c r="G77" s="19" t="s">
        <v>33</v>
      </c>
      <c r="H77" s="21">
        <v>138000</v>
      </c>
      <c r="I77" s="21">
        <v>53400</v>
      </c>
      <c r="J77" s="22">
        <f t="shared" si="15"/>
        <v>38.695652173913039</v>
      </c>
      <c r="K77" s="21">
        <v>126252</v>
      </c>
      <c r="L77" s="21">
        <f>H77-116252</f>
        <v>21748</v>
      </c>
      <c r="M77" s="21">
        <v>10000</v>
      </c>
      <c r="N77" s="123">
        <f t="shared" si="16"/>
        <v>7.2463768115942032E-2</v>
      </c>
      <c r="O77" s="25">
        <f t="shared" si="17"/>
        <v>27600</v>
      </c>
      <c r="P77" s="27" t="s">
        <v>2669</v>
      </c>
      <c r="Q77" s="19" t="s">
        <v>2005</v>
      </c>
      <c r="R77" s="19" t="s">
        <v>35</v>
      </c>
      <c r="S77" s="19" t="s">
        <v>38</v>
      </c>
      <c r="T77" s="19" t="s">
        <v>2670</v>
      </c>
    </row>
    <row r="78" spans="1:20" x14ac:dyDescent="0.3">
      <c r="A78" s="74" t="s">
        <v>2005</v>
      </c>
      <c r="B78" s="10" t="s">
        <v>2675</v>
      </c>
      <c r="C78" s="10" t="s">
        <v>2676</v>
      </c>
      <c r="D78" s="11">
        <v>45351</v>
      </c>
      <c r="E78" s="12">
        <v>135000</v>
      </c>
      <c r="F78" s="10" t="s">
        <v>32</v>
      </c>
      <c r="G78" s="10" t="s">
        <v>33</v>
      </c>
      <c r="H78" s="12">
        <v>135000</v>
      </c>
      <c r="I78" s="12">
        <v>44100</v>
      </c>
      <c r="J78" s="13">
        <f t="shared" si="15"/>
        <v>32.666666666666664</v>
      </c>
      <c r="K78" s="12">
        <v>126252</v>
      </c>
      <c r="L78" s="12">
        <f>H78-116252</f>
        <v>18748</v>
      </c>
      <c r="M78" s="12">
        <v>10000</v>
      </c>
      <c r="N78" s="112">
        <f t="shared" si="16"/>
        <v>7.407407407407407E-2</v>
      </c>
      <c r="O78" s="16">
        <f t="shared" si="17"/>
        <v>27000</v>
      </c>
      <c r="P78" s="18" t="s">
        <v>2669</v>
      </c>
      <c r="Q78" s="10" t="s">
        <v>2005</v>
      </c>
      <c r="R78" s="10" t="s">
        <v>43</v>
      </c>
      <c r="S78" s="10" t="s">
        <v>38</v>
      </c>
      <c r="T78" s="10" t="s">
        <v>2670</v>
      </c>
    </row>
    <row r="79" spans="1:20" x14ac:dyDescent="0.3">
      <c r="A79" s="74" t="s">
        <v>2005</v>
      </c>
      <c r="B79" s="10" t="s">
        <v>2677</v>
      </c>
      <c r="C79" s="10" t="s">
        <v>2678</v>
      </c>
      <c r="D79" s="11">
        <v>45399</v>
      </c>
      <c r="E79" s="12">
        <v>140000</v>
      </c>
      <c r="F79" s="10" t="s">
        <v>32</v>
      </c>
      <c r="G79" s="10" t="s">
        <v>33</v>
      </c>
      <c r="H79" s="12">
        <v>140000</v>
      </c>
      <c r="I79" s="12">
        <v>53400</v>
      </c>
      <c r="J79" s="13">
        <f t="shared" si="15"/>
        <v>38.142857142857146</v>
      </c>
      <c r="K79" s="12">
        <v>126252</v>
      </c>
      <c r="L79" s="12">
        <f>H79-116252</f>
        <v>23748</v>
      </c>
      <c r="M79" s="12">
        <v>10000</v>
      </c>
      <c r="N79" s="112">
        <f t="shared" si="16"/>
        <v>7.1428571428571425E-2</v>
      </c>
      <c r="O79" s="16">
        <f t="shared" si="17"/>
        <v>28000</v>
      </c>
      <c r="P79" s="18" t="s">
        <v>2669</v>
      </c>
      <c r="Q79" s="10" t="s">
        <v>2005</v>
      </c>
      <c r="R79" s="10" t="s">
        <v>43</v>
      </c>
      <c r="S79" s="10" t="s">
        <v>38</v>
      </c>
      <c r="T79" s="10" t="s">
        <v>2670</v>
      </c>
    </row>
    <row r="80" spans="1:20" x14ac:dyDescent="0.3">
      <c r="A80" s="75" t="s">
        <v>2005</v>
      </c>
      <c r="B80" s="19" t="s">
        <v>2679</v>
      </c>
      <c r="C80" s="19" t="s">
        <v>2680</v>
      </c>
      <c r="D80" s="20">
        <v>45471</v>
      </c>
      <c r="E80" s="21">
        <v>110000</v>
      </c>
      <c r="F80" s="19" t="s">
        <v>32</v>
      </c>
      <c r="G80" s="19" t="s">
        <v>33</v>
      </c>
      <c r="H80" s="21">
        <v>110000</v>
      </c>
      <c r="I80" s="21">
        <v>38800</v>
      </c>
      <c r="J80" s="22">
        <f t="shared" si="15"/>
        <v>35.272727272727273</v>
      </c>
      <c r="K80" s="21">
        <v>90736</v>
      </c>
      <c r="L80" s="21">
        <f>H80-80736</f>
        <v>29264</v>
      </c>
      <c r="M80" s="21">
        <v>10000</v>
      </c>
      <c r="N80" s="123">
        <f t="shared" si="16"/>
        <v>9.0909090909090912E-2</v>
      </c>
      <c r="O80" s="25">
        <f t="shared" si="17"/>
        <v>22000</v>
      </c>
      <c r="P80" s="27" t="s">
        <v>2669</v>
      </c>
      <c r="Q80" s="19" t="s">
        <v>2005</v>
      </c>
      <c r="R80" s="19" t="s">
        <v>43</v>
      </c>
      <c r="S80" s="19" t="s">
        <v>38</v>
      </c>
      <c r="T80" s="19" t="s">
        <v>2670</v>
      </c>
    </row>
    <row r="81" spans="1:20" x14ac:dyDescent="0.3">
      <c r="A81" s="75" t="s">
        <v>2005</v>
      </c>
      <c r="B81" s="19" t="s">
        <v>2681</v>
      </c>
      <c r="C81" s="19" t="s">
        <v>2682</v>
      </c>
      <c r="D81" s="20">
        <v>45323</v>
      </c>
      <c r="E81" s="21">
        <v>135000</v>
      </c>
      <c r="F81" s="19" t="s">
        <v>32</v>
      </c>
      <c r="G81" s="19" t="s">
        <v>33</v>
      </c>
      <c r="H81" s="21">
        <v>135000</v>
      </c>
      <c r="I81" s="21">
        <v>44100</v>
      </c>
      <c r="J81" s="22">
        <f t="shared" si="15"/>
        <v>32.666666666666664</v>
      </c>
      <c r="K81" s="21">
        <v>126252</v>
      </c>
      <c r="L81" s="21">
        <f>H81-116252</f>
        <v>18748</v>
      </c>
      <c r="M81" s="21">
        <v>10000</v>
      </c>
      <c r="N81" s="123">
        <f t="shared" si="16"/>
        <v>7.407407407407407E-2</v>
      </c>
      <c r="O81" s="25">
        <f t="shared" si="17"/>
        <v>27000</v>
      </c>
      <c r="P81" s="27" t="s">
        <v>2669</v>
      </c>
      <c r="Q81" s="19" t="s">
        <v>2005</v>
      </c>
      <c r="R81" s="19" t="s">
        <v>43</v>
      </c>
      <c r="S81" s="19" t="s">
        <v>38</v>
      </c>
      <c r="T81" s="19" t="s">
        <v>2670</v>
      </c>
    </row>
    <row r="82" spans="1:20" x14ac:dyDescent="0.3">
      <c r="A82" s="74" t="s">
        <v>2005</v>
      </c>
      <c r="B82" s="10" t="s">
        <v>2683</v>
      </c>
      <c r="C82" s="10" t="s">
        <v>2684</v>
      </c>
      <c r="D82" s="11">
        <v>45611</v>
      </c>
      <c r="E82" s="12">
        <v>124555</v>
      </c>
      <c r="F82" s="10" t="s">
        <v>81</v>
      </c>
      <c r="G82" s="10" t="s">
        <v>33</v>
      </c>
      <c r="H82" s="12">
        <v>124555</v>
      </c>
      <c r="I82" s="12">
        <v>40200</v>
      </c>
      <c r="J82" s="13">
        <f t="shared" si="15"/>
        <v>32.274898639155388</v>
      </c>
      <c r="K82" s="12">
        <v>93925</v>
      </c>
      <c r="L82" s="12">
        <f>H82-83925</f>
        <v>40630</v>
      </c>
      <c r="M82" s="12">
        <v>10000</v>
      </c>
      <c r="N82" s="112">
        <f t="shared" si="16"/>
        <v>8.0285817510336796E-2</v>
      </c>
      <c r="O82" s="16">
        <f t="shared" si="17"/>
        <v>24911</v>
      </c>
      <c r="P82" s="18" t="s">
        <v>2669</v>
      </c>
      <c r="Q82" s="10" t="s">
        <v>2005</v>
      </c>
      <c r="R82" s="10" t="s">
        <v>35</v>
      </c>
      <c r="S82" s="10" t="s">
        <v>38</v>
      </c>
      <c r="T82" s="10" t="s">
        <v>2670</v>
      </c>
    </row>
    <row r="83" spans="1:20" x14ac:dyDescent="0.3">
      <c r="A83" s="75" t="s">
        <v>2005</v>
      </c>
      <c r="B83" s="19" t="s">
        <v>2685</v>
      </c>
      <c r="C83" s="19" t="s">
        <v>2686</v>
      </c>
      <c r="D83" s="20">
        <v>45394</v>
      </c>
      <c r="E83" s="21">
        <v>125000</v>
      </c>
      <c r="F83" s="19" t="s">
        <v>32</v>
      </c>
      <c r="G83" s="19" t="s">
        <v>33</v>
      </c>
      <c r="H83" s="21">
        <v>125000</v>
      </c>
      <c r="I83" s="21">
        <v>40700</v>
      </c>
      <c r="J83" s="22">
        <f t="shared" si="15"/>
        <v>32.56</v>
      </c>
      <c r="K83" s="21">
        <v>95123</v>
      </c>
      <c r="L83" s="21">
        <f>H83-85123</f>
        <v>39877</v>
      </c>
      <c r="M83" s="21">
        <v>10000</v>
      </c>
      <c r="N83" s="123">
        <f t="shared" si="16"/>
        <v>0.08</v>
      </c>
      <c r="O83" s="25">
        <f t="shared" si="17"/>
        <v>25000</v>
      </c>
      <c r="P83" s="27" t="s">
        <v>2669</v>
      </c>
      <c r="Q83" s="19" t="s">
        <v>2005</v>
      </c>
      <c r="R83" s="19" t="s">
        <v>43</v>
      </c>
      <c r="S83" s="19" t="s">
        <v>38</v>
      </c>
      <c r="T83" s="19" t="s">
        <v>2670</v>
      </c>
    </row>
    <row r="84" spans="1:20" x14ac:dyDescent="0.3">
      <c r="A84" s="74" t="s">
        <v>2005</v>
      </c>
      <c r="B84" s="10" t="s">
        <v>2685</v>
      </c>
      <c r="C84" s="10" t="s">
        <v>2686</v>
      </c>
      <c r="D84" s="11">
        <v>45114</v>
      </c>
      <c r="E84" s="12">
        <v>105000</v>
      </c>
      <c r="F84" s="10" t="s">
        <v>32</v>
      </c>
      <c r="G84" s="10" t="s">
        <v>33</v>
      </c>
      <c r="H84" s="12">
        <v>105000</v>
      </c>
      <c r="I84" s="12">
        <v>33900</v>
      </c>
      <c r="J84" s="13">
        <f t="shared" si="15"/>
        <v>32.285714285714285</v>
      </c>
      <c r="K84" s="12">
        <v>95123</v>
      </c>
      <c r="L84" s="12">
        <f>H84-85123</f>
        <v>19877</v>
      </c>
      <c r="M84" s="12">
        <v>10000</v>
      </c>
      <c r="N84" s="112">
        <f t="shared" si="16"/>
        <v>9.5238095238095233E-2</v>
      </c>
      <c r="O84" s="16">
        <f t="shared" si="17"/>
        <v>21000</v>
      </c>
      <c r="P84" s="18" t="s">
        <v>2669</v>
      </c>
      <c r="Q84" s="10" t="s">
        <v>2005</v>
      </c>
      <c r="R84" s="10" t="s">
        <v>43</v>
      </c>
      <c r="S84" s="10" t="s">
        <v>38</v>
      </c>
      <c r="T84" s="10" t="s">
        <v>2670</v>
      </c>
    </row>
    <row r="85" spans="1:20" x14ac:dyDescent="0.3">
      <c r="A85" s="75" t="s">
        <v>2005</v>
      </c>
      <c r="B85" s="19" t="s">
        <v>2687</v>
      </c>
      <c r="C85" s="19" t="s">
        <v>2688</v>
      </c>
      <c r="D85" s="20">
        <v>45366</v>
      </c>
      <c r="E85" s="21">
        <v>139500</v>
      </c>
      <c r="F85" s="19" t="s">
        <v>32</v>
      </c>
      <c r="G85" s="19" t="s">
        <v>33</v>
      </c>
      <c r="H85" s="21">
        <v>139500</v>
      </c>
      <c r="I85" s="21">
        <v>44100</v>
      </c>
      <c r="J85" s="22">
        <f t="shared" si="15"/>
        <v>31.612903225806448</v>
      </c>
      <c r="K85" s="21">
        <v>129512</v>
      </c>
      <c r="L85" s="21">
        <f>H85-119512</f>
        <v>19988</v>
      </c>
      <c r="M85" s="21">
        <v>10000</v>
      </c>
      <c r="N85" s="123">
        <f t="shared" si="16"/>
        <v>7.1684587813620068E-2</v>
      </c>
      <c r="O85" s="25">
        <f t="shared" si="17"/>
        <v>27900</v>
      </c>
      <c r="P85" s="27" t="s">
        <v>2669</v>
      </c>
      <c r="Q85" s="19" t="s">
        <v>2005</v>
      </c>
      <c r="R85" s="19" t="s">
        <v>43</v>
      </c>
      <c r="S85" s="19" t="s">
        <v>38</v>
      </c>
      <c r="T85" s="19" t="s">
        <v>2670</v>
      </c>
    </row>
    <row r="86" spans="1:20" x14ac:dyDescent="0.3">
      <c r="A86" s="74" t="s">
        <v>2005</v>
      </c>
      <c r="B86" s="10" t="s">
        <v>2689</v>
      </c>
      <c r="C86" s="10" t="s">
        <v>2690</v>
      </c>
      <c r="D86" s="11">
        <v>45436</v>
      </c>
      <c r="E86" s="12">
        <v>145000</v>
      </c>
      <c r="F86" s="10" t="s">
        <v>32</v>
      </c>
      <c r="G86" s="10" t="s">
        <v>33</v>
      </c>
      <c r="H86" s="12">
        <v>145000</v>
      </c>
      <c r="I86" s="12">
        <v>54800</v>
      </c>
      <c r="J86" s="13">
        <f t="shared" si="15"/>
        <v>37.793103448275858</v>
      </c>
      <c r="K86" s="12">
        <v>129512</v>
      </c>
      <c r="L86" s="12">
        <f>H86-119512</f>
        <v>25488</v>
      </c>
      <c r="M86" s="12">
        <v>10000</v>
      </c>
      <c r="N86" s="112">
        <f t="shared" si="16"/>
        <v>6.8965517241379309E-2</v>
      </c>
      <c r="O86" s="16">
        <f t="shared" si="17"/>
        <v>29000</v>
      </c>
      <c r="P86" s="18" t="s">
        <v>2669</v>
      </c>
      <c r="Q86" s="10" t="s">
        <v>2005</v>
      </c>
      <c r="R86" s="10" t="s">
        <v>43</v>
      </c>
      <c r="S86" s="10" t="s">
        <v>38</v>
      </c>
      <c r="T86" s="10" t="s">
        <v>2670</v>
      </c>
    </row>
    <row r="87" spans="1:20" x14ac:dyDescent="0.3">
      <c r="A87" s="74" t="s">
        <v>2005</v>
      </c>
      <c r="B87" s="10" t="s">
        <v>2691</v>
      </c>
      <c r="C87" s="10" t="s">
        <v>2692</v>
      </c>
      <c r="D87" s="11">
        <v>45363</v>
      </c>
      <c r="E87" s="12">
        <v>105000</v>
      </c>
      <c r="F87" s="10" t="s">
        <v>32</v>
      </c>
      <c r="G87" s="10" t="s">
        <v>33</v>
      </c>
      <c r="H87" s="12">
        <v>105000</v>
      </c>
      <c r="I87" s="12">
        <v>32300</v>
      </c>
      <c r="J87" s="13">
        <f t="shared" si="15"/>
        <v>30.761904761904763</v>
      </c>
      <c r="K87" s="12">
        <v>90736</v>
      </c>
      <c r="L87" s="12">
        <f>H87-80736</f>
        <v>24264</v>
      </c>
      <c r="M87" s="12">
        <v>10000</v>
      </c>
      <c r="N87" s="112">
        <f t="shared" si="16"/>
        <v>9.5238095238095233E-2</v>
      </c>
      <c r="O87" s="16">
        <f t="shared" si="17"/>
        <v>21000</v>
      </c>
      <c r="P87" s="18" t="s">
        <v>2669</v>
      </c>
      <c r="Q87" s="10" t="s">
        <v>2005</v>
      </c>
      <c r="R87" s="10" t="s">
        <v>43</v>
      </c>
      <c r="S87" s="10" t="s">
        <v>38</v>
      </c>
      <c r="T87" s="10" t="s">
        <v>2670</v>
      </c>
    </row>
    <row r="88" spans="1:20" x14ac:dyDescent="0.3">
      <c r="A88" s="75" t="s">
        <v>2005</v>
      </c>
      <c r="B88" s="19" t="s">
        <v>2693</v>
      </c>
      <c r="C88" s="19" t="s">
        <v>2694</v>
      </c>
      <c r="D88" s="20">
        <v>45121</v>
      </c>
      <c r="E88" s="21">
        <v>102000</v>
      </c>
      <c r="F88" s="19" t="s">
        <v>32</v>
      </c>
      <c r="G88" s="19" t="s">
        <v>33</v>
      </c>
      <c r="H88" s="21">
        <v>102000</v>
      </c>
      <c r="I88" s="21">
        <v>33400</v>
      </c>
      <c r="J88" s="22">
        <f t="shared" si="15"/>
        <v>32.745098039215684</v>
      </c>
      <c r="K88" s="21">
        <v>93925</v>
      </c>
      <c r="L88" s="21">
        <f>H88-83925</f>
        <v>18075</v>
      </c>
      <c r="M88" s="21">
        <v>10000</v>
      </c>
      <c r="N88" s="123">
        <f t="shared" si="16"/>
        <v>9.8039215686274508E-2</v>
      </c>
      <c r="O88" s="25">
        <f t="shared" si="17"/>
        <v>20400</v>
      </c>
      <c r="P88" s="27" t="s">
        <v>2669</v>
      </c>
      <c r="Q88" s="19" t="s">
        <v>2005</v>
      </c>
      <c r="R88" s="19" t="s">
        <v>43</v>
      </c>
      <c r="S88" s="19" t="s">
        <v>38</v>
      </c>
      <c r="T88" s="19" t="s">
        <v>2670</v>
      </c>
    </row>
    <row r="89" spans="1:20" x14ac:dyDescent="0.3">
      <c r="A89" s="75" t="s">
        <v>2005</v>
      </c>
      <c r="B89" s="19" t="s">
        <v>2695</v>
      </c>
      <c r="C89" s="19" t="s">
        <v>2696</v>
      </c>
      <c r="D89" s="20">
        <v>45491</v>
      </c>
      <c r="E89" s="21">
        <v>151000</v>
      </c>
      <c r="F89" s="19" t="s">
        <v>32</v>
      </c>
      <c r="G89" s="19" t="s">
        <v>33</v>
      </c>
      <c r="H89" s="21">
        <v>151000</v>
      </c>
      <c r="I89" s="21">
        <v>54700</v>
      </c>
      <c r="J89" s="22">
        <f t="shared" si="15"/>
        <v>36.225165562913908</v>
      </c>
      <c r="K89" s="21">
        <v>129326</v>
      </c>
      <c r="L89" s="21">
        <f>H89-119326</f>
        <v>31674</v>
      </c>
      <c r="M89" s="21">
        <v>10000</v>
      </c>
      <c r="N89" s="123">
        <f t="shared" si="16"/>
        <v>6.6225165562913912E-2</v>
      </c>
      <c r="O89" s="25">
        <f t="shared" si="17"/>
        <v>30200</v>
      </c>
      <c r="P89" s="27" t="s">
        <v>2669</v>
      </c>
      <c r="Q89" s="19" t="s">
        <v>2005</v>
      </c>
      <c r="R89" s="19" t="s">
        <v>43</v>
      </c>
      <c r="S89" s="19" t="s">
        <v>38</v>
      </c>
      <c r="T89" s="19" t="s">
        <v>2670</v>
      </c>
    </row>
    <row r="90" spans="1:20" x14ac:dyDescent="0.3">
      <c r="A90" s="74" t="s">
        <v>2005</v>
      </c>
      <c r="B90" s="10" t="s">
        <v>2698</v>
      </c>
      <c r="C90" s="10" t="s">
        <v>2699</v>
      </c>
      <c r="D90" s="11">
        <v>45744</v>
      </c>
      <c r="E90" s="12">
        <v>165000</v>
      </c>
      <c r="F90" s="10" t="s">
        <v>32</v>
      </c>
      <c r="G90" s="10" t="s">
        <v>33</v>
      </c>
      <c r="H90" s="12">
        <v>165000</v>
      </c>
      <c r="I90" s="12">
        <v>53200</v>
      </c>
      <c r="J90" s="13">
        <f t="shared" si="15"/>
        <v>32.242424242424242</v>
      </c>
      <c r="K90" s="12">
        <v>126066</v>
      </c>
      <c r="L90" s="12">
        <f>H90-116066</f>
        <v>48934</v>
      </c>
      <c r="M90" s="12">
        <v>10000</v>
      </c>
      <c r="N90" s="112">
        <f t="shared" si="16"/>
        <v>6.0606060606060608E-2</v>
      </c>
      <c r="O90" s="16">
        <f t="shared" si="17"/>
        <v>33000</v>
      </c>
      <c r="P90" s="18" t="s">
        <v>2669</v>
      </c>
      <c r="Q90" s="10" t="s">
        <v>2005</v>
      </c>
      <c r="R90" s="10" t="s">
        <v>35</v>
      </c>
      <c r="S90" s="10" t="s">
        <v>38</v>
      </c>
      <c r="T90" s="10" t="s">
        <v>2670</v>
      </c>
    </row>
    <row r="91" spans="1:20" ht="15" thickBot="1" x14ac:dyDescent="0.35">
      <c r="A91" s="74" t="s">
        <v>2005</v>
      </c>
      <c r="B91" s="10" t="s">
        <v>2698</v>
      </c>
      <c r="C91" s="10" t="s">
        <v>2699</v>
      </c>
      <c r="D91" s="11">
        <v>45051</v>
      </c>
      <c r="E91" s="12">
        <v>132000</v>
      </c>
      <c r="F91" s="10" t="s">
        <v>81</v>
      </c>
      <c r="G91" s="10" t="s">
        <v>33</v>
      </c>
      <c r="H91" s="12">
        <v>132000</v>
      </c>
      <c r="I91" s="12">
        <v>44000</v>
      </c>
      <c r="J91" s="13">
        <f t="shared" si="15"/>
        <v>33.333333333333329</v>
      </c>
      <c r="K91" s="12">
        <v>126066</v>
      </c>
      <c r="L91" s="12">
        <f>H91-116066</f>
        <v>15934</v>
      </c>
      <c r="M91" s="12">
        <v>10000</v>
      </c>
      <c r="N91" s="112">
        <f t="shared" si="16"/>
        <v>7.575757575757576E-2</v>
      </c>
      <c r="O91" s="16">
        <f t="shared" si="17"/>
        <v>26400</v>
      </c>
      <c r="P91" s="18" t="s">
        <v>2669</v>
      </c>
      <c r="Q91" s="10" t="s">
        <v>2005</v>
      </c>
      <c r="R91" s="10" t="s">
        <v>43</v>
      </c>
      <c r="S91" s="10" t="s">
        <v>38</v>
      </c>
      <c r="T91" s="10" t="s">
        <v>2670</v>
      </c>
    </row>
    <row r="92" spans="1:20" ht="15" thickTop="1" x14ac:dyDescent="0.3">
      <c r="A92" s="76"/>
      <c r="B92" s="37"/>
      <c r="C92" s="37"/>
      <c r="D92" s="38" t="s">
        <v>2876</v>
      </c>
      <c r="E92" s="39">
        <f>+SUM(E75:E91)</f>
        <v>2141055</v>
      </c>
      <c r="F92" s="37"/>
      <c r="G92" s="37"/>
      <c r="H92" s="39">
        <f>+SUM(H75:H91)</f>
        <v>2141055</v>
      </c>
      <c r="I92" s="39">
        <f>+SUM(I75:I91)</f>
        <v>747300</v>
      </c>
      <c r="J92" s="40"/>
      <c r="K92" s="39">
        <f>+SUM(K75:K91)</f>
        <v>1897168</v>
      </c>
      <c r="L92" s="39">
        <f>+SUM(L75:L91)</f>
        <v>413887</v>
      </c>
      <c r="M92" s="39">
        <f>+SUM(M75:M91)</f>
        <v>170000</v>
      </c>
      <c r="N92" s="134">
        <f>AVERAGE(N75:N91)</f>
        <v>8.2181256831198188E-2</v>
      </c>
      <c r="O92" s="139">
        <f>AVERAGE(O75:O91)</f>
        <v>25188.882352941175</v>
      </c>
      <c r="P92" s="45"/>
      <c r="Q92" s="37"/>
      <c r="R92" s="37"/>
      <c r="S92" s="37"/>
      <c r="T92" s="37"/>
    </row>
    <row r="93" spans="1:20" x14ac:dyDescent="0.3">
      <c r="A93" s="77"/>
      <c r="B93" s="28"/>
      <c r="C93" s="224" t="s">
        <v>3131</v>
      </c>
      <c r="D93" s="29"/>
      <c r="E93" s="30"/>
      <c r="F93" s="28"/>
      <c r="G93" s="28"/>
      <c r="H93" s="30"/>
      <c r="I93" s="30" t="s">
        <v>2877</v>
      </c>
      <c r="J93" s="31">
        <f>I92/H92*100</f>
        <v>34.903353720478925</v>
      </c>
      <c r="K93" s="30"/>
      <c r="L93" s="30"/>
      <c r="M93" s="30" t="s">
        <v>2879</v>
      </c>
      <c r="N93" s="79"/>
      <c r="O93" s="152"/>
      <c r="P93" s="36"/>
      <c r="Q93" s="28"/>
      <c r="R93" s="28"/>
      <c r="S93" s="28"/>
      <c r="T93" s="28"/>
    </row>
    <row r="94" spans="1:20" x14ac:dyDescent="0.3">
      <c r="A94" s="188" t="s">
        <v>3153</v>
      </c>
      <c r="B94" s="188"/>
      <c r="C94" s="212" t="s">
        <v>3154</v>
      </c>
      <c r="D94" s="47"/>
      <c r="E94" s="48"/>
      <c r="F94" s="46"/>
      <c r="G94" s="46"/>
      <c r="H94" s="48"/>
      <c r="I94" s="48" t="s">
        <v>2878</v>
      </c>
      <c r="J94" s="49">
        <f>STDEV(J75:J91)</f>
        <v>6.0244023608958841</v>
      </c>
      <c r="K94" s="48"/>
      <c r="L94" s="48"/>
      <c r="M94" s="48" t="s">
        <v>2880</v>
      </c>
      <c r="N94" s="80"/>
      <c r="O94" s="165"/>
      <c r="P94" s="53"/>
      <c r="Q94" s="46"/>
      <c r="R94" s="46"/>
      <c r="S94" s="46"/>
      <c r="T94" s="46"/>
    </row>
    <row r="95" spans="1:20" x14ac:dyDescent="0.3">
      <c r="D95" s="190" t="s">
        <v>3112</v>
      </c>
      <c r="E95" s="191">
        <f>AVERAGE(E75:E91)</f>
        <v>125944.41176470589</v>
      </c>
    </row>
    <row r="96" spans="1:20" x14ac:dyDescent="0.3">
      <c r="D96" s="190"/>
      <c r="E96" s="192">
        <v>0.2</v>
      </c>
    </row>
    <row r="97" spans="3:14" x14ac:dyDescent="0.3">
      <c r="D97" s="190"/>
      <c r="E97" s="226">
        <f>E95*0.2</f>
        <v>25188.882352941178</v>
      </c>
    </row>
    <row r="98" spans="3:14" ht="40.200000000000003" x14ac:dyDescent="0.3">
      <c r="G98" s="191"/>
      <c r="I98" s="62" t="s">
        <v>3082</v>
      </c>
      <c r="J98" s="366" t="s">
        <v>3079</v>
      </c>
      <c r="K98" s="367" t="s">
        <v>3075</v>
      </c>
      <c r="L98" s="368" t="s">
        <v>3066</v>
      </c>
      <c r="M98" s="369" t="s">
        <v>3129</v>
      </c>
      <c r="N98" s="217" t="s">
        <v>3078</v>
      </c>
    </row>
    <row r="99" spans="3:14" x14ac:dyDescent="0.3">
      <c r="G99" s="381" t="s">
        <v>3130</v>
      </c>
      <c r="H99" s="381"/>
      <c r="I99" s="219">
        <v>21000</v>
      </c>
      <c r="J99" s="218">
        <v>45200</v>
      </c>
      <c r="K99" s="219">
        <v>45100</v>
      </c>
      <c r="L99" s="220">
        <v>0.09</v>
      </c>
      <c r="M99" s="221">
        <f>(K99/J99)-1</f>
        <v>-2.2123893805309214E-3</v>
      </c>
      <c r="N99" s="222">
        <v>22000</v>
      </c>
    </row>
    <row r="100" spans="3:14" x14ac:dyDescent="0.3">
      <c r="G100" s="381" t="s">
        <v>3134</v>
      </c>
      <c r="H100" s="381"/>
      <c r="I100" s="219">
        <v>21000</v>
      </c>
      <c r="J100" s="218">
        <v>32775</v>
      </c>
      <c r="K100" s="219">
        <v>33745</v>
      </c>
      <c r="L100" s="220">
        <v>0.12</v>
      </c>
      <c r="M100" s="221">
        <f t="shared" ref="M100:M105" si="18">(K100/J100)-1</f>
        <v>2.9595728451563774E-2</v>
      </c>
      <c r="N100" s="222">
        <v>22000</v>
      </c>
    </row>
    <row r="101" spans="3:14" x14ac:dyDescent="0.3">
      <c r="G101" s="381" t="s">
        <v>3155</v>
      </c>
      <c r="H101" s="381"/>
      <c r="I101" s="219">
        <v>21000</v>
      </c>
      <c r="J101" s="218">
        <v>42294</v>
      </c>
      <c r="K101" s="219">
        <v>45725</v>
      </c>
      <c r="L101" s="223">
        <v>0.09</v>
      </c>
      <c r="M101" s="221">
        <f t="shared" si="18"/>
        <v>8.1122617865418301E-2</v>
      </c>
      <c r="N101" s="222">
        <v>22000</v>
      </c>
    </row>
    <row r="102" spans="3:14" x14ac:dyDescent="0.3">
      <c r="G102" s="381" t="s">
        <v>3141</v>
      </c>
      <c r="H102" s="381"/>
      <c r="I102" s="219">
        <v>21000</v>
      </c>
      <c r="J102" s="218">
        <v>35980</v>
      </c>
      <c r="K102" s="219">
        <v>36300</v>
      </c>
      <c r="L102" s="220">
        <v>0.11</v>
      </c>
      <c r="M102" s="221">
        <f t="shared" si="18"/>
        <v>8.8938299055030257E-3</v>
      </c>
      <c r="N102" s="222">
        <v>22000</v>
      </c>
    </row>
    <row r="103" spans="3:14" x14ac:dyDescent="0.3">
      <c r="G103" s="381" t="s">
        <v>3144</v>
      </c>
      <c r="H103" s="381"/>
      <c r="I103" s="219">
        <v>21000</v>
      </c>
      <c r="J103" s="218">
        <v>47000</v>
      </c>
      <c r="K103" s="219">
        <v>49375</v>
      </c>
      <c r="L103" s="223">
        <v>0.08</v>
      </c>
      <c r="M103" s="221">
        <f t="shared" si="18"/>
        <v>5.0531914893616969E-2</v>
      </c>
      <c r="N103" s="222">
        <v>22000</v>
      </c>
    </row>
    <row r="104" spans="3:14" x14ac:dyDescent="0.3">
      <c r="G104" s="381" t="s">
        <v>3156</v>
      </c>
      <c r="H104" s="381"/>
      <c r="I104" s="219">
        <v>21000</v>
      </c>
      <c r="J104" s="218">
        <v>32775</v>
      </c>
      <c r="K104" s="219">
        <v>33745</v>
      </c>
      <c r="L104" s="220" t="s">
        <v>2929</v>
      </c>
      <c r="M104" s="221">
        <f t="shared" si="18"/>
        <v>2.9595728451563774E-2</v>
      </c>
      <c r="N104" s="222">
        <v>22000</v>
      </c>
    </row>
    <row r="105" spans="3:14" x14ac:dyDescent="0.3">
      <c r="G105" s="381" t="s">
        <v>3152</v>
      </c>
      <c r="H105" s="381"/>
      <c r="I105" s="219">
        <v>10500</v>
      </c>
      <c r="J105" s="218">
        <v>21945</v>
      </c>
      <c r="K105" s="219">
        <v>25189</v>
      </c>
      <c r="L105" s="220">
        <v>0.08</v>
      </c>
      <c r="M105" s="221">
        <f t="shared" si="18"/>
        <v>0.14782410571884252</v>
      </c>
      <c r="N105" s="222">
        <v>11000</v>
      </c>
    </row>
    <row r="106" spans="3:14" x14ac:dyDescent="0.3">
      <c r="C106" s="94" t="s">
        <v>3099</v>
      </c>
      <c r="J106" s="95"/>
    </row>
    <row r="107" spans="3:14" x14ac:dyDescent="0.3">
      <c r="C107" s="383" t="s">
        <v>3163</v>
      </c>
      <c r="D107" s="383"/>
      <c r="E107" s="383"/>
      <c r="F107" s="383"/>
      <c r="G107" s="383"/>
      <c r="H107" s="383"/>
      <c r="I107" s="383"/>
      <c r="J107" s="383"/>
    </row>
    <row r="108" spans="3:14" x14ac:dyDescent="0.3">
      <c r="C108" s="383" t="s">
        <v>3164</v>
      </c>
      <c r="D108" s="383"/>
      <c r="E108" s="383"/>
      <c r="F108" s="383"/>
      <c r="G108" s="383"/>
      <c r="H108" s="383"/>
      <c r="I108" s="383"/>
      <c r="J108" s="383"/>
    </row>
    <row r="109" spans="3:14" x14ac:dyDescent="0.3">
      <c r="C109" s="383" t="s">
        <v>3165</v>
      </c>
      <c r="D109" s="383"/>
      <c r="E109" s="383"/>
      <c r="F109" s="383"/>
      <c r="G109" s="383"/>
      <c r="H109" s="383"/>
      <c r="I109" s="383"/>
      <c r="J109" s="383"/>
    </row>
    <row r="110" spans="3:14" x14ac:dyDescent="0.3">
      <c r="C110" s="383" t="s">
        <v>3166</v>
      </c>
      <c r="D110" s="383"/>
      <c r="E110" s="383"/>
      <c r="F110" s="383"/>
      <c r="G110" s="383"/>
      <c r="H110" s="96"/>
      <c r="I110" s="96"/>
      <c r="J110" s="96"/>
    </row>
    <row r="111" spans="3:14" x14ac:dyDescent="0.3">
      <c r="C111" s="383" t="s">
        <v>3167</v>
      </c>
      <c r="D111" s="383"/>
      <c r="E111" s="383"/>
      <c r="F111" s="383"/>
      <c r="G111" s="383"/>
      <c r="J111" s="95"/>
    </row>
    <row r="112" spans="3:14" x14ac:dyDescent="0.3">
      <c r="C112" s="383" t="s">
        <v>3100</v>
      </c>
      <c r="D112" s="383"/>
      <c r="E112" s="383"/>
      <c r="F112" s="383"/>
      <c r="G112" s="383"/>
      <c r="J112" s="95"/>
    </row>
  </sheetData>
  <mergeCells count="7">
    <mergeCell ref="G105:H105"/>
    <mergeCell ref="G104:H104"/>
    <mergeCell ref="G99:H99"/>
    <mergeCell ref="G100:H100"/>
    <mergeCell ref="G101:H101"/>
    <mergeCell ref="G102:H102"/>
    <mergeCell ref="G103:H103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3">
    <tabColor rgb="FF00B050"/>
  </sheetPr>
  <dimension ref="A3:AH3"/>
  <sheetViews>
    <sheetView workbookViewId="0">
      <selection activeCell="H18" sqref="H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3" spans="1:1" x14ac:dyDescent="0.3">
      <c r="A3" s="92" t="s">
        <v>3199</v>
      </c>
    </row>
  </sheetData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14">
    <tabColor rgb="FF00B050"/>
  </sheetPr>
  <dimension ref="A1:AH33"/>
  <sheetViews>
    <sheetView workbookViewId="0">
      <selection activeCell="D22" sqref="D22:L2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.5546875" style="55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2727</v>
      </c>
      <c r="B2" s="10" t="s">
        <v>2733</v>
      </c>
      <c r="C2" s="10" t="s">
        <v>2734</v>
      </c>
      <c r="D2" s="11">
        <v>45047</v>
      </c>
      <c r="E2" s="12">
        <v>153000</v>
      </c>
      <c r="F2" s="10" t="s">
        <v>32</v>
      </c>
      <c r="G2" s="10" t="s">
        <v>33</v>
      </c>
      <c r="H2" s="12">
        <v>153000</v>
      </c>
      <c r="I2" s="12">
        <v>73400</v>
      </c>
      <c r="J2" s="13">
        <f t="shared" ref="J2:J18" si="0">I2/H2*100</f>
        <v>47.973856209150327</v>
      </c>
      <c r="K2" s="12">
        <v>189349</v>
      </c>
      <c r="L2" s="12">
        <f>H2-165732</f>
        <v>-12732</v>
      </c>
      <c r="M2" s="12">
        <v>23617</v>
      </c>
      <c r="N2" s="66">
        <f t="shared" ref="N2:N18" si="1">M2/E2</f>
        <v>0.15435947712418302</v>
      </c>
      <c r="O2" s="14">
        <v>77.94</v>
      </c>
      <c r="P2" s="15">
        <v>135</v>
      </c>
      <c r="Q2" s="16">
        <v>0.23200000000000001</v>
      </c>
      <c r="R2" s="16">
        <v>0.23200000000000001</v>
      </c>
      <c r="S2" s="12">
        <f t="shared" ref="S2:S18" si="2">L2/O2</f>
        <v>-163.35642802155505</v>
      </c>
      <c r="T2" s="12">
        <f t="shared" ref="T2:T18" si="3">L2/Q2</f>
        <v>-54879.310344827587</v>
      </c>
      <c r="U2" s="17">
        <f t="shared" ref="U2:U18" si="4">L2/Q2/43560</f>
        <v>-1.2598556093853899</v>
      </c>
      <c r="V2" s="16">
        <v>75</v>
      </c>
      <c r="W2" s="16">
        <f t="shared" ref="W2:W18" si="5">0.2*E2</f>
        <v>30600</v>
      </c>
      <c r="X2" s="16">
        <f t="shared" ref="X2:X18" si="6">W2/V2</f>
        <v>408</v>
      </c>
      <c r="Y2" s="18" t="s">
        <v>2726</v>
      </c>
      <c r="Z2" s="10" t="s">
        <v>35</v>
      </c>
      <c r="AA2" s="10" t="s">
        <v>35</v>
      </c>
      <c r="AB2" s="10" t="s">
        <v>2727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2727</v>
      </c>
      <c r="B3" s="19" t="s">
        <v>2762</v>
      </c>
      <c r="C3" s="19" t="s">
        <v>2763</v>
      </c>
      <c r="D3" s="20">
        <v>45187</v>
      </c>
      <c r="E3" s="21">
        <v>255000</v>
      </c>
      <c r="F3" s="19" t="s">
        <v>32</v>
      </c>
      <c r="G3" s="19" t="s">
        <v>33</v>
      </c>
      <c r="H3" s="21">
        <v>255000</v>
      </c>
      <c r="I3" s="21">
        <v>107700</v>
      </c>
      <c r="J3" s="22">
        <f t="shared" si="0"/>
        <v>42.235294117647058</v>
      </c>
      <c r="K3" s="21">
        <v>286194</v>
      </c>
      <c r="L3" s="21">
        <f>H3-262962</f>
        <v>-7962</v>
      </c>
      <c r="M3" s="21">
        <v>23232</v>
      </c>
      <c r="N3" s="67">
        <f t="shared" si="1"/>
        <v>9.1105882352941175E-2</v>
      </c>
      <c r="O3" s="23">
        <v>76.67</v>
      </c>
      <c r="P3" s="24">
        <v>162.63</v>
      </c>
      <c r="Q3" s="25">
        <v>0.251</v>
      </c>
      <c r="R3" s="25">
        <v>0.251</v>
      </c>
      <c r="S3" s="21">
        <f t="shared" si="2"/>
        <v>-103.84765879744359</v>
      </c>
      <c r="T3" s="21">
        <f t="shared" si="3"/>
        <v>-31721.115537848604</v>
      </c>
      <c r="U3" s="26">
        <f t="shared" si="4"/>
        <v>-0.72821661014344818</v>
      </c>
      <c r="V3" s="25">
        <v>67.22</v>
      </c>
      <c r="W3" s="25">
        <f t="shared" si="5"/>
        <v>51000</v>
      </c>
      <c r="X3" s="25">
        <f t="shared" si="6"/>
        <v>758.70276703362094</v>
      </c>
      <c r="Y3" s="27" t="s">
        <v>2726</v>
      </c>
      <c r="Z3" s="19" t="s">
        <v>35</v>
      </c>
      <c r="AA3" s="19" t="s">
        <v>35</v>
      </c>
      <c r="AB3" s="19" t="s">
        <v>2727</v>
      </c>
      <c r="AC3" s="19">
        <v>0</v>
      </c>
      <c r="AD3" s="19">
        <v>1</v>
      </c>
      <c r="AE3" s="19" t="s">
        <v>412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2727</v>
      </c>
      <c r="B4" s="19" t="s">
        <v>2771</v>
      </c>
      <c r="C4" s="19" t="s">
        <v>2772</v>
      </c>
      <c r="D4" s="20">
        <v>45545</v>
      </c>
      <c r="E4" s="21">
        <v>285000</v>
      </c>
      <c r="F4" s="19" t="s">
        <v>81</v>
      </c>
      <c r="G4" s="19" t="s">
        <v>33</v>
      </c>
      <c r="H4" s="21">
        <v>285000</v>
      </c>
      <c r="I4" s="21">
        <v>142600</v>
      </c>
      <c r="J4" s="22">
        <f t="shared" si="0"/>
        <v>50.035087719298247</v>
      </c>
      <c r="K4" s="21">
        <v>311942</v>
      </c>
      <c r="L4" s="21">
        <f>H4-291473</f>
        <v>-6473</v>
      </c>
      <c r="M4" s="21">
        <v>20469</v>
      </c>
      <c r="N4" s="67">
        <f t="shared" si="1"/>
        <v>7.1821052631578952E-2</v>
      </c>
      <c r="O4" s="23">
        <v>67.55</v>
      </c>
      <c r="P4" s="24">
        <v>135.02000000000001</v>
      </c>
      <c r="Q4" s="25">
        <v>0.20100000000000001</v>
      </c>
      <c r="R4" s="25">
        <v>0.20100000000000001</v>
      </c>
      <c r="S4" s="21">
        <f t="shared" si="2"/>
        <v>-95.825314581791275</v>
      </c>
      <c r="T4" s="21">
        <f t="shared" si="3"/>
        <v>-32203.980099502485</v>
      </c>
      <c r="U4" s="26">
        <f t="shared" si="4"/>
        <v>-0.73930165517682478</v>
      </c>
      <c r="V4" s="25">
        <v>65</v>
      </c>
      <c r="W4" s="25">
        <f t="shared" si="5"/>
        <v>57000</v>
      </c>
      <c r="X4" s="25">
        <f t="shared" si="6"/>
        <v>876.92307692307691</v>
      </c>
      <c r="Y4" s="27" t="s">
        <v>2726</v>
      </c>
      <c r="Z4" s="19" t="s">
        <v>35</v>
      </c>
      <c r="AA4" s="19" t="s">
        <v>35</v>
      </c>
      <c r="AB4" s="19" t="s">
        <v>2727</v>
      </c>
      <c r="AC4" s="19">
        <v>0</v>
      </c>
      <c r="AD4" s="19">
        <v>1</v>
      </c>
      <c r="AE4" s="19" t="s">
        <v>37</v>
      </c>
      <c r="AF4" s="19" t="s">
        <v>35</v>
      </c>
      <c r="AG4" s="19" t="s">
        <v>38</v>
      </c>
      <c r="AH4" s="19" t="s">
        <v>92</v>
      </c>
    </row>
    <row r="5" spans="1:34" x14ac:dyDescent="0.3">
      <c r="A5" s="74" t="s">
        <v>2727</v>
      </c>
      <c r="B5" s="10" t="s">
        <v>2750</v>
      </c>
      <c r="C5" s="10" t="s">
        <v>2751</v>
      </c>
      <c r="D5" s="11">
        <v>45492</v>
      </c>
      <c r="E5" s="12">
        <v>160000</v>
      </c>
      <c r="F5" s="10" t="s">
        <v>32</v>
      </c>
      <c r="G5" s="10" t="s">
        <v>33</v>
      </c>
      <c r="H5" s="12">
        <v>160000</v>
      </c>
      <c r="I5" s="12">
        <v>83400</v>
      </c>
      <c r="J5" s="13">
        <f t="shared" si="0"/>
        <v>52.125</v>
      </c>
      <c r="K5" s="12">
        <v>176437</v>
      </c>
      <c r="L5" s="12">
        <f>H5-158624</f>
        <v>1376</v>
      </c>
      <c r="M5" s="12">
        <v>17813</v>
      </c>
      <c r="N5" s="66">
        <f t="shared" si="1"/>
        <v>0.11133125000000001</v>
      </c>
      <c r="O5" s="14">
        <v>58.78</v>
      </c>
      <c r="P5" s="15">
        <v>120</v>
      </c>
      <c r="Q5" s="16">
        <v>0.16500000000000001</v>
      </c>
      <c r="R5" s="16">
        <v>0.16500000000000001</v>
      </c>
      <c r="S5" s="12">
        <f t="shared" si="2"/>
        <v>23.40932289894522</v>
      </c>
      <c r="T5" s="12">
        <f t="shared" si="3"/>
        <v>8339.3939393939381</v>
      </c>
      <c r="U5" s="17">
        <f t="shared" si="4"/>
        <v>0.19144614185936498</v>
      </c>
      <c r="V5" s="16">
        <v>60</v>
      </c>
      <c r="W5" s="16">
        <f t="shared" si="5"/>
        <v>32000</v>
      </c>
      <c r="X5" s="16">
        <f t="shared" si="6"/>
        <v>533.33333333333337</v>
      </c>
      <c r="Y5" s="18" t="s">
        <v>2726</v>
      </c>
      <c r="Z5" s="10" t="s">
        <v>35</v>
      </c>
      <c r="AA5" s="10" t="s">
        <v>35</v>
      </c>
      <c r="AB5" s="10" t="s">
        <v>2727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2727</v>
      </c>
      <c r="B6" s="10" t="s">
        <v>2756</v>
      </c>
      <c r="C6" s="10" t="s">
        <v>2757</v>
      </c>
      <c r="D6" s="11">
        <v>45320</v>
      </c>
      <c r="E6" s="12">
        <v>227500</v>
      </c>
      <c r="F6" s="10" t="s">
        <v>32</v>
      </c>
      <c r="G6" s="10" t="s">
        <v>33</v>
      </c>
      <c r="H6" s="12">
        <v>227500</v>
      </c>
      <c r="I6" s="12">
        <v>86200</v>
      </c>
      <c r="J6" s="13">
        <f t="shared" si="0"/>
        <v>37.890109890109891</v>
      </c>
      <c r="K6" s="12">
        <v>221836</v>
      </c>
      <c r="L6" s="12">
        <f>H6-203573</f>
        <v>23927</v>
      </c>
      <c r="M6" s="12">
        <v>18263</v>
      </c>
      <c r="N6" s="66">
        <f t="shared" si="1"/>
        <v>8.0276923076923079E-2</v>
      </c>
      <c r="O6" s="14">
        <v>60.27</v>
      </c>
      <c r="P6" s="15">
        <v>122.51</v>
      </c>
      <c r="Q6" s="16">
        <v>0.17399999999999999</v>
      </c>
      <c r="R6" s="16">
        <v>0.17399999999999999</v>
      </c>
      <c r="S6" s="12">
        <f t="shared" si="2"/>
        <v>396.99684751949559</v>
      </c>
      <c r="T6" s="12">
        <f t="shared" si="3"/>
        <v>137511.49425287358</v>
      </c>
      <c r="U6" s="17">
        <f t="shared" si="4"/>
        <v>3.1568295283028829</v>
      </c>
      <c r="V6" s="16">
        <v>58.57</v>
      </c>
      <c r="W6" s="16">
        <f t="shared" si="5"/>
        <v>45500</v>
      </c>
      <c r="X6" s="16">
        <f t="shared" si="6"/>
        <v>776.84821581014171</v>
      </c>
      <c r="Y6" s="18" t="s">
        <v>2726</v>
      </c>
      <c r="Z6" s="10" t="s">
        <v>35</v>
      </c>
      <c r="AA6" s="10" t="s">
        <v>35</v>
      </c>
      <c r="AB6" s="10" t="s">
        <v>2727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2727</v>
      </c>
      <c r="B7" s="10" t="s">
        <v>2742</v>
      </c>
      <c r="C7" s="10" t="s">
        <v>2743</v>
      </c>
      <c r="D7" s="11">
        <v>45454</v>
      </c>
      <c r="E7" s="12">
        <v>243000</v>
      </c>
      <c r="F7" s="10" t="s">
        <v>32</v>
      </c>
      <c r="G7" s="10" t="s">
        <v>33</v>
      </c>
      <c r="H7" s="12">
        <v>243000</v>
      </c>
      <c r="I7" s="12">
        <v>109700</v>
      </c>
      <c r="J7" s="13">
        <f t="shared" si="0"/>
        <v>45.144032921810698</v>
      </c>
      <c r="K7" s="12">
        <v>235477</v>
      </c>
      <c r="L7" s="12">
        <f>H7-216984</f>
        <v>26016</v>
      </c>
      <c r="M7" s="12">
        <v>18493</v>
      </c>
      <c r="N7" s="66">
        <f t="shared" si="1"/>
        <v>7.610288065843622E-2</v>
      </c>
      <c r="O7" s="14">
        <v>61.03</v>
      </c>
      <c r="P7" s="15">
        <v>121.11</v>
      </c>
      <c r="Q7" s="16">
        <v>0.17199999999999999</v>
      </c>
      <c r="R7" s="16">
        <v>0.17199999999999999</v>
      </c>
      <c r="S7" s="12">
        <f t="shared" si="2"/>
        <v>426.28215631656559</v>
      </c>
      <c r="T7" s="12">
        <f t="shared" si="3"/>
        <v>151255.8139534884</v>
      </c>
      <c r="U7" s="17">
        <f t="shared" si="4"/>
        <v>3.472355692228843</v>
      </c>
      <c r="V7" s="16">
        <v>62</v>
      </c>
      <c r="W7" s="16">
        <f t="shared" si="5"/>
        <v>48600</v>
      </c>
      <c r="X7" s="16">
        <f t="shared" si="6"/>
        <v>783.87096774193549</v>
      </c>
      <c r="Y7" s="18" t="s">
        <v>2726</v>
      </c>
      <c r="Z7" s="10" t="s">
        <v>35</v>
      </c>
      <c r="AA7" s="10" t="s">
        <v>35</v>
      </c>
      <c r="AB7" s="10" t="s">
        <v>2727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2727</v>
      </c>
      <c r="B8" s="19" t="s">
        <v>2754</v>
      </c>
      <c r="C8" s="19" t="s">
        <v>2755</v>
      </c>
      <c r="D8" s="20">
        <v>45261</v>
      </c>
      <c r="E8" s="21">
        <v>247000</v>
      </c>
      <c r="F8" s="19" t="s">
        <v>32</v>
      </c>
      <c r="G8" s="19" t="s">
        <v>33</v>
      </c>
      <c r="H8" s="21">
        <v>247000</v>
      </c>
      <c r="I8" s="21">
        <v>91900</v>
      </c>
      <c r="J8" s="22">
        <f t="shared" si="0"/>
        <v>37.206477732793523</v>
      </c>
      <c r="K8" s="21">
        <v>234422</v>
      </c>
      <c r="L8" s="21">
        <f>H8-216609</f>
        <v>30391</v>
      </c>
      <c r="M8" s="21">
        <v>17813</v>
      </c>
      <c r="N8" s="67">
        <f t="shared" si="1"/>
        <v>7.2117408906882591E-2</v>
      </c>
      <c r="O8" s="23">
        <v>58.78</v>
      </c>
      <c r="P8" s="24">
        <v>120</v>
      </c>
      <c r="Q8" s="25">
        <v>0.16500000000000001</v>
      </c>
      <c r="R8" s="25">
        <v>0.16500000000000001</v>
      </c>
      <c r="S8" s="21">
        <f t="shared" si="2"/>
        <v>517.02960190541</v>
      </c>
      <c r="T8" s="21">
        <f t="shared" si="3"/>
        <v>184187.87878787878</v>
      </c>
      <c r="U8" s="26">
        <f t="shared" si="4"/>
        <v>4.228371872999972</v>
      </c>
      <c r="V8" s="25">
        <v>60</v>
      </c>
      <c r="W8" s="25">
        <f t="shared" si="5"/>
        <v>49400</v>
      </c>
      <c r="X8" s="25">
        <f t="shared" si="6"/>
        <v>823.33333333333337</v>
      </c>
      <c r="Y8" s="27" t="s">
        <v>2726</v>
      </c>
      <c r="Z8" s="19" t="s">
        <v>35</v>
      </c>
      <c r="AA8" s="19" t="s">
        <v>35</v>
      </c>
      <c r="AB8" s="19" t="s">
        <v>2727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5" t="s">
        <v>2727</v>
      </c>
      <c r="B9" s="19" t="s">
        <v>2731</v>
      </c>
      <c r="C9" s="19" t="s">
        <v>2732</v>
      </c>
      <c r="D9" s="20">
        <v>45590</v>
      </c>
      <c r="E9" s="21">
        <v>135000</v>
      </c>
      <c r="F9" s="19" t="s">
        <v>32</v>
      </c>
      <c r="G9" s="19" t="s">
        <v>33</v>
      </c>
      <c r="H9" s="21">
        <v>135000</v>
      </c>
      <c r="I9" s="21">
        <v>49000</v>
      </c>
      <c r="J9" s="22">
        <f t="shared" si="0"/>
        <v>36.296296296296298</v>
      </c>
      <c r="K9" s="21">
        <v>117889</v>
      </c>
      <c r="L9" s="21">
        <f>H9-102145</f>
        <v>32855</v>
      </c>
      <c r="M9" s="21">
        <v>15744</v>
      </c>
      <c r="N9" s="67">
        <f t="shared" si="1"/>
        <v>0.11662222222222222</v>
      </c>
      <c r="O9" s="23">
        <v>51.96</v>
      </c>
      <c r="P9" s="24">
        <v>135</v>
      </c>
      <c r="Q9" s="25">
        <v>0.155</v>
      </c>
      <c r="R9" s="25">
        <v>0.155</v>
      </c>
      <c r="S9" s="21">
        <f t="shared" si="2"/>
        <v>632.31331793687445</v>
      </c>
      <c r="T9" s="21">
        <f t="shared" si="3"/>
        <v>211967.74193548388</v>
      </c>
      <c r="U9" s="26">
        <f t="shared" si="4"/>
        <v>4.8661097781332385</v>
      </c>
      <c r="V9" s="25">
        <v>50</v>
      </c>
      <c r="W9" s="25">
        <f t="shared" si="5"/>
        <v>27000</v>
      </c>
      <c r="X9" s="25">
        <f t="shared" si="6"/>
        <v>540</v>
      </c>
      <c r="Y9" s="27" t="s">
        <v>2708</v>
      </c>
      <c r="Z9" s="19" t="s">
        <v>35</v>
      </c>
      <c r="AA9" s="19" t="s">
        <v>35</v>
      </c>
      <c r="AB9" s="19" t="s">
        <v>2727</v>
      </c>
      <c r="AC9" s="19">
        <v>0</v>
      </c>
      <c r="AD9" s="19">
        <v>1</v>
      </c>
      <c r="AE9" s="19" t="s">
        <v>37</v>
      </c>
      <c r="AF9" s="19" t="s">
        <v>35</v>
      </c>
      <c r="AG9" s="19" t="s">
        <v>38</v>
      </c>
      <c r="AH9" s="19" t="s">
        <v>92</v>
      </c>
    </row>
    <row r="10" spans="1:34" x14ac:dyDescent="0.3">
      <c r="A10" s="74" t="s">
        <v>2727</v>
      </c>
      <c r="B10" s="10" t="s">
        <v>2758</v>
      </c>
      <c r="C10" s="10" t="s">
        <v>2759</v>
      </c>
      <c r="D10" s="11">
        <v>45170</v>
      </c>
      <c r="E10" s="12">
        <v>255000</v>
      </c>
      <c r="F10" s="10" t="s">
        <v>32</v>
      </c>
      <c r="G10" s="10" t="s">
        <v>33</v>
      </c>
      <c r="H10" s="12">
        <v>255000</v>
      </c>
      <c r="I10" s="12">
        <v>90800</v>
      </c>
      <c r="J10" s="13">
        <f t="shared" si="0"/>
        <v>35.607843137254903</v>
      </c>
      <c r="K10" s="12">
        <v>232588</v>
      </c>
      <c r="L10" s="12">
        <f>H10-213048</f>
        <v>41952</v>
      </c>
      <c r="M10" s="12">
        <v>19540</v>
      </c>
      <c r="N10" s="66">
        <f t="shared" si="1"/>
        <v>7.6627450980392156E-2</v>
      </c>
      <c r="O10" s="14">
        <v>64.48</v>
      </c>
      <c r="P10" s="15">
        <v>127.52</v>
      </c>
      <c r="Q10" s="16">
        <v>0.191</v>
      </c>
      <c r="R10" s="16">
        <v>0.191</v>
      </c>
      <c r="S10" s="12">
        <f t="shared" si="2"/>
        <v>650.62034739454089</v>
      </c>
      <c r="T10" s="12">
        <f t="shared" si="3"/>
        <v>219643.97905759161</v>
      </c>
      <c r="U10" s="17">
        <f t="shared" si="4"/>
        <v>5.0423319342881454</v>
      </c>
      <c r="V10" s="16">
        <v>60.77</v>
      </c>
      <c r="W10" s="16">
        <f t="shared" si="5"/>
        <v>51000</v>
      </c>
      <c r="X10" s="16">
        <f t="shared" si="6"/>
        <v>839.22988316603585</v>
      </c>
      <c r="Y10" s="18" t="s">
        <v>2726</v>
      </c>
      <c r="Z10" s="10" t="s">
        <v>35</v>
      </c>
      <c r="AA10" s="10" t="s">
        <v>35</v>
      </c>
      <c r="AB10" s="10" t="s">
        <v>2727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5" t="s">
        <v>2727</v>
      </c>
      <c r="B11" s="19" t="s">
        <v>2748</v>
      </c>
      <c r="C11" s="19" t="s">
        <v>2749</v>
      </c>
      <c r="D11" s="20">
        <v>45126</v>
      </c>
      <c r="E11" s="21">
        <v>220000</v>
      </c>
      <c r="F11" s="19" t="s">
        <v>32</v>
      </c>
      <c r="G11" s="19" t="s">
        <v>33</v>
      </c>
      <c r="H11" s="21">
        <v>220000</v>
      </c>
      <c r="I11" s="21">
        <v>75500</v>
      </c>
      <c r="J11" s="22">
        <f t="shared" si="0"/>
        <v>34.31818181818182</v>
      </c>
      <c r="K11" s="21">
        <v>193247</v>
      </c>
      <c r="L11" s="21">
        <f>H11-175434</f>
        <v>44566</v>
      </c>
      <c r="M11" s="21">
        <v>17813</v>
      </c>
      <c r="N11" s="67">
        <f t="shared" si="1"/>
        <v>8.0968181818181814E-2</v>
      </c>
      <c r="O11" s="23">
        <v>58.78</v>
      </c>
      <c r="P11" s="24">
        <v>120</v>
      </c>
      <c r="Q11" s="25">
        <v>0.16500000000000001</v>
      </c>
      <c r="R11" s="25">
        <v>0.16500000000000001</v>
      </c>
      <c r="S11" s="21">
        <f t="shared" si="2"/>
        <v>758.18305546104114</v>
      </c>
      <c r="T11" s="21">
        <f t="shared" si="3"/>
        <v>270096.96969696967</v>
      </c>
      <c r="U11" s="26">
        <f t="shared" si="4"/>
        <v>6.2005732253666128</v>
      </c>
      <c r="V11" s="25">
        <v>60</v>
      </c>
      <c r="W11" s="25">
        <f t="shared" si="5"/>
        <v>44000</v>
      </c>
      <c r="X11" s="25">
        <f t="shared" si="6"/>
        <v>733.33333333333337</v>
      </c>
      <c r="Y11" s="27" t="s">
        <v>2726</v>
      </c>
      <c r="Z11" s="19" t="s">
        <v>35</v>
      </c>
      <c r="AA11" s="19" t="s">
        <v>35</v>
      </c>
      <c r="AB11" s="19" t="s">
        <v>2727</v>
      </c>
      <c r="AC11" s="19">
        <v>0</v>
      </c>
      <c r="AD11" s="19">
        <v>1</v>
      </c>
      <c r="AE11" s="19" t="s">
        <v>42</v>
      </c>
      <c r="AF11" s="19" t="s">
        <v>43</v>
      </c>
      <c r="AG11" s="19" t="s">
        <v>38</v>
      </c>
      <c r="AH11" s="19" t="s">
        <v>92</v>
      </c>
    </row>
    <row r="12" spans="1:34" x14ac:dyDescent="0.3">
      <c r="A12" s="75" t="s">
        <v>2727</v>
      </c>
      <c r="B12" s="19" t="s">
        <v>2752</v>
      </c>
      <c r="C12" s="19" t="s">
        <v>2753</v>
      </c>
      <c r="D12" s="20">
        <v>45128</v>
      </c>
      <c r="E12" s="21">
        <v>225000</v>
      </c>
      <c r="F12" s="19" t="s">
        <v>32</v>
      </c>
      <c r="G12" s="19" t="s">
        <v>33</v>
      </c>
      <c r="H12" s="21">
        <v>225000</v>
      </c>
      <c r="I12" s="21">
        <v>75200</v>
      </c>
      <c r="J12" s="22">
        <f t="shared" si="0"/>
        <v>33.422222222222217</v>
      </c>
      <c r="K12" s="21">
        <v>194674</v>
      </c>
      <c r="L12" s="21">
        <f>H12-176570</f>
        <v>48430</v>
      </c>
      <c r="M12" s="21">
        <v>18104</v>
      </c>
      <c r="N12" s="67">
        <f t="shared" si="1"/>
        <v>8.0462222222222227E-2</v>
      </c>
      <c r="O12" s="23">
        <v>59.74</v>
      </c>
      <c r="P12" s="24">
        <v>123.96</v>
      </c>
      <c r="Q12" s="25">
        <v>0.17100000000000001</v>
      </c>
      <c r="R12" s="25">
        <v>0.17100000000000001</v>
      </c>
      <c r="S12" s="21">
        <f t="shared" si="2"/>
        <v>810.67961165048541</v>
      </c>
      <c r="T12" s="21">
        <f t="shared" si="3"/>
        <v>283216.37426900584</v>
      </c>
      <c r="U12" s="26">
        <f t="shared" si="4"/>
        <v>6.5017533119606483</v>
      </c>
      <c r="V12" s="25">
        <v>60</v>
      </c>
      <c r="W12" s="25">
        <f t="shared" si="5"/>
        <v>45000</v>
      </c>
      <c r="X12" s="25">
        <f t="shared" si="6"/>
        <v>750</v>
      </c>
      <c r="Y12" s="27" t="s">
        <v>2726</v>
      </c>
      <c r="Z12" s="19" t="s">
        <v>35</v>
      </c>
      <c r="AA12" s="19" t="s">
        <v>35</v>
      </c>
      <c r="AB12" s="19" t="s">
        <v>2727</v>
      </c>
      <c r="AC12" s="19">
        <v>0</v>
      </c>
      <c r="AD12" s="19">
        <v>1</v>
      </c>
      <c r="AE12" s="19" t="s">
        <v>37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5" t="s">
        <v>2727</v>
      </c>
      <c r="B13" s="19" t="s">
        <v>2760</v>
      </c>
      <c r="C13" s="19" t="s">
        <v>2761</v>
      </c>
      <c r="D13" s="20">
        <v>45471</v>
      </c>
      <c r="E13" s="21">
        <v>265000</v>
      </c>
      <c r="F13" s="19" t="s">
        <v>32</v>
      </c>
      <c r="G13" s="19" t="s">
        <v>33</v>
      </c>
      <c r="H13" s="21">
        <v>265000</v>
      </c>
      <c r="I13" s="21">
        <v>108000</v>
      </c>
      <c r="J13" s="22">
        <f t="shared" si="0"/>
        <v>40.754716981132077</v>
      </c>
      <c r="K13" s="21">
        <v>231281</v>
      </c>
      <c r="L13" s="21">
        <f>H13-211172</f>
        <v>53828</v>
      </c>
      <c r="M13" s="21">
        <v>20109</v>
      </c>
      <c r="N13" s="67">
        <f t="shared" si="1"/>
        <v>7.5883018867924534E-2</v>
      </c>
      <c r="O13" s="23">
        <v>66.36</v>
      </c>
      <c r="P13" s="24">
        <v>136.79</v>
      </c>
      <c r="Q13" s="25">
        <v>0.20499999999999999</v>
      </c>
      <c r="R13" s="25">
        <v>0.20499999999999999</v>
      </c>
      <c r="S13" s="21">
        <f t="shared" si="2"/>
        <v>811.15129596142253</v>
      </c>
      <c r="T13" s="21">
        <f t="shared" si="3"/>
        <v>262575.6097560976</v>
      </c>
      <c r="U13" s="26">
        <f t="shared" si="4"/>
        <v>6.0279065600573372</v>
      </c>
      <c r="V13" s="25">
        <v>59.6</v>
      </c>
      <c r="W13" s="25">
        <f t="shared" si="5"/>
        <v>53000</v>
      </c>
      <c r="X13" s="25">
        <f t="shared" si="6"/>
        <v>889.26174496644296</v>
      </c>
      <c r="Y13" s="27" t="s">
        <v>2726</v>
      </c>
      <c r="Z13" s="19" t="s">
        <v>35</v>
      </c>
      <c r="AA13" s="19" t="s">
        <v>35</v>
      </c>
      <c r="AB13" s="19" t="s">
        <v>2727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x14ac:dyDescent="0.3">
      <c r="A14" s="75" t="s">
        <v>2727</v>
      </c>
      <c r="B14" s="19" t="s">
        <v>2738</v>
      </c>
      <c r="C14" s="19" t="s">
        <v>2739</v>
      </c>
      <c r="D14" s="20">
        <v>45526</v>
      </c>
      <c r="E14" s="21">
        <v>240000</v>
      </c>
      <c r="F14" s="19" t="s">
        <v>32</v>
      </c>
      <c r="G14" s="19" t="s">
        <v>33</v>
      </c>
      <c r="H14" s="21">
        <v>240000</v>
      </c>
      <c r="I14" s="21">
        <v>94700</v>
      </c>
      <c r="J14" s="22">
        <f t="shared" si="0"/>
        <v>39.458333333333336</v>
      </c>
      <c r="K14" s="21">
        <v>203907</v>
      </c>
      <c r="L14" s="21">
        <f>H14-186094</f>
        <v>53906</v>
      </c>
      <c r="M14" s="21">
        <v>17813</v>
      </c>
      <c r="N14" s="67">
        <f t="shared" si="1"/>
        <v>7.4220833333333333E-2</v>
      </c>
      <c r="O14" s="23">
        <v>58.78</v>
      </c>
      <c r="P14" s="24">
        <v>120</v>
      </c>
      <c r="Q14" s="25">
        <v>0.16500000000000001</v>
      </c>
      <c r="R14" s="25">
        <v>0.16500000000000001</v>
      </c>
      <c r="S14" s="21">
        <f t="shared" si="2"/>
        <v>917.08063967335829</v>
      </c>
      <c r="T14" s="21">
        <f t="shared" si="3"/>
        <v>326703.03030303027</v>
      </c>
      <c r="U14" s="26">
        <f t="shared" si="4"/>
        <v>7.5000695661852683</v>
      </c>
      <c r="V14" s="25">
        <v>60</v>
      </c>
      <c r="W14" s="25">
        <f t="shared" si="5"/>
        <v>48000</v>
      </c>
      <c r="X14" s="25">
        <f t="shared" si="6"/>
        <v>800</v>
      </c>
      <c r="Y14" s="27" t="s">
        <v>2726</v>
      </c>
      <c r="Z14" s="19" t="s">
        <v>35</v>
      </c>
      <c r="AA14" s="19" t="s">
        <v>35</v>
      </c>
      <c r="AB14" s="19" t="s">
        <v>2727</v>
      </c>
      <c r="AC14" s="19">
        <v>0</v>
      </c>
      <c r="AD14" s="19">
        <v>1</v>
      </c>
      <c r="AE14" s="19" t="s">
        <v>37</v>
      </c>
      <c r="AF14" s="19" t="s">
        <v>43</v>
      </c>
      <c r="AG14" s="19" t="s">
        <v>38</v>
      </c>
      <c r="AH14" s="19" t="s">
        <v>92</v>
      </c>
    </row>
    <row r="15" spans="1:34" x14ac:dyDescent="0.3">
      <c r="A15" s="75" t="s">
        <v>2727</v>
      </c>
      <c r="B15" s="19" t="s">
        <v>2746</v>
      </c>
      <c r="C15" s="19" t="s">
        <v>2747</v>
      </c>
      <c r="D15" s="20">
        <v>45496</v>
      </c>
      <c r="E15" s="21">
        <v>240000</v>
      </c>
      <c r="F15" s="19" t="s">
        <v>32</v>
      </c>
      <c r="G15" s="19" t="s">
        <v>33</v>
      </c>
      <c r="H15" s="21">
        <v>240000</v>
      </c>
      <c r="I15" s="21">
        <v>91400</v>
      </c>
      <c r="J15" s="22">
        <f t="shared" si="0"/>
        <v>38.083333333333336</v>
      </c>
      <c r="K15" s="21">
        <v>198148</v>
      </c>
      <c r="L15" s="21">
        <f>H15-180335</f>
        <v>59665</v>
      </c>
      <c r="M15" s="21">
        <v>17813</v>
      </c>
      <c r="N15" s="67">
        <f t="shared" si="1"/>
        <v>7.4220833333333333E-2</v>
      </c>
      <c r="O15" s="23">
        <v>58.78</v>
      </c>
      <c r="P15" s="24">
        <v>120</v>
      </c>
      <c r="Q15" s="25">
        <v>0.16500000000000001</v>
      </c>
      <c r="R15" s="25">
        <v>0.16500000000000001</v>
      </c>
      <c r="S15" s="21">
        <f t="shared" si="2"/>
        <v>1015.0561415447431</v>
      </c>
      <c r="T15" s="21">
        <f t="shared" si="3"/>
        <v>361606.06060606061</v>
      </c>
      <c r="U15" s="26">
        <f t="shared" si="4"/>
        <v>8.3013328881097479</v>
      </c>
      <c r="V15" s="25">
        <v>60</v>
      </c>
      <c r="W15" s="25">
        <f t="shared" si="5"/>
        <v>48000</v>
      </c>
      <c r="X15" s="25">
        <f t="shared" si="6"/>
        <v>800</v>
      </c>
      <c r="Y15" s="27" t="s">
        <v>2726</v>
      </c>
      <c r="Z15" s="19" t="s">
        <v>35</v>
      </c>
      <c r="AA15" s="19" t="s">
        <v>35</v>
      </c>
      <c r="AB15" s="19" t="s">
        <v>2727</v>
      </c>
      <c r="AC15" s="19">
        <v>0</v>
      </c>
      <c r="AD15" s="19">
        <v>1</v>
      </c>
      <c r="AE15" s="19" t="s">
        <v>42</v>
      </c>
      <c r="AF15" s="19" t="s">
        <v>43</v>
      </c>
      <c r="AG15" s="19" t="s">
        <v>38</v>
      </c>
      <c r="AH15" s="19" t="s">
        <v>92</v>
      </c>
    </row>
    <row r="16" spans="1:34" x14ac:dyDescent="0.3">
      <c r="A16" s="74" t="s">
        <v>2727</v>
      </c>
      <c r="B16" s="10" t="s">
        <v>2750</v>
      </c>
      <c r="C16" s="10" t="s">
        <v>2751</v>
      </c>
      <c r="D16" s="11">
        <v>45716</v>
      </c>
      <c r="E16" s="12">
        <v>224500</v>
      </c>
      <c r="F16" s="10" t="s">
        <v>32</v>
      </c>
      <c r="G16" s="10" t="s">
        <v>33</v>
      </c>
      <c r="H16" s="12">
        <v>224500</v>
      </c>
      <c r="I16" s="12">
        <v>83400</v>
      </c>
      <c r="J16" s="13">
        <f t="shared" si="0"/>
        <v>37.149220489977729</v>
      </c>
      <c r="K16" s="12">
        <v>176437</v>
      </c>
      <c r="L16" s="12">
        <f>H16-158624</f>
        <v>65876</v>
      </c>
      <c r="M16" s="12">
        <v>17813</v>
      </c>
      <c r="N16" s="66">
        <f t="shared" si="1"/>
        <v>7.9345211581291764E-2</v>
      </c>
      <c r="O16" s="14">
        <v>58.78</v>
      </c>
      <c r="P16" s="15">
        <v>120</v>
      </c>
      <c r="Q16" s="16">
        <v>0.16500000000000001</v>
      </c>
      <c r="R16" s="16">
        <v>0.16500000000000001</v>
      </c>
      <c r="S16" s="12">
        <f t="shared" si="2"/>
        <v>1120.7213337870023</v>
      </c>
      <c r="T16" s="12">
        <f t="shared" si="3"/>
        <v>399248.4848484848</v>
      </c>
      <c r="U16" s="17">
        <f t="shared" si="4"/>
        <v>9.1654840415170984</v>
      </c>
      <c r="V16" s="16">
        <v>60</v>
      </c>
      <c r="W16" s="16">
        <f t="shared" si="5"/>
        <v>44900</v>
      </c>
      <c r="X16" s="16">
        <f t="shared" si="6"/>
        <v>748.33333333333337</v>
      </c>
      <c r="Y16" s="18" t="s">
        <v>2726</v>
      </c>
      <c r="Z16" s="10" t="s">
        <v>35</v>
      </c>
      <c r="AA16" s="10" t="s">
        <v>35</v>
      </c>
      <c r="AB16" s="10" t="s">
        <v>2727</v>
      </c>
      <c r="AC16" s="10">
        <v>0</v>
      </c>
      <c r="AD16" s="10">
        <v>1</v>
      </c>
      <c r="AE16" s="10" t="s">
        <v>42</v>
      </c>
      <c r="AF16" s="10" t="s">
        <v>35</v>
      </c>
      <c r="AG16" s="10" t="s">
        <v>38</v>
      </c>
      <c r="AH16" s="10" t="s">
        <v>92</v>
      </c>
    </row>
    <row r="17" spans="1:34" x14ac:dyDescent="0.3">
      <c r="A17" s="75" t="s">
        <v>2727</v>
      </c>
      <c r="B17" s="19" t="s">
        <v>2728</v>
      </c>
      <c r="C17" s="19" t="s">
        <v>2729</v>
      </c>
      <c r="D17" s="20">
        <v>45324</v>
      </c>
      <c r="E17" s="21">
        <v>262000</v>
      </c>
      <c r="F17" s="19" t="s">
        <v>32</v>
      </c>
      <c r="G17" s="19" t="s">
        <v>33</v>
      </c>
      <c r="H17" s="21">
        <v>262000</v>
      </c>
      <c r="I17" s="21">
        <v>80700</v>
      </c>
      <c r="J17" s="22">
        <f t="shared" si="0"/>
        <v>30.801526717557255</v>
      </c>
      <c r="K17" s="21">
        <v>208090</v>
      </c>
      <c r="L17" s="21">
        <f>H17-188850</f>
        <v>73150</v>
      </c>
      <c r="M17" s="21">
        <v>19240</v>
      </c>
      <c r="N17" s="67">
        <f t="shared" si="1"/>
        <v>7.343511450381679E-2</v>
      </c>
      <c r="O17" s="23">
        <v>63.49</v>
      </c>
      <c r="P17" s="24">
        <v>140</v>
      </c>
      <c r="Q17" s="25">
        <v>0.193</v>
      </c>
      <c r="R17" s="25">
        <v>0.193</v>
      </c>
      <c r="S17" s="21">
        <f t="shared" si="2"/>
        <v>1152.1499448732084</v>
      </c>
      <c r="T17" s="21">
        <f t="shared" si="3"/>
        <v>379015.54404145078</v>
      </c>
      <c r="U17" s="26">
        <f t="shared" si="4"/>
        <v>8.7009996336421214</v>
      </c>
      <c r="V17" s="25">
        <v>60</v>
      </c>
      <c r="W17" s="25">
        <f t="shared" si="5"/>
        <v>52400</v>
      </c>
      <c r="X17" s="25">
        <f t="shared" si="6"/>
        <v>873.33333333333337</v>
      </c>
      <c r="Y17" s="27" t="s">
        <v>2726</v>
      </c>
      <c r="Z17" s="19" t="s">
        <v>35</v>
      </c>
      <c r="AA17" s="19" t="s">
        <v>35</v>
      </c>
      <c r="AB17" s="19" t="s">
        <v>2727</v>
      </c>
      <c r="AC17" s="19">
        <v>0</v>
      </c>
      <c r="AD17" s="19">
        <v>1</v>
      </c>
      <c r="AE17" s="19" t="s">
        <v>2730</v>
      </c>
      <c r="AF17" s="19" t="s">
        <v>43</v>
      </c>
      <c r="AG17" s="19" t="s">
        <v>38</v>
      </c>
      <c r="AH17" s="19" t="s">
        <v>92</v>
      </c>
    </row>
    <row r="18" spans="1:34" ht="15" thickBot="1" x14ac:dyDescent="0.35">
      <c r="A18" s="75" t="s">
        <v>2727</v>
      </c>
      <c r="B18" s="19" t="s">
        <v>2740</v>
      </c>
      <c r="C18" s="19" t="s">
        <v>2741</v>
      </c>
      <c r="D18" s="20">
        <v>45639</v>
      </c>
      <c r="E18" s="21">
        <v>237000</v>
      </c>
      <c r="F18" s="19" t="s">
        <v>32</v>
      </c>
      <c r="G18" s="19" t="s">
        <v>33</v>
      </c>
      <c r="H18" s="21">
        <v>237000</v>
      </c>
      <c r="I18" s="21">
        <v>85700</v>
      </c>
      <c r="J18" s="22">
        <f t="shared" si="0"/>
        <v>36.160337552742618</v>
      </c>
      <c r="K18" s="21">
        <v>184830</v>
      </c>
      <c r="L18" s="21">
        <f>H18-167017</f>
        <v>69983</v>
      </c>
      <c r="M18" s="21">
        <v>17813</v>
      </c>
      <c r="N18" s="67">
        <f t="shared" si="1"/>
        <v>7.5160337552742609E-2</v>
      </c>
      <c r="O18" s="23">
        <v>58.78</v>
      </c>
      <c r="P18" s="24">
        <v>120</v>
      </c>
      <c r="Q18" s="25">
        <v>0.16500000000000001</v>
      </c>
      <c r="R18" s="25">
        <v>0.16500000000000001</v>
      </c>
      <c r="S18" s="21">
        <f t="shared" si="2"/>
        <v>1190.5920381082001</v>
      </c>
      <c r="T18" s="21">
        <f t="shared" si="3"/>
        <v>424139.39393939392</v>
      </c>
      <c r="U18" s="26">
        <f t="shared" si="4"/>
        <v>9.7369006873139092</v>
      </c>
      <c r="V18" s="25">
        <v>60</v>
      </c>
      <c r="W18" s="25">
        <f t="shared" si="5"/>
        <v>47400</v>
      </c>
      <c r="X18" s="25">
        <f t="shared" si="6"/>
        <v>790</v>
      </c>
      <c r="Y18" s="27" t="s">
        <v>2726</v>
      </c>
      <c r="Z18" s="19" t="s">
        <v>35</v>
      </c>
      <c r="AA18" s="19" t="s">
        <v>35</v>
      </c>
      <c r="AB18" s="19" t="s">
        <v>2727</v>
      </c>
      <c r="AC18" s="19">
        <v>0</v>
      </c>
      <c r="AD18" s="19">
        <v>1</v>
      </c>
      <c r="AE18" s="19" t="s">
        <v>42</v>
      </c>
      <c r="AF18" s="19" t="s">
        <v>35</v>
      </c>
      <c r="AG18" s="19" t="s">
        <v>38</v>
      </c>
      <c r="AH18" s="19" t="s">
        <v>92</v>
      </c>
    </row>
    <row r="19" spans="1:34" ht="15" thickTop="1" x14ac:dyDescent="0.3">
      <c r="A19" s="76"/>
      <c r="B19" s="37"/>
      <c r="C19" s="37"/>
      <c r="D19" s="38" t="s">
        <v>2876</v>
      </c>
      <c r="E19" s="39">
        <f>+SUM(E2:E18)</f>
        <v>3874000</v>
      </c>
      <c r="F19" s="37"/>
      <c r="G19" s="37"/>
      <c r="H19" s="39">
        <f>+SUM(H2:H18)</f>
        <v>3874000</v>
      </c>
      <c r="I19" s="39">
        <f>+SUM(I2:I18)</f>
        <v>1529300</v>
      </c>
      <c r="J19" s="40"/>
      <c r="K19" s="39">
        <f>+SUM(K2:K18)</f>
        <v>3596748</v>
      </c>
      <c r="L19" s="39">
        <f>+SUM(L2:L18)</f>
        <v>598754</v>
      </c>
      <c r="M19" s="39">
        <f>+SUM(M2:M18)</f>
        <v>321502</v>
      </c>
      <c r="N19" s="81">
        <f>AVERAGE(N2:N18)</f>
        <v>8.6121194186259159E-2</v>
      </c>
      <c r="O19" s="41">
        <f>+SUM(O2:O18)</f>
        <v>1060.95</v>
      </c>
      <c r="P19" s="42"/>
      <c r="Q19" s="43">
        <f>+SUM(Q2:Q18)</f>
        <v>3.1</v>
      </c>
      <c r="R19" s="43">
        <f>+SUM(R2:R18)</f>
        <v>3.1</v>
      </c>
      <c r="S19" s="39"/>
      <c r="T19" s="39"/>
      <c r="U19" s="44"/>
      <c r="V19" s="43"/>
      <c r="W19" s="82">
        <f>AVERAGE(W2:W18)</f>
        <v>45576.470588235294</v>
      </c>
      <c r="X19" s="83">
        <f>AVERAGE(X2:X18)</f>
        <v>748.50019542987775</v>
      </c>
      <c r="Y19" s="45"/>
      <c r="Z19" s="37"/>
      <c r="AA19" s="37"/>
      <c r="AB19" s="37"/>
      <c r="AC19" s="37"/>
      <c r="AD19" s="37"/>
      <c r="AE19" s="37"/>
      <c r="AF19" s="37"/>
      <c r="AG19" s="37"/>
      <c r="AH19" s="37"/>
    </row>
    <row r="20" spans="1:34" x14ac:dyDescent="0.3">
      <c r="A20" s="77"/>
      <c r="B20" s="28"/>
      <c r="C20" s="28"/>
      <c r="D20" s="29"/>
      <c r="E20" s="30"/>
      <c r="F20" s="28"/>
      <c r="G20" s="28"/>
      <c r="H20" s="30"/>
      <c r="I20" s="30" t="s">
        <v>2877</v>
      </c>
      <c r="J20" s="31">
        <f>I19/H19*100</f>
        <v>39.475993804852862</v>
      </c>
      <c r="K20" s="30"/>
      <c r="L20" s="30"/>
      <c r="M20" s="30" t="s">
        <v>2879</v>
      </c>
      <c r="N20" s="79"/>
      <c r="O20" s="32"/>
      <c r="P20" s="33"/>
      <c r="Q20" s="34" t="s">
        <v>2879</v>
      </c>
      <c r="R20" s="34"/>
      <c r="S20" s="30"/>
      <c r="T20" s="30" t="s">
        <v>2879</v>
      </c>
      <c r="U20" s="35"/>
      <c r="V20" s="34"/>
      <c r="W20" s="63"/>
      <c r="X20" s="68"/>
      <c r="Y20" s="36"/>
      <c r="Z20" s="28"/>
      <c r="AA20" s="28"/>
      <c r="AB20" s="28"/>
      <c r="AC20" s="28"/>
      <c r="AD20" s="28"/>
      <c r="AE20" s="28"/>
      <c r="AF20" s="28"/>
      <c r="AG20" s="28"/>
      <c r="AH20" s="28"/>
    </row>
    <row r="21" spans="1:34" x14ac:dyDescent="0.3">
      <c r="A21" s="78"/>
      <c r="B21" s="46"/>
      <c r="C21" s="46"/>
      <c r="D21" s="47"/>
      <c r="E21" s="48"/>
      <c r="F21" s="46"/>
      <c r="G21" s="46"/>
      <c r="H21" s="48"/>
      <c r="I21" s="48" t="s">
        <v>2878</v>
      </c>
      <c r="J21" s="49">
        <f>STDEV(J2:J18)</f>
        <v>5.9891305331993294</v>
      </c>
      <c r="K21" s="48"/>
      <c r="L21" s="48"/>
      <c r="M21" s="48" t="s">
        <v>2880</v>
      </c>
      <c r="N21" s="80"/>
      <c r="O21" s="54">
        <f>L19/O19</f>
        <v>564.35647297233606</v>
      </c>
      <c r="P21" s="50"/>
      <c r="Q21" s="51" t="s">
        <v>2881</v>
      </c>
      <c r="R21" s="51">
        <f>L19/Q19</f>
        <v>193146.45161290321</v>
      </c>
      <c r="S21" s="48"/>
      <c r="T21" s="48" t="s">
        <v>2882</v>
      </c>
      <c r="U21" s="52">
        <f>L19/Q19/43560</f>
        <v>4.4340324061731682</v>
      </c>
      <c r="V21" s="51"/>
      <c r="W21" s="64"/>
      <c r="X21" s="69"/>
      <c r="Y21" s="53"/>
      <c r="Z21" s="46"/>
      <c r="AA21" s="46"/>
      <c r="AB21" s="46"/>
      <c r="AC21" s="46"/>
      <c r="AD21" s="46"/>
      <c r="AE21" s="46"/>
      <c r="AF21" s="46"/>
      <c r="AG21" s="46"/>
      <c r="AH21" s="46"/>
    </row>
    <row r="22" spans="1:34" x14ac:dyDescent="0.3">
      <c r="E22" s="94" t="s">
        <v>3099</v>
      </c>
      <c r="L22" s="95"/>
    </row>
    <row r="23" spans="1:34" x14ac:dyDescent="0.3">
      <c r="E23" s="383" t="s">
        <v>3163</v>
      </c>
      <c r="F23" s="383"/>
      <c r="G23" s="383"/>
      <c r="H23" s="383"/>
      <c r="I23" s="383"/>
      <c r="J23" s="383"/>
      <c r="K23" s="383"/>
      <c r="L23" s="383"/>
    </row>
    <row r="24" spans="1:34" x14ac:dyDescent="0.3">
      <c r="E24" s="383" t="s">
        <v>3164</v>
      </c>
      <c r="F24" s="383"/>
      <c r="G24" s="383"/>
      <c r="H24" s="383"/>
      <c r="I24" s="383"/>
      <c r="J24" s="383"/>
      <c r="K24" s="383"/>
      <c r="L24" s="383"/>
    </row>
    <row r="25" spans="1:34" x14ac:dyDescent="0.3">
      <c r="E25" s="383" t="s">
        <v>3165</v>
      </c>
      <c r="F25" s="383"/>
      <c r="G25" s="383"/>
      <c r="H25" s="383"/>
      <c r="I25" s="383"/>
      <c r="J25" s="383"/>
      <c r="K25" s="383"/>
      <c r="L25" s="383"/>
    </row>
    <row r="26" spans="1:34" x14ac:dyDescent="0.3">
      <c r="E26" s="383" t="s">
        <v>3166</v>
      </c>
      <c r="F26" s="383"/>
      <c r="G26" s="383"/>
      <c r="H26" s="383"/>
      <c r="I26" s="383"/>
      <c r="J26" s="96"/>
      <c r="K26" s="96"/>
      <c r="L26" s="96"/>
    </row>
    <row r="27" spans="1:34" x14ac:dyDescent="0.3">
      <c r="E27" s="383" t="s">
        <v>3167</v>
      </c>
      <c r="F27" s="383"/>
      <c r="G27" s="383"/>
      <c r="H27" s="383"/>
      <c r="I27" s="383"/>
      <c r="L27" s="95"/>
    </row>
    <row r="28" spans="1:34" x14ac:dyDescent="0.3">
      <c r="E28" s="383" t="s">
        <v>3100</v>
      </c>
      <c r="F28" s="383"/>
      <c r="G28" s="383"/>
      <c r="H28" s="383"/>
      <c r="I28" s="383"/>
      <c r="L28" s="95"/>
    </row>
    <row r="29" spans="1:34" x14ac:dyDescent="0.3">
      <c r="E29" s="96"/>
      <c r="F29" s="96"/>
      <c r="G29" s="96"/>
      <c r="H29" s="96"/>
      <c r="I29" s="96"/>
      <c r="L29" s="95"/>
    </row>
    <row r="30" spans="1:34" x14ac:dyDescent="0.3">
      <c r="A30" s="55" t="s">
        <v>3092</v>
      </c>
      <c r="E30" s="96"/>
      <c r="F30" s="96"/>
      <c r="G30" s="96"/>
      <c r="H30" s="96"/>
      <c r="I30" s="96"/>
      <c r="L30" s="95"/>
    </row>
    <row r="31" spans="1:34" x14ac:dyDescent="0.3">
      <c r="A31" s="74" t="s">
        <v>2727</v>
      </c>
      <c r="B31" s="10" t="s">
        <v>2764</v>
      </c>
      <c r="C31" s="10" t="s">
        <v>2765</v>
      </c>
      <c r="D31" s="11">
        <v>45481</v>
      </c>
      <c r="E31" s="12">
        <v>135000</v>
      </c>
      <c r="F31" s="10" t="s">
        <v>32</v>
      </c>
      <c r="G31" s="10" t="s">
        <v>33</v>
      </c>
      <c r="H31" s="12">
        <v>135000</v>
      </c>
      <c r="I31" s="12">
        <v>103700</v>
      </c>
      <c r="J31" s="13">
        <f t="shared" ref="J31:J33" si="7">I31/H31*100</f>
        <v>76.81481481481481</v>
      </c>
      <c r="K31" s="12">
        <v>221919</v>
      </c>
      <c r="L31" s="12">
        <f>H31-202909</f>
        <v>-67909</v>
      </c>
      <c r="M31" s="12">
        <v>19010</v>
      </c>
      <c r="N31" s="66">
        <f t="shared" ref="N31:N33" si="8">M31/E31</f>
        <v>0.14081481481481481</v>
      </c>
      <c r="O31" s="14">
        <v>62.74</v>
      </c>
      <c r="P31" s="15">
        <v>136.68</v>
      </c>
      <c r="Q31" s="16">
        <v>0.188</v>
      </c>
      <c r="R31" s="16">
        <v>0.188</v>
      </c>
      <c r="S31" s="12">
        <f t="shared" ref="S31:S33" si="9">L31/O31</f>
        <v>-1082.3876314950589</v>
      </c>
      <c r="T31" s="12">
        <f t="shared" ref="T31:T33" si="10">L31/Q31</f>
        <v>-361218.08510638296</v>
      </c>
      <c r="U31" s="17">
        <f t="shared" ref="U31:U33" si="11">L31/Q31/43560</f>
        <v>-8.2924261961979564</v>
      </c>
      <c r="V31" s="16">
        <v>60</v>
      </c>
      <c r="W31" s="16">
        <f t="shared" ref="W31:W33" si="12">0.2*E31</f>
        <v>27000</v>
      </c>
      <c r="X31" s="16">
        <f t="shared" ref="X31:X33" si="13">W31/V31</f>
        <v>450</v>
      </c>
      <c r="Y31" s="18" t="s">
        <v>2726</v>
      </c>
      <c r="Z31" s="10" t="s">
        <v>35</v>
      </c>
      <c r="AA31" s="10" t="s">
        <v>35</v>
      </c>
      <c r="AB31" s="10" t="s">
        <v>2727</v>
      </c>
      <c r="AC31" s="10">
        <v>0</v>
      </c>
      <c r="AD31" s="10">
        <v>1</v>
      </c>
      <c r="AE31" s="10" t="s">
        <v>42</v>
      </c>
      <c r="AF31" s="10" t="s">
        <v>43</v>
      </c>
      <c r="AG31" s="10" t="s">
        <v>38</v>
      </c>
      <c r="AH31" s="10" t="s">
        <v>92</v>
      </c>
    </row>
    <row r="32" spans="1:34" x14ac:dyDescent="0.3">
      <c r="A32" s="74" t="s">
        <v>2727</v>
      </c>
      <c r="B32" s="10" t="s">
        <v>2724</v>
      </c>
      <c r="C32" s="10" t="s">
        <v>2725</v>
      </c>
      <c r="D32" s="11">
        <v>45573</v>
      </c>
      <c r="E32" s="12">
        <v>280000</v>
      </c>
      <c r="F32" s="10" t="s">
        <v>32</v>
      </c>
      <c r="G32" s="10" t="s">
        <v>33</v>
      </c>
      <c r="H32" s="12">
        <v>280000</v>
      </c>
      <c r="I32" s="12">
        <v>103300</v>
      </c>
      <c r="J32" s="13">
        <f t="shared" si="7"/>
        <v>36.892857142857146</v>
      </c>
      <c r="K32" s="12">
        <v>219268</v>
      </c>
      <c r="L32" s="12">
        <f>H32-201378</f>
        <v>78622</v>
      </c>
      <c r="M32" s="12">
        <v>17890</v>
      </c>
      <c r="N32" s="66">
        <f t="shared" si="8"/>
        <v>6.389285714285714E-2</v>
      </c>
      <c r="O32" s="14">
        <v>59.04</v>
      </c>
      <c r="P32" s="15">
        <v>121.05</v>
      </c>
      <c r="Q32" s="16">
        <v>0.16700000000000001</v>
      </c>
      <c r="R32" s="16">
        <v>0.16700000000000001</v>
      </c>
      <c r="S32" s="12">
        <f t="shared" si="9"/>
        <v>1331.6734417344173</v>
      </c>
      <c r="T32" s="12">
        <f t="shared" si="10"/>
        <v>470790.4191616766</v>
      </c>
      <c r="U32" s="17">
        <f t="shared" si="11"/>
        <v>10.807860862297442</v>
      </c>
      <c r="V32" s="16">
        <v>60</v>
      </c>
      <c r="W32" s="16">
        <f t="shared" si="12"/>
        <v>56000</v>
      </c>
      <c r="X32" s="16">
        <f t="shared" si="13"/>
        <v>933.33333333333337</v>
      </c>
      <c r="Y32" s="18" t="s">
        <v>2726</v>
      </c>
      <c r="Z32" s="10" t="s">
        <v>35</v>
      </c>
      <c r="AA32" s="10" t="s">
        <v>35</v>
      </c>
      <c r="AB32" s="10" t="s">
        <v>2727</v>
      </c>
      <c r="AC32" s="10">
        <v>0</v>
      </c>
      <c r="AD32" s="10">
        <v>1</v>
      </c>
      <c r="AE32" s="10" t="s">
        <v>42</v>
      </c>
      <c r="AF32" s="10" t="s">
        <v>35</v>
      </c>
      <c r="AG32" s="10" t="s">
        <v>38</v>
      </c>
      <c r="AH32" s="10" t="s">
        <v>92</v>
      </c>
    </row>
    <row r="33" spans="1:34" x14ac:dyDescent="0.3">
      <c r="A33" s="74" t="s">
        <v>2727</v>
      </c>
      <c r="B33" s="10" t="s">
        <v>2744</v>
      </c>
      <c r="C33" s="10" t="s">
        <v>2745</v>
      </c>
      <c r="D33" s="11">
        <v>45485</v>
      </c>
      <c r="E33" s="12">
        <v>185000</v>
      </c>
      <c r="F33" s="10" t="s">
        <v>32</v>
      </c>
      <c r="G33" s="10" t="s">
        <v>33</v>
      </c>
      <c r="H33" s="12">
        <v>185000</v>
      </c>
      <c r="I33" s="12">
        <v>105400</v>
      </c>
      <c r="J33" s="13">
        <f t="shared" si="7"/>
        <v>56.972972972972968</v>
      </c>
      <c r="K33" s="12">
        <v>226457</v>
      </c>
      <c r="L33" s="12">
        <f>H33-208644</f>
        <v>-23644</v>
      </c>
      <c r="M33" s="12">
        <v>17813</v>
      </c>
      <c r="N33" s="66">
        <f t="shared" si="8"/>
        <v>9.6286486486486481E-2</v>
      </c>
      <c r="O33" s="14">
        <v>58.78</v>
      </c>
      <c r="P33" s="15">
        <v>120</v>
      </c>
      <c r="Q33" s="16">
        <v>0.16500000000000001</v>
      </c>
      <c r="R33" s="16">
        <v>0.16500000000000001</v>
      </c>
      <c r="S33" s="12">
        <f t="shared" si="9"/>
        <v>-402.24566178972441</v>
      </c>
      <c r="T33" s="12">
        <f t="shared" si="10"/>
        <v>-143296.9696969697</v>
      </c>
      <c r="U33" s="17">
        <f t="shared" si="11"/>
        <v>-3.2896457689846121</v>
      </c>
      <c r="V33" s="16">
        <v>60</v>
      </c>
      <c r="W33" s="16">
        <f t="shared" si="12"/>
        <v>37000</v>
      </c>
      <c r="X33" s="16">
        <f t="shared" si="13"/>
        <v>616.66666666666663</v>
      </c>
      <c r="Y33" s="18" t="s">
        <v>2726</v>
      </c>
      <c r="Z33" s="10" t="s">
        <v>35</v>
      </c>
      <c r="AA33" s="10" t="s">
        <v>35</v>
      </c>
      <c r="AB33" s="10" t="s">
        <v>2727</v>
      </c>
      <c r="AC33" s="10">
        <v>0</v>
      </c>
      <c r="AD33" s="10">
        <v>1</v>
      </c>
      <c r="AE33" s="10" t="s">
        <v>42</v>
      </c>
      <c r="AF33" s="10" t="s">
        <v>43</v>
      </c>
      <c r="AG33" s="10" t="s">
        <v>38</v>
      </c>
      <c r="AH33" s="10" t="s">
        <v>92</v>
      </c>
    </row>
  </sheetData>
  <sortState xmlns:xlrd2="http://schemas.microsoft.com/office/spreadsheetml/2017/richdata2" ref="A2:AH21">
    <sortCondition ref="S2:S21"/>
  </sortState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7">
    <tabColor rgb="FF00B050"/>
  </sheetPr>
  <dimension ref="A1:AH18"/>
  <sheetViews>
    <sheetView topLeftCell="A4" workbookViewId="0">
      <selection activeCell="D9" sqref="D9:L1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0.66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2150</v>
      </c>
      <c r="B2" s="19" t="s">
        <v>2151</v>
      </c>
      <c r="C2" s="19" t="s">
        <v>2152</v>
      </c>
      <c r="D2" s="20">
        <v>45190</v>
      </c>
      <c r="E2" s="21">
        <v>381000</v>
      </c>
      <c r="F2" s="19" t="s">
        <v>32</v>
      </c>
      <c r="G2" s="19" t="s">
        <v>33</v>
      </c>
      <c r="H2" s="21">
        <v>381000</v>
      </c>
      <c r="I2" s="21">
        <v>183700</v>
      </c>
      <c r="J2" s="22">
        <f>I2/H2*100</f>
        <v>48.215223097112855</v>
      </c>
      <c r="K2" s="21">
        <v>384789</v>
      </c>
      <c r="L2" s="21">
        <f>H2-351188</f>
        <v>29812</v>
      </c>
      <c r="M2" s="21">
        <v>33601</v>
      </c>
      <c r="N2" s="67">
        <f>M2/E2</f>
        <v>8.819160104986877E-2</v>
      </c>
      <c r="O2" s="23">
        <v>81.55</v>
      </c>
      <c r="P2" s="24">
        <v>112.77</v>
      </c>
      <c r="Q2" s="25">
        <v>0.216</v>
      </c>
      <c r="R2" s="25">
        <v>0.216</v>
      </c>
      <c r="S2" s="21">
        <f>L2/O2</f>
        <v>365.56713672593503</v>
      </c>
      <c r="T2" s="21">
        <f>L2/Q2</f>
        <v>138018.51851851851</v>
      </c>
      <c r="U2" s="26">
        <f>L2/Q2/43560</f>
        <v>3.1684692038227391</v>
      </c>
      <c r="V2" s="25">
        <v>85.19</v>
      </c>
      <c r="W2" s="25">
        <f>0.2*E2</f>
        <v>76200</v>
      </c>
      <c r="X2" s="25">
        <f>W2/V2</f>
        <v>894.47118206362256</v>
      </c>
      <c r="Y2" s="27" t="s">
        <v>2149</v>
      </c>
      <c r="Z2" s="19" t="s">
        <v>35</v>
      </c>
      <c r="AA2" s="19" t="s">
        <v>35</v>
      </c>
      <c r="AB2" s="19" t="s">
        <v>2150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2150</v>
      </c>
      <c r="B3" s="10" t="s">
        <v>2153</v>
      </c>
      <c r="C3" s="10" t="s">
        <v>2154</v>
      </c>
      <c r="D3" s="11">
        <v>45639</v>
      </c>
      <c r="E3" s="12">
        <v>420000</v>
      </c>
      <c r="F3" s="10" t="s">
        <v>32</v>
      </c>
      <c r="G3" s="10" t="s">
        <v>33</v>
      </c>
      <c r="H3" s="12">
        <v>420000</v>
      </c>
      <c r="I3" s="12">
        <v>197100</v>
      </c>
      <c r="J3" s="13">
        <f>I3/H3*100</f>
        <v>46.928571428571431</v>
      </c>
      <c r="K3" s="12">
        <v>402800</v>
      </c>
      <c r="L3" s="12">
        <f>H3-365197</f>
        <v>54803</v>
      </c>
      <c r="M3" s="12">
        <v>37603</v>
      </c>
      <c r="N3" s="66">
        <f>M3/E3</f>
        <v>8.9530952380952378E-2</v>
      </c>
      <c r="O3" s="14">
        <v>91.26</v>
      </c>
      <c r="P3" s="15">
        <v>156.19</v>
      </c>
      <c r="Q3" s="16">
        <v>0.28699999999999998</v>
      </c>
      <c r="R3" s="16">
        <v>0.28699999999999998</v>
      </c>
      <c r="S3" s="12">
        <f>L3/O3</f>
        <v>600.51501205347358</v>
      </c>
      <c r="T3" s="12">
        <f>L3/Q3</f>
        <v>190951.21951219512</v>
      </c>
      <c r="U3" s="17">
        <f>L3/Q3/43560</f>
        <v>4.3836368115747275</v>
      </c>
      <c r="V3" s="16">
        <v>80</v>
      </c>
      <c r="W3" s="16">
        <f>0.2*E3</f>
        <v>84000</v>
      </c>
      <c r="X3" s="16">
        <f>W3/V3</f>
        <v>1050</v>
      </c>
      <c r="Y3" s="18" t="s">
        <v>2149</v>
      </c>
      <c r="Z3" s="10" t="s">
        <v>35</v>
      </c>
      <c r="AA3" s="10" t="s">
        <v>35</v>
      </c>
      <c r="AB3" s="10" t="s">
        <v>2150</v>
      </c>
      <c r="AC3" s="10">
        <v>0</v>
      </c>
      <c r="AD3" s="10">
        <v>1</v>
      </c>
      <c r="AE3" s="10" t="s">
        <v>412</v>
      </c>
      <c r="AF3" s="10" t="s">
        <v>35</v>
      </c>
      <c r="AG3" s="10" t="s">
        <v>38</v>
      </c>
      <c r="AH3" s="10" t="s">
        <v>92</v>
      </c>
    </row>
    <row r="4" spans="1:34" x14ac:dyDescent="0.3">
      <c r="A4" s="74" t="s">
        <v>2150</v>
      </c>
      <c r="B4" s="10" t="s">
        <v>2155</v>
      </c>
      <c r="C4" s="10" t="s">
        <v>2156</v>
      </c>
      <c r="D4" s="11">
        <v>45524</v>
      </c>
      <c r="E4" s="12">
        <v>353000</v>
      </c>
      <c r="F4" s="10" t="s">
        <v>32</v>
      </c>
      <c r="G4" s="10" t="s">
        <v>33</v>
      </c>
      <c r="H4" s="12">
        <v>353000</v>
      </c>
      <c r="I4" s="12">
        <v>151200</v>
      </c>
      <c r="J4" s="13">
        <f>I4/H4*100</f>
        <v>42.832861189801704</v>
      </c>
      <c r="K4" s="12">
        <v>307841</v>
      </c>
      <c r="L4" s="12">
        <f>H4-274860</f>
        <v>78140</v>
      </c>
      <c r="M4" s="12">
        <v>32981</v>
      </c>
      <c r="N4" s="66">
        <f>M4/E4</f>
        <v>9.3430594900849859E-2</v>
      </c>
      <c r="O4" s="14">
        <v>80.05</v>
      </c>
      <c r="P4" s="15">
        <v>116.92</v>
      </c>
      <c r="Q4" s="16">
        <v>0.217</v>
      </c>
      <c r="R4" s="16">
        <v>0.217</v>
      </c>
      <c r="S4" s="12">
        <f>L4/O4</f>
        <v>976.13991255465339</v>
      </c>
      <c r="T4" s="12">
        <f>L4/Q4</f>
        <v>360092.16589861753</v>
      </c>
      <c r="U4" s="17">
        <f>L4/Q4/43560</f>
        <v>8.26657864781032</v>
      </c>
      <c r="V4" s="16">
        <v>81.47</v>
      </c>
      <c r="W4" s="16">
        <f>0.2*E4</f>
        <v>70600</v>
      </c>
      <c r="X4" s="16">
        <f>W4/V4</f>
        <v>866.57665398306131</v>
      </c>
      <c r="Y4" s="18" t="s">
        <v>2149</v>
      </c>
      <c r="Z4" s="10" t="s">
        <v>35</v>
      </c>
      <c r="AA4" s="10" t="s">
        <v>35</v>
      </c>
      <c r="AB4" s="10" t="s">
        <v>2150</v>
      </c>
      <c r="AC4" s="10">
        <v>0</v>
      </c>
      <c r="AD4" s="10">
        <v>1</v>
      </c>
      <c r="AE4" s="10" t="s">
        <v>2157</v>
      </c>
      <c r="AF4" s="10" t="s">
        <v>43</v>
      </c>
      <c r="AG4" s="10" t="s">
        <v>38</v>
      </c>
      <c r="AH4" s="10" t="s">
        <v>92</v>
      </c>
    </row>
    <row r="5" spans="1:34" ht="15" thickBot="1" x14ac:dyDescent="0.35">
      <c r="A5" s="75" t="s">
        <v>2150</v>
      </c>
      <c r="B5" s="19" t="s">
        <v>2158</v>
      </c>
      <c r="C5" s="19" t="s">
        <v>2159</v>
      </c>
      <c r="D5" s="20">
        <v>45425</v>
      </c>
      <c r="E5" s="21">
        <v>339900</v>
      </c>
      <c r="F5" s="19" t="s">
        <v>32</v>
      </c>
      <c r="G5" s="19" t="s">
        <v>33</v>
      </c>
      <c r="H5" s="21">
        <v>339900</v>
      </c>
      <c r="I5" s="21">
        <v>144900</v>
      </c>
      <c r="J5" s="22">
        <f>I5/H5*100</f>
        <v>42.630185348631947</v>
      </c>
      <c r="K5" s="21">
        <v>294332</v>
      </c>
      <c r="L5" s="21">
        <f>H5-261200</f>
        <v>78700</v>
      </c>
      <c r="M5" s="21">
        <v>33132</v>
      </c>
      <c r="N5" s="67">
        <f>M5/E5</f>
        <v>9.7475728155339808E-2</v>
      </c>
      <c r="O5" s="23">
        <v>80.41</v>
      </c>
      <c r="P5" s="24">
        <v>121.11</v>
      </c>
      <c r="Q5" s="25">
        <v>0.223</v>
      </c>
      <c r="R5" s="25">
        <v>0.223</v>
      </c>
      <c r="S5" s="21">
        <f>L5/O5</f>
        <v>978.73398830991175</v>
      </c>
      <c r="T5" s="21">
        <f>L5/Q5</f>
        <v>352914.79820627801</v>
      </c>
      <c r="U5" s="26">
        <f>L5/Q5/43560</f>
        <v>8.1018089579035362</v>
      </c>
      <c r="V5" s="25">
        <v>80.069999999999993</v>
      </c>
      <c r="W5" s="25">
        <f>0.2*E5</f>
        <v>67980</v>
      </c>
      <c r="X5" s="25">
        <f>W5/V5</f>
        <v>849.0071187710754</v>
      </c>
      <c r="Y5" s="27" t="s">
        <v>2149</v>
      </c>
      <c r="Z5" s="19" t="s">
        <v>35</v>
      </c>
      <c r="AA5" s="19" t="s">
        <v>35</v>
      </c>
      <c r="AB5" s="19" t="s">
        <v>2150</v>
      </c>
      <c r="AC5" s="19">
        <v>0</v>
      </c>
      <c r="AD5" s="19">
        <v>1</v>
      </c>
      <c r="AE5" s="19" t="s">
        <v>412</v>
      </c>
      <c r="AF5" s="19" t="s">
        <v>43</v>
      </c>
      <c r="AG5" s="19" t="s">
        <v>38</v>
      </c>
      <c r="AH5" s="19" t="s">
        <v>92</v>
      </c>
    </row>
    <row r="6" spans="1:34" ht="15" thickTop="1" x14ac:dyDescent="0.3">
      <c r="A6" s="76"/>
      <c r="B6" s="37"/>
      <c r="C6" s="37"/>
      <c r="D6" s="38" t="s">
        <v>2876</v>
      </c>
      <c r="E6" s="39">
        <f>+SUM(E2:E5)</f>
        <v>1493900</v>
      </c>
      <c r="F6" s="37"/>
      <c r="G6" s="37"/>
      <c r="H6" s="39">
        <f>+SUM(H2:H5)</f>
        <v>1493900</v>
      </c>
      <c r="I6" s="39">
        <f>+SUM(I2:I5)</f>
        <v>676900</v>
      </c>
      <c r="J6" s="40"/>
      <c r="K6" s="39">
        <f>+SUM(K2:K5)</f>
        <v>1389762</v>
      </c>
      <c r="L6" s="39">
        <f>+SUM(L2:L5)</f>
        <v>241455</v>
      </c>
      <c r="M6" s="39">
        <f>+SUM(M2:M5)</f>
        <v>137317</v>
      </c>
      <c r="N6" s="81">
        <f>AVERAGE(N2:N5)</f>
        <v>9.2157219121752704E-2</v>
      </c>
      <c r="O6" s="41">
        <f>+SUM(O2:O5)</f>
        <v>333.27</v>
      </c>
      <c r="P6" s="42"/>
      <c r="Q6" s="43">
        <f>+SUM(Q2:Q5)</f>
        <v>0.94299999999999995</v>
      </c>
      <c r="R6" s="43">
        <f>+SUM(R2:R5)</f>
        <v>0.94299999999999995</v>
      </c>
      <c r="S6" s="39"/>
      <c r="T6" s="39"/>
      <c r="U6" s="44"/>
      <c r="V6" s="43"/>
      <c r="W6" s="82">
        <f>AVERAGE(W2:W5)</f>
        <v>74695</v>
      </c>
      <c r="X6" s="83">
        <f>AVERAGE(X2:X5)</f>
        <v>915.0137387044399</v>
      </c>
      <c r="Y6" s="45"/>
      <c r="Z6" s="37"/>
      <c r="AA6" s="37"/>
      <c r="AB6" s="37"/>
      <c r="AC6" s="37"/>
      <c r="AD6" s="37"/>
      <c r="AE6" s="37"/>
      <c r="AF6" s="37"/>
      <c r="AG6" s="37"/>
      <c r="AH6" s="37"/>
    </row>
    <row r="7" spans="1:34" x14ac:dyDescent="0.3">
      <c r="A7" s="77"/>
      <c r="B7" s="28"/>
      <c r="C7" s="28"/>
      <c r="D7" s="29"/>
      <c r="E7" s="30"/>
      <c r="F7" s="28"/>
      <c r="G7" s="28"/>
      <c r="H7" s="30"/>
      <c r="I7" s="30" t="s">
        <v>2877</v>
      </c>
      <c r="J7" s="31">
        <f>I6/H6*100</f>
        <v>45.310931119887542</v>
      </c>
      <c r="K7" s="30"/>
      <c r="L7" s="30"/>
      <c r="M7" s="30" t="s">
        <v>2879</v>
      </c>
      <c r="N7" s="79"/>
      <c r="O7" s="32"/>
      <c r="P7" s="33"/>
      <c r="Q7" s="34" t="s">
        <v>2879</v>
      </c>
      <c r="R7" s="34"/>
      <c r="S7" s="30"/>
      <c r="T7" s="30" t="s">
        <v>2879</v>
      </c>
      <c r="U7" s="35"/>
      <c r="V7" s="34"/>
      <c r="W7" s="63"/>
      <c r="X7" s="68"/>
      <c r="Y7" s="36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3">
      <c r="A8" s="78"/>
      <c r="B8" s="46"/>
      <c r="C8" s="46"/>
      <c r="D8" s="47"/>
      <c r="E8" s="48"/>
      <c r="F8" s="46"/>
      <c r="G8" s="46"/>
      <c r="H8" s="48"/>
      <c r="I8" s="48" t="s">
        <v>2878</v>
      </c>
      <c r="J8" s="49">
        <f>STDEV(J2:J5)</f>
        <v>2.8447317040769384</v>
      </c>
      <c r="K8" s="48"/>
      <c r="L8" s="48"/>
      <c r="M8" s="48" t="s">
        <v>2880</v>
      </c>
      <c r="N8" s="80"/>
      <c r="O8" s="54">
        <f>L6/O6</f>
        <v>724.50265550454594</v>
      </c>
      <c r="P8" s="50"/>
      <c r="Q8" s="51" t="s">
        <v>2881</v>
      </c>
      <c r="R8" s="51">
        <f>L6/Q6</f>
        <v>256049.84093319197</v>
      </c>
      <c r="S8" s="48"/>
      <c r="T8" s="48" t="s">
        <v>2882</v>
      </c>
      <c r="U8" s="52">
        <f>L6/Q6/43560</f>
        <v>5.878095521882277</v>
      </c>
      <c r="V8" s="51"/>
      <c r="W8" s="64"/>
      <c r="X8" s="69"/>
      <c r="Y8" s="53"/>
      <c r="Z8" s="46"/>
      <c r="AA8" s="46"/>
      <c r="AB8" s="46"/>
      <c r="AC8" s="46"/>
      <c r="AD8" s="46"/>
      <c r="AE8" s="46"/>
      <c r="AF8" s="46"/>
      <c r="AG8" s="46"/>
      <c r="AH8" s="46"/>
    </row>
    <row r="9" spans="1:34" x14ac:dyDescent="0.3">
      <c r="E9" s="94" t="s">
        <v>3099</v>
      </c>
      <c r="L9" s="95"/>
    </row>
    <row r="10" spans="1:34" x14ac:dyDescent="0.3">
      <c r="E10" s="383" t="s">
        <v>3163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3164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3165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3166</v>
      </c>
      <c r="F13" s="383"/>
      <c r="G13" s="383"/>
      <c r="H13" s="383"/>
      <c r="I13" s="383"/>
      <c r="J13" s="96"/>
      <c r="K13" s="96"/>
      <c r="L13" s="96"/>
    </row>
    <row r="14" spans="1:34" x14ac:dyDescent="0.3">
      <c r="E14" s="383" t="s">
        <v>3167</v>
      </c>
      <c r="F14" s="383"/>
      <c r="G14" s="383"/>
      <c r="H14" s="383"/>
      <c r="I14" s="383"/>
      <c r="L14" s="95"/>
    </row>
    <row r="15" spans="1:34" x14ac:dyDescent="0.3">
      <c r="E15" s="383" t="s">
        <v>3100</v>
      </c>
      <c r="F15" s="383"/>
      <c r="G15" s="383"/>
      <c r="H15" s="383"/>
      <c r="I15" s="383"/>
      <c r="L15" s="95"/>
    </row>
    <row r="16" spans="1:34" x14ac:dyDescent="0.3">
      <c r="E16" s="96"/>
      <c r="F16" s="96"/>
      <c r="G16" s="96"/>
      <c r="H16" s="96"/>
      <c r="I16" s="96"/>
      <c r="L16" s="95"/>
    </row>
    <row r="17" spans="1:34" x14ac:dyDescent="0.3">
      <c r="A17" s="55" t="s">
        <v>3092</v>
      </c>
      <c r="E17" s="96"/>
      <c r="F17" s="96"/>
      <c r="G17" s="96"/>
      <c r="H17" s="96"/>
      <c r="I17" s="96"/>
      <c r="L17" s="95"/>
    </row>
    <row r="18" spans="1:34" x14ac:dyDescent="0.3">
      <c r="A18" s="75" t="s">
        <v>2150</v>
      </c>
      <c r="B18" s="19" t="s">
        <v>2147</v>
      </c>
      <c r="C18" s="19" t="s">
        <v>2148</v>
      </c>
      <c r="D18" s="20">
        <v>45271</v>
      </c>
      <c r="E18" s="21">
        <v>347000</v>
      </c>
      <c r="F18" s="19" t="s">
        <v>32</v>
      </c>
      <c r="G18" s="19" t="s">
        <v>33</v>
      </c>
      <c r="H18" s="21">
        <v>347000</v>
      </c>
      <c r="I18" s="21">
        <v>141700</v>
      </c>
      <c r="J18" s="22">
        <f>I18/H18*100</f>
        <v>40.835734870317005</v>
      </c>
      <c r="K18" s="21">
        <v>295081</v>
      </c>
      <c r="L18" s="21">
        <f>H18-260209</f>
        <v>86791</v>
      </c>
      <c r="M18" s="21">
        <v>34872</v>
      </c>
      <c r="N18" s="67">
        <f>M18/E18</f>
        <v>0.10049567723342939</v>
      </c>
      <c r="O18" s="23">
        <v>84.64</v>
      </c>
      <c r="P18" s="24">
        <v>120</v>
      </c>
      <c r="Q18" s="25">
        <v>0.23400000000000001</v>
      </c>
      <c r="R18" s="25">
        <v>0.23400000000000001</v>
      </c>
      <c r="S18" s="21">
        <f>L18/O18</f>
        <v>1025.413516068053</v>
      </c>
      <c r="T18" s="21">
        <f>L18/Q18</f>
        <v>370901.70940170938</v>
      </c>
      <c r="U18" s="26">
        <f>L18/Q18/43560</f>
        <v>8.5147316207922259</v>
      </c>
      <c r="V18" s="25">
        <v>84.15</v>
      </c>
      <c r="W18" s="25">
        <f>0.2*E18</f>
        <v>69400</v>
      </c>
      <c r="X18" s="25">
        <f>W18/V18</f>
        <v>824.71776589423644</v>
      </c>
      <c r="Y18" s="27" t="s">
        <v>2149</v>
      </c>
      <c r="Z18" s="19" t="s">
        <v>35</v>
      </c>
      <c r="AA18" s="19" t="s">
        <v>35</v>
      </c>
      <c r="AB18" s="19" t="s">
        <v>2150</v>
      </c>
      <c r="AC18" s="19">
        <v>0</v>
      </c>
      <c r="AD18" s="19">
        <v>1</v>
      </c>
      <c r="AE18" s="19" t="s">
        <v>412</v>
      </c>
      <c r="AF18" s="19" t="s">
        <v>43</v>
      </c>
      <c r="AG18" s="19" t="s">
        <v>38</v>
      </c>
      <c r="AH18" s="19" t="s">
        <v>92</v>
      </c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9">
    <tabColor rgb="FF00B050"/>
  </sheetPr>
  <dimension ref="A1:AH25"/>
  <sheetViews>
    <sheetView workbookViewId="0">
      <selection activeCell="D13" sqref="D13:L1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693</v>
      </c>
      <c r="B2" s="10" t="s">
        <v>756</v>
      </c>
      <c r="C2" s="10" t="s">
        <v>757</v>
      </c>
      <c r="D2" s="11">
        <v>45615</v>
      </c>
      <c r="E2" s="12">
        <v>131711</v>
      </c>
      <c r="F2" s="10" t="s">
        <v>81</v>
      </c>
      <c r="G2" s="10" t="s">
        <v>33</v>
      </c>
      <c r="H2" s="12">
        <v>131711</v>
      </c>
      <c r="I2" s="12">
        <v>77500</v>
      </c>
      <c r="J2" s="13">
        <f t="shared" ref="J2:J9" si="0">I2/H2*100</f>
        <v>58.840947225364623</v>
      </c>
      <c r="K2" s="12">
        <v>160737</v>
      </c>
      <c r="L2" s="12">
        <f>H2-152775</f>
        <v>-21064</v>
      </c>
      <c r="M2" s="12">
        <v>7962</v>
      </c>
      <c r="N2" s="66">
        <f t="shared" ref="N2:N9" si="1">M2/E2</f>
        <v>6.0450531846239115E-2</v>
      </c>
      <c r="O2" s="14">
        <v>45.49</v>
      </c>
      <c r="P2" s="15">
        <v>97.03</v>
      </c>
      <c r="Q2" s="16">
        <v>0.17799999999999999</v>
      </c>
      <c r="R2" s="16">
        <v>0.17799999999999999</v>
      </c>
      <c r="S2" s="12">
        <f t="shared" ref="S2:S9" si="2">L2/O2</f>
        <v>-463.04682347768738</v>
      </c>
      <c r="T2" s="12">
        <f t="shared" ref="T2:T9" si="3">L2/Q2</f>
        <v>-118337.0786516854</v>
      </c>
      <c r="U2" s="17">
        <f t="shared" ref="U2:U9" si="4">L2/Q2/43560</f>
        <v>-2.7166455154197751</v>
      </c>
      <c r="V2" s="16">
        <v>80</v>
      </c>
      <c r="W2" s="16">
        <f t="shared" ref="W2:W9" si="5">0.2*E2</f>
        <v>26342.2</v>
      </c>
      <c r="X2" s="16">
        <f t="shared" ref="X2:X9" si="6">W2/V2</f>
        <v>329.27750000000003</v>
      </c>
      <c r="Y2" s="18" t="s">
        <v>692</v>
      </c>
      <c r="Z2" s="10" t="s">
        <v>35</v>
      </c>
      <c r="AA2" s="10" t="s">
        <v>35</v>
      </c>
      <c r="AB2" s="10" t="s">
        <v>693</v>
      </c>
      <c r="AC2" s="10">
        <v>0</v>
      </c>
      <c r="AD2" s="10">
        <v>1</v>
      </c>
      <c r="AE2" s="10" t="s">
        <v>758</v>
      </c>
      <c r="AF2" s="10" t="s">
        <v>35</v>
      </c>
      <c r="AG2" s="10" t="s">
        <v>38</v>
      </c>
      <c r="AH2" s="10" t="s">
        <v>92</v>
      </c>
    </row>
    <row r="3" spans="1:34" x14ac:dyDescent="0.3">
      <c r="A3" s="74" t="s">
        <v>693</v>
      </c>
      <c r="B3" s="10" t="s">
        <v>754</v>
      </c>
      <c r="C3" s="10" t="s">
        <v>755</v>
      </c>
      <c r="D3" s="11">
        <v>45135</v>
      </c>
      <c r="E3" s="12">
        <v>95000</v>
      </c>
      <c r="F3" s="10" t="s">
        <v>32</v>
      </c>
      <c r="G3" s="10" t="s">
        <v>33</v>
      </c>
      <c r="H3" s="12">
        <v>95000</v>
      </c>
      <c r="I3" s="12">
        <v>49300</v>
      </c>
      <c r="J3" s="13">
        <f t="shared" si="0"/>
        <v>51.89473684210526</v>
      </c>
      <c r="K3" s="12">
        <v>109965</v>
      </c>
      <c r="L3" s="12">
        <f>H3-103080</f>
        <v>-8080</v>
      </c>
      <c r="M3" s="12">
        <v>6885</v>
      </c>
      <c r="N3" s="66">
        <f t="shared" si="1"/>
        <v>7.2473684210526315E-2</v>
      </c>
      <c r="O3" s="14">
        <v>39.340000000000003</v>
      </c>
      <c r="P3" s="15">
        <v>290.26</v>
      </c>
      <c r="Q3" s="16">
        <v>0.26700000000000002</v>
      </c>
      <c r="R3" s="16">
        <v>0.26700000000000002</v>
      </c>
      <c r="S3" s="12">
        <f t="shared" si="2"/>
        <v>-205.38891713268936</v>
      </c>
      <c r="T3" s="12">
        <f t="shared" si="3"/>
        <v>-30262.172284644192</v>
      </c>
      <c r="U3" s="17">
        <f t="shared" si="4"/>
        <v>-0.69472388164931564</v>
      </c>
      <c r="V3" s="16">
        <v>40</v>
      </c>
      <c r="W3" s="16">
        <f t="shared" si="5"/>
        <v>19000</v>
      </c>
      <c r="X3" s="16">
        <f t="shared" si="6"/>
        <v>475</v>
      </c>
      <c r="Y3" s="18" t="s">
        <v>692</v>
      </c>
      <c r="Z3" s="10" t="s">
        <v>35</v>
      </c>
      <c r="AA3" s="10" t="s">
        <v>35</v>
      </c>
      <c r="AB3" s="10" t="s">
        <v>693</v>
      </c>
      <c r="AC3" s="10">
        <v>0</v>
      </c>
      <c r="AD3" s="10">
        <v>1</v>
      </c>
      <c r="AE3" s="10" t="s">
        <v>37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693</v>
      </c>
      <c r="B4" s="10" t="s">
        <v>694</v>
      </c>
      <c r="C4" s="10" t="s">
        <v>695</v>
      </c>
      <c r="D4" s="11">
        <v>45044</v>
      </c>
      <c r="E4" s="12">
        <v>126000</v>
      </c>
      <c r="F4" s="10" t="s">
        <v>32</v>
      </c>
      <c r="G4" s="10" t="s">
        <v>33</v>
      </c>
      <c r="H4" s="12">
        <v>126000</v>
      </c>
      <c r="I4" s="12">
        <v>59200</v>
      </c>
      <c r="J4" s="13">
        <f t="shared" si="0"/>
        <v>46.984126984126981</v>
      </c>
      <c r="K4" s="12">
        <v>128493</v>
      </c>
      <c r="L4" s="12">
        <f>H4-116858</f>
        <v>9142</v>
      </c>
      <c r="M4" s="12">
        <v>11635</v>
      </c>
      <c r="N4" s="66">
        <f t="shared" si="1"/>
        <v>9.2341269841269835E-2</v>
      </c>
      <c r="O4" s="14">
        <v>66.48</v>
      </c>
      <c r="P4" s="15">
        <v>304.43</v>
      </c>
      <c r="Q4" s="16">
        <v>0.46100000000000002</v>
      </c>
      <c r="R4" s="16">
        <v>0.46100000000000002</v>
      </c>
      <c r="S4" s="12">
        <f t="shared" si="2"/>
        <v>137.51504211793019</v>
      </c>
      <c r="T4" s="12">
        <f t="shared" si="3"/>
        <v>19830.802603036875</v>
      </c>
      <c r="U4" s="17">
        <f t="shared" si="4"/>
        <v>0.45525258501002924</v>
      </c>
      <c r="V4" s="16">
        <v>66</v>
      </c>
      <c r="W4" s="16">
        <f t="shared" si="5"/>
        <v>25200</v>
      </c>
      <c r="X4" s="16">
        <f t="shared" si="6"/>
        <v>381.81818181818181</v>
      </c>
      <c r="Y4" s="18" t="s">
        <v>692</v>
      </c>
      <c r="Z4" s="10" t="s">
        <v>35</v>
      </c>
      <c r="AA4" s="10" t="s">
        <v>35</v>
      </c>
      <c r="AB4" s="10" t="s">
        <v>693</v>
      </c>
      <c r="AC4" s="10">
        <v>0</v>
      </c>
      <c r="AD4" s="10">
        <v>1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693</v>
      </c>
      <c r="B5" s="10" t="s">
        <v>748</v>
      </c>
      <c r="C5" s="10" t="s">
        <v>749</v>
      </c>
      <c r="D5" s="11">
        <v>45597</v>
      </c>
      <c r="E5" s="12">
        <v>122000</v>
      </c>
      <c r="F5" s="10" t="s">
        <v>81</v>
      </c>
      <c r="G5" s="10" t="s">
        <v>33</v>
      </c>
      <c r="H5" s="12">
        <v>122000</v>
      </c>
      <c r="I5" s="12">
        <v>56000</v>
      </c>
      <c r="J5" s="13">
        <f t="shared" si="0"/>
        <v>45.901639344262293</v>
      </c>
      <c r="K5" s="12">
        <v>116283</v>
      </c>
      <c r="L5" s="12">
        <f>H5-103149</f>
        <v>18851</v>
      </c>
      <c r="M5" s="12">
        <v>13134</v>
      </c>
      <c r="N5" s="66">
        <f t="shared" si="1"/>
        <v>0.10765573770491803</v>
      </c>
      <c r="O5" s="14">
        <v>75.05</v>
      </c>
      <c r="P5" s="15">
        <v>285</v>
      </c>
      <c r="Q5" s="16">
        <v>0.504</v>
      </c>
      <c r="R5" s="16">
        <v>0.504</v>
      </c>
      <c r="S5" s="12">
        <f t="shared" si="2"/>
        <v>251.17921385742838</v>
      </c>
      <c r="T5" s="12">
        <f t="shared" si="3"/>
        <v>37402.777777777781</v>
      </c>
      <c r="U5" s="17">
        <f t="shared" si="4"/>
        <v>0.85864962758902164</v>
      </c>
      <c r="V5" s="16">
        <v>77</v>
      </c>
      <c r="W5" s="16">
        <f t="shared" si="5"/>
        <v>24400</v>
      </c>
      <c r="X5" s="16">
        <f t="shared" si="6"/>
        <v>316.88311688311688</v>
      </c>
      <c r="Y5" s="18" t="s">
        <v>692</v>
      </c>
      <c r="Z5" s="10" t="s">
        <v>35</v>
      </c>
      <c r="AA5" s="10" t="s">
        <v>35</v>
      </c>
      <c r="AB5" s="10" t="s">
        <v>693</v>
      </c>
      <c r="AC5" s="10">
        <v>0</v>
      </c>
      <c r="AD5" s="10">
        <v>1</v>
      </c>
      <c r="AE5" s="10" t="s">
        <v>42</v>
      </c>
      <c r="AF5" s="10" t="s">
        <v>35</v>
      </c>
      <c r="AG5" s="10" t="s">
        <v>38</v>
      </c>
      <c r="AH5" s="10" t="s">
        <v>92</v>
      </c>
    </row>
    <row r="6" spans="1:34" x14ac:dyDescent="0.3">
      <c r="A6" s="74" t="s">
        <v>693</v>
      </c>
      <c r="B6" s="10" t="s">
        <v>746</v>
      </c>
      <c r="C6" s="10" t="s">
        <v>747</v>
      </c>
      <c r="D6" s="11">
        <v>45730</v>
      </c>
      <c r="E6" s="12">
        <v>285000</v>
      </c>
      <c r="F6" s="10" t="s">
        <v>32</v>
      </c>
      <c r="G6" s="10" t="s">
        <v>33</v>
      </c>
      <c r="H6" s="12">
        <v>285000</v>
      </c>
      <c r="I6" s="12">
        <v>102900</v>
      </c>
      <c r="J6" s="13">
        <f t="shared" si="0"/>
        <v>36.105263157894733</v>
      </c>
      <c r="K6" s="12">
        <v>208138</v>
      </c>
      <c r="L6" s="12">
        <f>H6-168737</f>
        <v>116263</v>
      </c>
      <c r="M6" s="12">
        <v>39401</v>
      </c>
      <c r="N6" s="66">
        <f t="shared" si="1"/>
        <v>0.13824912280701754</v>
      </c>
      <c r="O6" s="14">
        <v>225.15</v>
      </c>
      <c r="P6" s="15">
        <v>285</v>
      </c>
      <c r="Q6" s="16">
        <v>1.5109999999999999</v>
      </c>
      <c r="R6" s="16">
        <v>1.5109999999999999</v>
      </c>
      <c r="S6" s="12">
        <f t="shared" si="2"/>
        <v>516.38019098378857</v>
      </c>
      <c r="T6" s="12">
        <f t="shared" si="3"/>
        <v>76944.40767703508</v>
      </c>
      <c r="U6" s="17">
        <f t="shared" si="4"/>
        <v>1.766400543549933</v>
      </c>
      <c r="V6" s="16">
        <v>231</v>
      </c>
      <c r="W6" s="16">
        <f t="shared" si="5"/>
        <v>57000</v>
      </c>
      <c r="X6" s="16">
        <f t="shared" si="6"/>
        <v>246.75324675324674</v>
      </c>
      <c r="Y6" s="18" t="s">
        <v>692</v>
      </c>
      <c r="Z6" s="10" t="s">
        <v>35</v>
      </c>
      <c r="AA6" s="10" t="s">
        <v>35</v>
      </c>
      <c r="AB6" s="10" t="s">
        <v>693</v>
      </c>
      <c r="AC6" s="10">
        <v>0</v>
      </c>
      <c r="AD6" s="10">
        <v>0</v>
      </c>
      <c r="AE6" s="10" t="s">
        <v>37</v>
      </c>
      <c r="AF6" s="10" t="s">
        <v>35</v>
      </c>
      <c r="AG6" s="10" t="s">
        <v>38</v>
      </c>
      <c r="AH6" s="10" t="s">
        <v>92</v>
      </c>
    </row>
    <row r="7" spans="1:34" x14ac:dyDescent="0.3">
      <c r="A7" s="75" t="s">
        <v>693</v>
      </c>
      <c r="B7" s="19" t="s">
        <v>750</v>
      </c>
      <c r="C7" s="19" t="s">
        <v>751</v>
      </c>
      <c r="D7" s="20">
        <v>45699</v>
      </c>
      <c r="E7" s="21">
        <v>215000</v>
      </c>
      <c r="F7" s="19" t="s">
        <v>32</v>
      </c>
      <c r="G7" s="19" t="s">
        <v>33</v>
      </c>
      <c r="H7" s="21">
        <v>215000</v>
      </c>
      <c r="I7" s="21">
        <v>91000</v>
      </c>
      <c r="J7" s="22">
        <f t="shared" si="0"/>
        <v>42.325581395348841</v>
      </c>
      <c r="K7" s="21">
        <v>182751</v>
      </c>
      <c r="L7" s="21">
        <f>H7-168992</f>
        <v>46008</v>
      </c>
      <c r="M7" s="21">
        <v>13759</v>
      </c>
      <c r="N7" s="67">
        <f t="shared" si="1"/>
        <v>6.3995348837209295E-2</v>
      </c>
      <c r="O7" s="23">
        <v>78.62</v>
      </c>
      <c r="P7" s="24">
        <v>289.75</v>
      </c>
      <c r="Q7" s="25">
        <v>0.53200000000000003</v>
      </c>
      <c r="R7" s="25">
        <v>0.53200000000000003</v>
      </c>
      <c r="S7" s="21">
        <f t="shared" si="2"/>
        <v>585.19460697023658</v>
      </c>
      <c r="T7" s="21">
        <f t="shared" si="3"/>
        <v>86481.203007518794</v>
      </c>
      <c r="U7" s="26">
        <f t="shared" si="4"/>
        <v>1.9853352389237555</v>
      </c>
      <c r="V7" s="25">
        <v>80</v>
      </c>
      <c r="W7" s="25">
        <f t="shared" si="5"/>
        <v>43000</v>
      </c>
      <c r="X7" s="25">
        <f t="shared" si="6"/>
        <v>537.5</v>
      </c>
      <c r="Y7" s="27" t="s">
        <v>692</v>
      </c>
      <c r="Z7" s="19" t="s">
        <v>35</v>
      </c>
      <c r="AA7" s="19" t="s">
        <v>35</v>
      </c>
      <c r="AB7" s="19" t="s">
        <v>693</v>
      </c>
      <c r="AC7" s="19">
        <v>0</v>
      </c>
      <c r="AD7" s="19">
        <v>1</v>
      </c>
      <c r="AE7" s="19" t="s">
        <v>412</v>
      </c>
      <c r="AF7" s="19" t="s">
        <v>35</v>
      </c>
      <c r="AG7" s="19" t="s">
        <v>38</v>
      </c>
      <c r="AH7" s="19" t="s">
        <v>92</v>
      </c>
    </row>
    <row r="8" spans="1:34" x14ac:dyDescent="0.3">
      <c r="A8" s="74" t="s">
        <v>693</v>
      </c>
      <c r="B8" s="10" t="s">
        <v>696</v>
      </c>
      <c r="C8" s="10" t="s">
        <v>697</v>
      </c>
      <c r="D8" s="11">
        <v>45482</v>
      </c>
      <c r="E8" s="12">
        <v>140000</v>
      </c>
      <c r="F8" s="10" t="s">
        <v>32</v>
      </c>
      <c r="G8" s="10" t="s">
        <v>33</v>
      </c>
      <c r="H8" s="12">
        <v>140000</v>
      </c>
      <c r="I8" s="12">
        <v>53900</v>
      </c>
      <c r="J8" s="13">
        <f t="shared" si="0"/>
        <v>38.5</v>
      </c>
      <c r="K8" s="12">
        <v>111843</v>
      </c>
      <c r="L8" s="12">
        <f>H8-100141</f>
        <v>39859</v>
      </c>
      <c r="M8" s="12">
        <v>11702</v>
      </c>
      <c r="N8" s="66">
        <f t="shared" si="1"/>
        <v>8.3585714285714291E-2</v>
      </c>
      <c r="O8" s="14">
        <v>66.87</v>
      </c>
      <c r="P8" s="15">
        <v>307.97000000000003</v>
      </c>
      <c r="Q8" s="16">
        <v>0.46700000000000003</v>
      </c>
      <c r="R8" s="16">
        <v>0.46700000000000003</v>
      </c>
      <c r="S8" s="12">
        <f t="shared" si="2"/>
        <v>596.06699566322709</v>
      </c>
      <c r="T8" s="12">
        <f t="shared" si="3"/>
        <v>85351.177730192721</v>
      </c>
      <c r="U8" s="17">
        <f t="shared" si="4"/>
        <v>1.9593934281495116</v>
      </c>
      <c r="V8" s="16">
        <v>66</v>
      </c>
      <c r="W8" s="16">
        <f t="shared" si="5"/>
        <v>28000</v>
      </c>
      <c r="X8" s="16">
        <f t="shared" si="6"/>
        <v>424.24242424242425</v>
      </c>
      <c r="Y8" s="18" t="s">
        <v>692</v>
      </c>
      <c r="Z8" s="10" t="s">
        <v>35</v>
      </c>
      <c r="AA8" s="10" t="s">
        <v>35</v>
      </c>
      <c r="AB8" s="10" t="s">
        <v>693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ht="15" thickBot="1" x14ac:dyDescent="0.35">
      <c r="A9" s="75" t="s">
        <v>693</v>
      </c>
      <c r="B9" s="19" t="s">
        <v>690</v>
      </c>
      <c r="C9" s="19" t="s">
        <v>691</v>
      </c>
      <c r="D9" s="20">
        <v>45495</v>
      </c>
      <c r="E9" s="21">
        <v>137900</v>
      </c>
      <c r="F9" s="19" t="s">
        <v>32</v>
      </c>
      <c r="G9" s="19" t="s">
        <v>33</v>
      </c>
      <c r="H9" s="21">
        <v>137900</v>
      </c>
      <c r="I9" s="21">
        <v>52700</v>
      </c>
      <c r="J9" s="22">
        <f t="shared" si="0"/>
        <v>38.216098622189989</v>
      </c>
      <c r="K9" s="21">
        <v>109423</v>
      </c>
      <c r="L9" s="21">
        <f>H9-98466</f>
        <v>39434</v>
      </c>
      <c r="M9" s="21">
        <v>10957</v>
      </c>
      <c r="N9" s="67">
        <f t="shared" si="1"/>
        <v>7.9456127628716455E-2</v>
      </c>
      <c r="O9" s="23">
        <v>62.61</v>
      </c>
      <c r="P9" s="24">
        <v>270</v>
      </c>
      <c r="Q9" s="25">
        <v>0.40899999999999997</v>
      </c>
      <c r="R9" s="25">
        <v>0.40899999999999997</v>
      </c>
      <c r="S9" s="21">
        <f t="shared" si="2"/>
        <v>629.83548953841239</v>
      </c>
      <c r="T9" s="21">
        <f t="shared" si="3"/>
        <v>96415.647921760392</v>
      </c>
      <c r="U9" s="26">
        <f t="shared" si="4"/>
        <v>2.2133987126207622</v>
      </c>
      <c r="V9" s="25">
        <v>66</v>
      </c>
      <c r="W9" s="25">
        <f t="shared" si="5"/>
        <v>27580</v>
      </c>
      <c r="X9" s="25">
        <f t="shared" si="6"/>
        <v>417.87878787878788</v>
      </c>
      <c r="Y9" s="27" t="s">
        <v>692</v>
      </c>
      <c r="Z9" s="19" t="s">
        <v>35</v>
      </c>
      <c r="AA9" s="19" t="s">
        <v>35</v>
      </c>
      <c r="AB9" s="19" t="s">
        <v>693</v>
      </c>
      <c r="AC9" s="19">
        <v>0</v>
      </c>
      <c r="AD9" s="19">
        <v>1</v>
      </c>
      <c r="AE9" s="19" t="s">
        <v>42</v>
      </c>
      <c r="AF9" s="19" t="s">
        <v>43</v>
      </c>
      <c r="AG9" s="19" t="s">
        <v>38</v>
      </c>
      <c r="AH9" s="19" t="s">
        <v>92</v>
      </c>
    </row>
    <row r="10" spans="1:34" ht="15" thickTop="1" x14ac:dyDescent="0.3">
      <c r="A10" s="76"/>
      <c r="B10" s="37"/>
      <c r="C10" s="37"/>
      <c r="D10" s="38" t="s">
        <v>2876</v>
      </c>
      <c r="E10" s="39">
        <f>+SUM(E2:E9)</f>
        <v>1252611</v>
      </c>
      <c r="F10" s="37"/>
      <c r="G10" s="37"/>
      <c r="H10" s="39">
        <f>+SUM(H2:H9)</f>
        <v>1252611</v>
      </c>
      <c r="I10" s="39">
        <f>+SUM(I2:I9)</f>
        <v>542500</v>
      </c>
      <c r="J10" s="40"/>
      <c r="K10" s="39">
        <f>+SUM(K2:K9)</f>
        <v>1127633</v>
      </c>
      <c r="L10" s="39">
        <f>+SUM(L2:L9)</f>
        <v>240413</v>
      </c>
      <c r="M10" s="39">
        <f>+SUM(M2:M9)</f>
        <v>115435</v>
      </c>
      <c r="N10" s="81">
        <f>AVERAGE(N2:N9)</f>
        <v>8.7275942145201346E-2</v>
      </c>
      <c r="O10" s="41">
        <f>+SUM(O2:O9)</f>
        <v>659.61</v>
      </c>
      <c r="P10" s="42"/>
      <c r="Q10" s="43">
        <f>+SUM(Q2:Q9)</f>
        <v>4.3290000000000006</v>
      </c>
      <c r="R10" s="43">
        <f>+SUM(R2:R9)</f>
        <v>4.3290000000000006</v>
      </c>
      <c r="S10" s="39"/>
      <c r="T10" s="39"/>
      <c r="U10" s="44"/>
      <c r="V10" s="43"/>
      <c r="W10" s="82">
        <f>AVERAGE(W2:W9)</f>
        <v>31315.275000000001</v>
      </c>
      <c r="X10" s="83">
        <f>AVERAGE(X2:X9)</f>
        <v>391.16915719696965</v>
      </c>
      <c r="Y10" s="45"/>
      <c r="Z10" s="37"/>
      <c r="AA10" s="37"/>
      <c r="AB10" s="37"/>
      <c r="AC10" s="37"/>
      <c r="AD10" s="37"/>
      <c r="AE10" s="37"/>
      <c r="AF10" s="37"/>
      <c r="AG10" s="37"/>
      <c r="AH10" s="37"/>
    </row>
    <row r="11" spans="1:34" x14ac:dyDescent="0.3">
      <c r="A11" s="77"/>
      <c r="B11" s="28"/>
      <c r="C11" s="28"/>
      <c r="D11" s="29"/>
      <c r="E11" s="30"/>
      <c r="F11" s="28"/>
      <c r="G11" s="28"/>
      <c r="H11" s="30"/>
      <c r="I11" s="30" t="s">
        <v>2877</v>
      </c>
      <c r="J11" s="31">
        <f>I10/H10*100</f>
        <v>43.309535043201755</v>
      </c>
      <c r="K11" s="30"/>
      <c r="L11" s="30"/>
      <c r="M11" s="30" t="s">
        <v>2879</v>
      </c>
      <c r="N11" s="79"/>
      <c r="O11" s="32"/>
      <c r="P11" s="33"/>
      <c r="Q11" s="34" t="s">
        <v>2879</v>
      </c>
      <c r="R11" s="34"/>
      <c r="S11" s="30"/>
      <c r="T11" s="30" t="s">
        <v>2879</v>
      </c>
      <c r="U11" s="35"/>
      <c r="V11" s="34"/>
      <c r="W11" s="63"/>
      <c r="X11" s="68"/>
      <c r="Y11" s="36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x14ac:dyDescent="0.3">
      <c r="A12" s="78"/>
      <c r="B12" s="46"/>
      <c r="C12" s="46"/>
      <c r="D12" s="47"/>
      <c r="E12" s="48"/>
      <c r="F12" s="46"/>
      <c r="G12" s="46"/>
      <c r="H12" s="48"/>
      <c r="I12" s="48" t="s">
        <v>2878</v>
      </c>
      <c r="J12" s="49">
        <f>STDEV(J2:J9)</f>
        <v>7.7294381525727536</v>
      </c>
      <c r="K12" s="48"/>
      <c r="L12" s="48"/>
      <c r="M12" s="48" t="s">
        <v>2880</v>
      </c>
      <c r="N12" s="80"/>
      <c r="O12" s="54">
        <f>L10/O10</f>
        <v>364.47749427692122</v>
      </c>
      <c r="P12" s="50"/>
      <c r="Q12" s="51" t="s">
        <v>2881</v>
      </c>
      <c r="R12" s="51">
        <f>L10/Q10</f>
        <v>55535.458535458529</v>
      </c>
      <c r="S12" s="48"/>
      <c r="T12" s="48" t="s">
        <v>2882</v>
      </c>
      <c r="U12" s="52">
        <f>L10/Q10/43560</f>
        <v>1.2749186991611232</v>
      </c>
      <c r="V12" s="51"/>
      <c r="W12" s="64"/>
      <c r="X12" s="69"/>
      <c r="Y12" s="53"/>
      <c r="Z12" s="46"/>
      <c r="AA12" s="46"/>
      <c r="AB12" s="46"/>
      <c r="AC12" s="46"/>
      <c r="AD12" s="46"/>
      <c r="AE12" s="46"/>
      <c r="AF12" s="46"/>
      <c r="AG12" s="46"/>
      <c r="AH12" s="46"/>
    </row>
    <row r="13" spans="1:34" x14ac:dyDescent="0.3">
      <c r="E13" s="94" t="s">
        <v>3099</v>
      </c>
      <c r="L13" s="95"/>
    </row>
    <row r="14" spans="1:34" x14ac:dyDescent="0.3">
      <c r="E14" s="383" t="s">
        <v>3163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3164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3165</v>
      </c>
      <c r="F16" s="383"/>
      <c r="G16" s="383"/>
      <c r="H16" s="383"/>
      <c r="I16" s="383"/>
      <c r="J16" s="383"/>
      <c r="K16" s="383"/>
      <c r="L16" s="383"/>
    </row>
    <row r="17" spans="1:34" x14ac:dyDescent="0.3">
      <c r="E17" s="383" t="s">
        <v>3166</v>
      </c>
      <c r="F17" s="383"/>
      <c r="G17" s="383"/>
      <c r="H17" s="383"/>
      <c r="I17" s="383"/>
      <c r="J17" s="96"/>
      <c r="K17" s="96"/>
      <c r="L17" s="96"/>
    </row>
    <row r="18" spans="1:34" x14ac:dyDescent="0.3">
      <c r="E18" s="383" t="s">
        <v>3167</v>
      </c>
      <c r="F18" s="383"/>
      <c r="G18" s="383"/>
      <c r="H18" s="383"/>
      <c r="I18" s="383"/>
      <c r="L18" s="95"/>
    </row>
    <row r="19" spans="1:34" x14ac:dyDescent="0.3">
      <c r="E19" s="383" t="s">
        <v>3100</v>
      </c>
      <c r="F19" s="383"/>
      <c r="G19" s="383"/>
      <c r="H19" s="383"/>
      <c r="I19" s="383"/>
      <c r="L19" s="95"/>
    </row>
    <row r="20" spans="1:34" x14ac:dyDescent="0.3">
      <c r="E20" s="96"/>
      <c r="F20" s="96"/>
      <c r="G20" s="96"/>
      <c r="H20" s="96"/>
      <c r="I20" s="96"/>
      <c r="L20" s="95"/>
    </row>
    <row r="21" spans="1:34" x14ac:dyDescent="0.3">
      <c r="A21" s="55" t="s">
        <v>3092</v>
      </c>
      <c r="E21" s="96"/>
      <c r="F21" s="96"/>
      <c r="G21" s="96"/>
      <c r="H21" s="96"/>
      <c r="I21" s="96"/>
      <c r="L21" s="95"/>
    </row>
    <row r="22" spans="1:34" x14ac:dyDescent="0.3">
      <c r="A22" s="75" t="s">
        <v>693</v>
      </c>
      <c r="B22" s="19" t="s">
        <v>744</v>
      </c>
      <c r="C22" s="19" t="s">
        <v>745</v>
      </c>
      <c r="D22" s="20">
        <v>45407</v>
      </c>
      <c r="E22" s="21">
        <v>404000</v>
      </c>
      <c r="F22" s="19" t="s">
        <v>32</v>
      </c>
      <c r="G22" s="19" t="s">
        <v>33</v>
      </c>
      <c r="H22" s="21">
        <v>404000</v>
      </c>
      <c r="I22" s="21">
        <v>181700</v>
      </c>
      <c r="J22" s="22">
        <f t="shared" ref="J22:J24" si="7">I22/H22*100</f>
        <v>44.975247524752476</v>
      </c>
      <c r="K22" s="21">
        <v>362021</v>
      </c>
      <c r="L22" s="21">
        <f>H22-353025</f>
        <v>50975</v>
      </c>
      <c r="M22" s="21">
        <v>8996</v>
      </c>
      <c r="N22" s="67">
        <f t="shared" ref="N22:N24" si="8">M22/E22</f>
        <v>2.2267326732673266E-2</v>
      </c>
      <c r="O22" s="23">
        <v>51.4</v>
      </c>
      <c r="P22" s="24">
        <v>132</v>
      </c>
      <c r="Q22" s="25">
        <v>0.23499999999999999</v>
      </c>
      <c r="R22" s="25">
        <v>0.23499999999999999</v>
      </c>
      <c r="S22" s="21">
        <f t="shared" ref="S22:S24" si="9">L22/O22</f>
        <v>991.73151750972761</v>
      </c>
      <c r="T22" s="21">
        <f t="shared" ref="T22:T24" si="10">L22/Q22</f>
        <v>216914.8936170213</v>
      </c>
      <c r="U22" s="26">
        <f t="shared" ref="U22:U24" si="11">L22/Q22/43560</f>
        <v>4.9796807533751446</v>
      </c>
      <c r="V22" s="25">
        <v>77.5</v>
      </c>
      <c r="W22" s="25">
        <f t="shared" ref="W22:W24" si="12">0.2*E22</f>
        <v>80800</v>
      </c>
      <c r="X22" s="25">
        <f t="shared" ref="X22:X24" si="13">W22/V22</f>
        <v>1042.5806451612902</v>
      </c>
      <c r="Y22" s="27" t="s">
        <v>692</v>
      </c>
      <c r="Z22" s="19" t="s">
        <v>35</v>
      </c>
      <c r="AA22" s="19" t="s">
        <v>35</v>
      </c>
      <c r="AB22" s="19" t="s">
        <v>693</v>
      </c>
      <c r="AC22" s="19">
        <v>0</v>
      </c>
      <c r="AD22" s="19">
        <v>1</v>
      </c>
      <c r="AE22" s="19" t="s">
        <v>37</v>
      </c>
      <c r="AF22" s="19" t="s">
        <v>43</v>
      </c>
      <c r="AG22" s="19" t="s">
        <v>38</v>
      </c>
      <c r="AH22" s="19" t="s">
        <v>92</v>
      </c>
    </row>
    <row r="23" spans="1:34" x14ac:dyDescent="0.3">
      <c r="A23" s="75" t="s">
        <v>693</v>
      </c>
      <c r="B23" s="19" t="s">
        <v>759</v>
      </c>
      <c r="C23" s="19" t="s">
        <v>760</v>
      </c>
      <c r="D23" s="20">
        <v>45618</v>
      </c>
      <c r="E23" s="21">
        <v>207500</v>
      </c>
      <c r="F23" s="19" t="s">
        <v>32</v>
      </c>
      <c r="G23" s="19" t="s">
        <v>33</v>
      </c>
      <c r="H23" s="21">
        <v>207500</v>
      </c>
      <c r="I23" s="21">
        <v>83100</v>
      </c>
      <c r="J23" s="22">
        <f t="shared" si="7"/>
        <v>40.048192771084338</v>
      </c>
      <c r="K23" s="21">
        <v>167131</v>
      </c>
      <c r="L23" s="21">
        <f>H23-159586</f>
        <v>47914</v>
      </c>
      <c r="M23" s="21">
        <v>7545</v>
      </c>
      <c r="N23" s="67">
        <f t="shared" si="8"/>
        <v>3.636144578313253E-2</v>
      </c>
      <c r="O23" s="23">
        <v>43.11</v>
      </c>
      <c r="P23" s="24">
        <v>147.43</v>
      </c>
      <c r="Q23" s="25">
        <v>0.20799999999999999</v>
      </c>
      <c r="R23" s="25">
        <v>0.20799999999999999</v>
      </c>
      <c r="S23" s="21">
        <f t="shared" si="9"/>
        <v>1111.4358617490141</v>
      </c>
      <c r="T23" s="21">
        <f t="shared" si="10"/>
        <v>230355.76923076925</v>
      </c>
      <c r="U23" s="26">
        <f t="shared" si="11"/>
        <v>5.288240799604436</v>
      </c>
      <c r="V23" s="25">
        <v>61.5</v>
      </c>
      <c r="W23" s="25">
        <f t="shared" si="12"/>
        <v>41500</v>
      </c>
      <c r="X23" s="25">
        <f t="shared" si="13"/>
        <v>674.79674796747963</v>
      </c>
      <c r="Y23" s="27" t="s">
        <v>692</v>
      </c>
      <c r="Z23" s="19" t="s">
        <v>35</v>
      </c>
      <c r="AA23" s="19" t="s">
        <v>35</v>
      </c>
      <c r="AB23" s="19" t="s">
        <v>693</v>
      </c>
      <c r="AC23" s="19">
        <v>0</v>
      </c>
      <c r="AD23" s="19">
        <v>1</v>
      </c>
      <c r="AE23" s="19" t="s">
        <v>42</v>
      </c>
      <c r="AF23" s="19" t="s">
        <v>35</v>
      </c>
      <c r="AG23" s="19" t="s">
        <v>38</v>
      </c>
      <c r="AH23" s="19" t="s">
        <v>92</v>
      </c>
    </row>
    <row r="24" spans="1:34" x14ac:dyDescent="0.3">
      <c r="A24" s="75" t="s">
        <v>693</v>
      </c>
      <c r="B24" s="19" t="s">
        <v>752</v>
      </c>
      <c r="C24" s="19" t="s">
        <v>753</v>
      </c>
      <c r="D24" s="20">
        <v>45527</v>
      </c>
      <c r="E24" s="21">
        <v>186000</v>
      </c>
      <c r="F24" s="19" t="s">
        <v>32</v>
      </c>
      <c r="G24" s="19" t="s">
        <v>33</v>
      </c>
      <c r="H24" s="21">
        <v>186000</v>
      </c>
      <c r="I24" s="21">
        <v>61500</v>
      </c>
      <c r="J24" s="22">
        <f t="shared" si="7"/>
        <v>33.064516129032256</v>
      </c>
      <c r="K24" s="21">
        <v>127896</v>
      </c>
      <c r="L24" s="21">
        <f>H24-121011</f>
        <v>64989</v>
      </c>
      <c r="M24" s="21">
        <v>6885</v>
      </c>
      <c r="N24" s="67">
        <f t="shared" si="8"/>
        <v>3.7016129032258066E-2</v>
      </c>
      <c r="O24" s="23">
        <v>39.340000000000003</v>
      </c>
      <c r="P24" s="24">
        <v>290.2</v>
      </c>
      <c r="Q24" s="25">
        <v>0.26600000000000001</v>
      </c>
      <c r="R24" s="25">
        <v>0.26600000000000001</v>
      </c>
      <c r="S24" s="21">
        <f t="shared" si="9"/>
        <v>1651.9827147941025</v>
      </c>
      <c r="T24" s="21">
        <f t="shared" si="10"/>
        <v>244319.54887218043</v>
      </c>
      <c r="U24" s="26">
        <f t="shared" si="11"/>
        <v>5.6088050705275583</v>
      </c>
      <c r="V24" s="25">
        <v>40</v>
      </c>
      <c r="W24" s="25">
        <f t="shared" si="12"/>
        <v>37200</v>
      </c>
      <c r="X24" s="25">
        <f t="shared" si="13"/>
        <v>930</v>
      </c>
      <c r="Y24" s="27" t="s">
        <v>692</v>
      </c>
      <c r="Z24" s="19" t="s">
        <v>35</v>
      </c>
      <c r="AA24" s="19" t="s">
        <v>35</v>
      </c>
      <c r="AB24" s="19" t="s">
        <v>693</v>
      </c>
      <c r="AC24" s="19">
        <v>0</v>
      </c>
      <c r="AD24" s="19">
        <v>1</v>
      </c>
      <c r="AE24" s="19" t="s">
        <v>42</v>
      </c>
      <c r="AF24" s="19" t="s">
        <v>43</v>
      </c>
      <c r="AG24" s="19" t="s">
        <v>38</v>
      </c>
      <c r="AH24" s="19" t="s">
        <v>92</v>
      </c>
    </row>
    <row r="25" spans="1:34" x14ac:dyDescent="0.3">
      <c r="A25" s="55" t="s">
        <v>693</v>
      </c>
      <c r="B25" t="s">
        <v>698</v>
      </c>
      <c r="C25" t="s">
        <v>699</v>
      </c>
      <c r="D25">
        <v>45519</v>
      </c>
      <c r="E25">
        <v>325000</v>
      </c>
      <c r="F25" t="s">
        <v>32</v>
      </c>
      <c r="G25" t="s">
        <v>33</v>
      </c>
      <c r="H25">
        <v>325000</v>
      </c>
      <c r="I25">
        <v>185800</v>
      </c>
      <c r="J25">
        <v>57.169230769230772</v>
      </c>
      <c r="K25">
        <v>378351</v>
      </c>
      <c r="L25">
        <v>-43074</v>
      </c>
      <c r="M25">
        <v>10277</v>
      </c>
      <c r="N25" s="55">
        <v>3.1621538461538465E-2</v>
      </c>
      <c r="O25">
        <v>58.72</v>
      </c>
      <c r="P25">
        <v>132</v>
      </c>
      <c r="Q25">
        <v>0.26800000000000002</v>
      </c>
      <c r="R25">
        <v>0.26800000000000002</v>
      </c>
      <c r="S25">
        <v>-733.54904632152591</v>
      </c>
      <c r="T25">
        <v>-160723.88059701491</v>
      </c>
      <c r="U25">
        <v>-3.6897125940545203</v>
      </c>
      <c r="V25">
        <v>88.53</v>
      </c>
      <c r="W25" s="65">
        <v>65000</v>
      </c>
      <c r="X25" s="55">
        <v>734.2143906020558</v>
      </c>
      <c r="Y25" t="s">
        <v>692</v>
      </c>
      <c r="Z25" t="s">
        <v>35</v>
      </c>
      <c r="AA25" t="s">
        <v>35</v>
      </c>
      <c r="AB25" t="s">
        <v>693</v>
      </c>
      <c r="AC25">
        <v>0</v>
      </c>
      <c r="AD25">
        <v>1</v>
      </c>
      <c r="AE25" t="s">
        <v>37</v>
      </c>
      <c r="AF25" t="s">
        <v>43</v>
      </c>
      <c r="AG25" t="s">
        <v>38</v>
      </c>
      <c r="AH25" t="s">
        <v>92</v>
      </c>
    </row>
  </sheetData>
  <sortState xmlns:xlrd2="http://schemas.microsoft.com/office/spreadsheetml/2017/richdata2" ref="A2:AH13">
    <sortCondition ref="S2:S13"/>
  </sortState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8">
    <tabColor rgb="FF00B050"/>
  </sheetPr>
  <dimension ref="A1:AH31"/>
  <sheetViews>
    <sheetView workbookViewId="0">
      <selection activeCell="D21" sqref="D21:L27"/>
    </sheetView>
  </sheetViews>
  <sheetFormatPr defaultRowHeight="14.4" x14ac:dyDescent="0.3"/>
  <cols>
    <col min="1" max="1" width="19.5546875" style="55" bestFit="1" customWidth="1" collapsed="1"/>
    <col min="2" max="2" width="17.5546875" bestFit="1" customWidth="1" collapsed="1"/>
    <col min="3" max="3" width="22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10.554687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9.554687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1945</v>
      </c>
      <c r="B2" s="10" t="s">
        <v>1962</v>
      </c>
      <c r="C2" s="10" t="s">
        <v>1963</v>
      </c>
      <c r="D2" s="11">
        <v>45638</v>
      </c>
      <c r="E2" s="12">
        <v>390033</v>
      </c>
      <c r="F2" s="10" t="s">
        <v>32</v>
      </c>
      <c r="G2" s="10" t="s">
        <v>33</v>
      </c>
      <c r="H2" s="12">
        <v>390033</v>
      </c>
      <c r="I2" s="12">
        <v>28100</v>
      </c>
      <c r="J2" s="13">
        <f t="shared" ref="J2:J17" si="0">I2/H2*100</f>
        <v>7.2045185920165729</v>
      </c>
      <c r="K2" s="12">
        <v>402197</v>
      </c>
      <c r="L2" s="12">
        <f>H2-367197</f>
        <v>22836</v>
      </c>
      <c r="M2" s="12">
        <v>35000</v>
      </c>
      <c r="N2" s="66">
        <f t="shared" ref="N2:N17" si="1">M2/E2</f>
        <v>8.9735996697715328E-2</v>
      </c>
      <c r="O2" s="14">
        <v>61</v>
      </c>
      <c r="P2" s="15">
        <v>124.75</v>
      </c>
      <c r="Q2" s="16">
        <v>0.17499999999999999</v>
      </c>
      <c r="R2" s="16">
        <v>0.17499999999999999</v>
      </c>
      <c r="S2" s="12">
        <f t="shared" ref="S2:S17" si="2">L2/O2</f>
        <v>374.36065573770492</v>
      </c>
      <c r="T2" s="12">
        <f t="shared" ref="T2:T17" si="3">L2/Q2</f>
        <v>130491.42857142858</v>
      </c>
      <c r="U2" s="17">
        <f t="shared" ref="U2:U17" si="4">L2/Q2/43560</f>
        <v>2.9956709956709959</v>
      </c>
      <c r="V2" s="16">
        <v>61</v>
      </c>
      <c r="W2" s="16">
        <f t="shared" ref="W2:W17" si="5">0.2*E2</f>
        <v>78006.600000000006</v>
      </c>
      <c r="X2" s="16">
        <f t="shared" ref="X2:X17" si="6">W2/V2</f>
        <v>1278.7967213114755</v>
      </c>
      <c r="Y2" s="18" t="s">
        <v>1944</v>
      </c>
      <c r="Z2" s="10" t="s">
        <v>35</v>
      </c>
      <c r="AA2" s="10" t="s">
        <v>35</v>
      </c>
      <c r="AB2" s="10" t="s">
        <v>1945</v>
      </c>
      <c r="AC2" s="10">
        <v>0</v>
      </c>
      <c r="AD2" s="10">
        <v>0</v>
      </c>
      <c r="AE2" s="10" t="s">
        <v>37</v>
      </c>
      <c r="AF2" s="10" t="s">
        <v>35</v>
      </c>
      <c r="AG2" s="10" t="s">
        <v>38</v>
      </c>
      <c r="AH2" s="10" t="s">
        <v>92</v>
      </c>
    </row>
    <row r="3" spans="1:34" x14ac:dyDescent="0.3">
      <c r="A3" s="75" t="s">
        <v>1945</v>
      </c>
      <c r="B3" s="19" t="s">
        <v>1956</v>
      </c>
      <c r="C3" s="19" t="s">
        <v>1957</v>
      </c>
      <c r="D3" s="20">
        <v>45205</v>
      </c>
      <c r="E3" s="21">
        <v>388998</v>
      </c>
      <c r="F3" s="19" t="s">
        <v>32</v>
      </c>
      <c r="G3" s="19" t="s">
        <v>33</v>
      </c>
      <c r="H3" s="21">
        <v>388998</v>
      </c>
      <c r="I3" s="21">
        <v>117100</v>
      </c>
      <c r="J3" s="22">
        <f t="shared" si="0"/>
        <v>30.102982534614576</v>
      </c>
      <c r="K3" s="21">
        <v>385309</v>
      </c>
      <c r="L3" s="21">
        <f>H3-350309</f>
        <v>38689</v>
      </c>
      <c r="M3" s="21">
        <v>35000</v>
      </c>
      <c r="N3" s="67">
        <f t="shared" si="1"/>
        <v>8.9974755654270711E-2</v>
      </c>
      <c r="O3" s="23">
        <v>101.74</v>
      </c>
      <c r="P3" s="24">
        <v>137</v>
      </c>
      <c r="Q3" s="25">
        <v>0.42599999999999999</v>
      </c>
      <c r="R3" s="25">
        <v>0.42599999999999999</v>
      </c>
      <c r="S3" s="21">
        <f t="shared" si="2"/>
        <v>380.27324552781602</v>
      </c>
      <c r="T3" s="21">
        <f t="shared" si="3"/>
        <v>90819.248826291077</v>
      </c>
      <c r="U3" s="26">
        <f t="shared" si="4"/>
        <v>2.0849230676375363</v>
      </c>
      <c r="V3" s="25">
        <v>34.049999999999997</v>
      </c>
      <c r="W3" s="25">
        <f t="shared" si="5"/>
        <v>77799.600000000006</v>
      </c>
      <c r="X3" s="25">
        <f t="shared" si="6"/>
        <v>2284.8634361233485</v>
      </c>
      <c r="Y3" s="27" t="s">
        <v>1944</v>
      </c>
      <c r="Z3" s="19" t="s">
        <v>35</v>
      </c>
      <c r="AA3" s="19" t="s">
        <v>35</v>
      </c>
      <c r="AB3" s="19" t="s">
        <v>1945</v>
      </c>
      <c r="AC3" s="19">
        <v>0</v>
      </c>
      <c r="AD3" s="19">
        <v>0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1945</v>
      </c>
      <c r="B4" s="19" t="s">
        <v>1973</v>
      </c>
      <c r="C4" s="19" t="s">
        <v>1974</v>
      </c>
      <c r="D4" s="20">
        <v>45448</v>
      </c>
      <c r="E4" s="21">
        <v>382497</v>
      </c>
      <c r="F4" s="19" t="s">
        <v>32</v>
      </c>
      <c r="G4" s="19" t="s">
        <v>33</v>
      </c>
      <c r="H4" s="21">
        <v>382497</v>
      </c>
      <c r="I4" s="21">
        <v>90900</v>
      </c>
      <c r="J4" s="22">
        <f t="shared" si="0"/>
        <v>23.764892273664891</v>
      </c>
      <c r="K4" s="21">
        <v>396776</v>
      </c>
      <c r="L4" s="21">
        <f>H4-359276</f>
        <v>23221</v>
      </c>
      <c r="M4" s="21">
        <v>37500</v>
      </c>
      <c r="N4" s="67">
        <f t="shared" si="1"/>
        <v>9.8039984627330407E-2</v>
      </c>
      <c r="O4" s="23">
        <v>55</v>
      </c>
      <c r="P4" s="24">
        <v>125.04</v>
      </c>
      <c r="Q4" s="25">
        <v>0.158</v>
      </c>
      <c r="R4" s="25">
        <v>0.158</v>
      </c>
      <c r="S4" s="21">
        <f t="shared" si="2"/>
        <v>422.2</v>
      </c>
      <c r="T4" s="21">
        <f t="shared" si="3"/>
        <v>146968.35443037975</v>
      </c>
      <c r="U4" s="26">
        <f t="shared" si="4"/>
        <v>3.3739291650684056</v>
      </c>
      <c r="V4" s="25">
        <v>55</v>
      </c>
      <c r="W4" s="25">
        <f t="shared" si="5"/>
        <v>76499.400000000009</v>
      </c>
      <c r="X4" s="25">
        <f t="shared" si="6"/>
        <v>1390.8981818181819</v>
      </c>
      <c r="Y4" s="27" t="s">
        <v>1944</v>
      </c>
      <c r="Z4" s="19" t="s">
        <v>35</v>
      </c>
      <c r="AA4" s="19" t="s">
        <v>35</v>
      </c>
      <c r="AB4" s="19" t="s">
        <v>1945</v>
      </c>
      <c r="AC4" s="19">
        <v>0</v>
      </c>
      <c r="AD4" s="19">
        <v>0</v>
      </c>
      <c r="AE4" s="19" t="s">
        <v>37</v>
      </c>
      <c r="AF4" s="19" t="s">
        <v>43</v>
      </c>
      <c r="AG4" s="19" t="s">
        <v>38</v>
      </c>
      <c r="AH4" s="19" t="s">
        <v>1951</v>
      </c>
    </row>
    <row r="5" spans="1:34" x14ac:dyDescent="0.3">
      <c r="A5" s="74" t="s">
        <v>1945</v>
      </c>
      <c r="B5" s="10" t="s">
        <v>1969</v>
      </c>
      <c r="C5" s="10" t="s">
        <v>1970</v>
      </c>
      <c r="D5" s="11">
        <v>45421</v>
      </c>
      <c r="E5" s="12">
        <v>393972</v>
      </c>
      <c r="F5" s="10" t="s">
        <v>32</v>
      </c>
      <c r="G5" s="10" t="s">
        <v>33</v>
      </c>
      <c r="H5" s="12">
        <v>393972</v>
      </c>
      <c r="I5" s="12">
        <v>92900</v>
      </c>
      <c r="J5" s="13">
        <f t="shared" si="0"/>
        <v>23.580355964383255</v>
      </c>
      <c r="K5" s="12">
        <v>400565</v>
      </c>
      <c r="L5" s="12">
        <f>H5-365565</f>
        <v>28407</v>
      </c>
      <c r="M5" s="12">
        <v>35000</v>
      </c>
      <c r="N5" s="66">
        <f t="shared" si="1"/>
        <v>8.8838800726955214E-2</v>
      </c>
      <c r="O5" s="14">
        <v>55.28</v>
      </c>
      <c r="P5" s="15">
        <v>127.36</v>
      </c>
      <c r="Q5" s="16">
        <v>0.16200000000000001</v>
      </c>
      <c r="R5" s="16">
        <v>0.16200000000000001</v>
      </c>
      <c r="S5" s="12">
        <f t="shared" si="2"/>
        <v>513.8748191027496</v>
      </c>
      <c r="T5" s="12">
        <f t="shared" si="3"/>
        <v>175351.85185185185</v>
      </c>
      <c r="U5" s="17">
        <f t="shared" si="4"/>
        <v>4.025524606332687</v>
      </c>
      <c r="V5" s="16">
        <v>55.28</v>
      </c>
      <c r="W5" s="16">
        <f t="shared" si="5"/>
        <v>78794.400000000009</v>
      </c>
      <c r="X5" s="16">
        <f t="shared" si="6"/>
        <v>1425.3690303907381</v>
      </c>
      <c r="Y5" s="18" t="s">
        <v>1944</v>
      </c>
      <c r="Z5" s="10" t="s">
        <v>35</v>
      </c>
      <c r="AA5" s="10" t="s">
        <v>35</v>
      </c>
      <c r="AB5" s="10" t="s">
        <v>1945</v>
      </c>
      <c r="AC5" s="10">
        <v>0</v>
      </c>
      <c r="AD5" s="10">
        <v>0</v>
      </c>
      <c r="AE5" s="10" t="s">
        <v>37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1945</v>
      </c>
      <c r="B6" s="10" t="s">
        <v>1947</v>
      </c>
      <c r="C6" s="10" t="s">
        <v>1948</v>
      </c>
      <c r="D6" s="11">
        <v>45170</v>
      </c>
      <c r="E6" s="12">
        <v>389666</v>
      </c>
      <c r="F6" s="10" t="s">
        <v>32</v>
      </c>
      <c r="G6" s="10" t="s">
        <v>33</v>
      </c>
      <c r="H6" s="12">
        <v>389666</v>
      </c>
      <c r="I6" s="12">
        <v>88600</v>
      </c>
      <c r="J6" s="13">
        <f t="shared" si="0"/>
        <v>22.737421278736146</v>
      </c>
      <c r="K6" s="12">
        <v>383442</v>
      </c>
      <c r="L6" s="12">
        <f>H6-348442</f>
        <v>41224</v>
      </c>
      <c r="M6" s="12">
        <v>35000</v>
      </c>
      <c r="N6" s="66">
        <f t="shared" si="1"/>
        <v>8.9820512952117973E-2</v>
      </c>
      <c r="O6" s="14">
        <v>65</v>
      </c>
      <c r="P6" s="15">
        <v>133</v>
      </c>
      <c r="Q6" s="16">
        <v>0.19800000000000001</v>
      </c>
      <c r="R6" s="16">
        <v>0.19800000000000001</v>
      </c>
      <c r="S6" s="12">
        <f t="shared" si="2"/>
        <v>634.21538461538466</v>
      </c>
      <c r="T6" s="12">
        <f t="shared" si="3"/>
        <v>208202.02020202018</v>
      </c>
      <c r="U6" s="17">
        <f t="shared" si="4"/>
        <v>4.7796607025257156</v>
      </c>
      <c r="V6" s="16">
        <v>65</v>
      </c>
      <c r="W6" s="16">
        <f t="shared" si="5"/>
        <v>77933.2</v>
      </c>
      <c r="X6" s="16">
        <f t="shared" si="6"/>
        <v>1198.9723076923076</v>
      </c>
      <c r="Y6" s="18" t="s">
        <v>1944</v>
      </c>
      <c r="Z6" s="10" t="s">
        <v>35</v>
      </c>
      <c r="AA6" s="10" t="s">
        <v>35</v>
      </c>
      <c r="AB6" s="10" t="s">
        <v>1945</v>
      </c>
      <c r="AC6" s="10">
        <v>0</v>
      </c>
      <c r="AD6" s="10">
        <v>0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1945</v>
      </c>
      <c r="B7" s="10" t="s">
        <v>1971</v>
      </c>
      <c r="C7" s="10" t="s">
        <v>1972</v>
      </c>
      <c r="D7" s="11">
        <v>45435</v>
      </c>
      <c r="E7" s="12">
        <v>365682</v>
      </c>
      <c r="F7" s="10" t="s">
        <v>32</v>
      </c>
      <c r="G7" s="10" t="s">
        <v>33</v>
      </c>
      <c r="H7" s="12">
        <v>365682</v>
      </c>
      <c r="I7" s="12">
        <v>99700</v>
      </c>
      <c r="J7" s="13">
        <f t="shared" si="0"/>
        <v>27.264125661093519</v>
      </c>
      <c r="K7" s="12">
        <v>361162</v>
      </c>
      <c r="L7" s="12">
        <f>H7-326162</f>
        <v>39520</v>
      </c>
      <c r="M7" s="12">
        <v>35000</v>
      </c>
      <c r="N7" s="66">
        <f t="shared" si="1"/>
        <v>9.5711574537439628E-2</v>
      </c>
      <c r="O7" s="14">
        <v>55</v>
      </c>
      <c r="P7" s="15">
        <v>125</v>
      </c>
      <c r="Q7" s="16">
        <v>0.158</v>
      </c>
      <c r="R7" s="16">
        <v>0.158</v>
      </c>
      <c r="S7" s="12">
        <f t="shared" si="2"/>
        <v>718.5454545454545</v>
      </c>
      <c r="T7" s="12">
        <f t="shared" si="3"/>
        <v>250126.58227848102</v>
      </c>
      <c r="U7" s="17">
        <f t="shared" si="4"/>
        <v>5.7421162139228885</v>
      </c>
      <c r="V7" s="16">
        <v>55</v>
      </c>
      <c r="W7" s="16">
        <f t="shared" si="5"/>
        <v>73136.400000000009</v>
      </c>
      <c r="X7" s="16">
        <f t="shared" si="6"/>
        <v>1329.7527272727275</v>
      </c>
      <c r="Y7" s="18" t="s">
        <v>1944</v>
      </c>
      <c r="Z7" s="10" t="s">
        <v>35</v>
      </c>
      <c r="AA7" s="10" t="s">
        <v>35</v>
      </c>
      <c r="AB7" s="10" t="s">
        <v>1945</v>
      </c>
      <c r="AC7" s="10">
        <v>0</v>
      </c>
      <c r="AD7" s="10">
        <v>0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1945</v>
      </c>
      <c r="B8" s="10" t="s">
        <v>1942</v>
      </c>
      <c r="C8" s="10" t="s">
        <v>1943</v>
      </c>
      <c r="D8" s="11">
        <v>45223</v>
      </c>
      <c r="E8" s="12">
        <v>384000</v>
      </c>
      <c r="F8" s="10" t="s">
        <v>32</v>
      </c>
      <c r="G8" s="10" t="s">
        <v>33</v>
      </c>
      <c r="H8" s="12">
        <v>384000</v>
      </c>
      <c r="I8" s="12">
        <v>167700</v>
      </c>
      <c r="J8" s="13">
        <f t="shared" si="0"/>
        <v>43.671875</v>
      </c>
      <c r="K8" s="12">
        <v>375546</v>
      </c>
      <c r="L8" s="12">
        <f>H8-340546</f>
        <v>43454</v>
      </c>
      <c r="M8" s="12">
        <v>35000</v>
      </c>
      <c r="N8" s="66">
        <f t="shared" si="1"/>
        <v>9.1145833333333329E-2</v>
      </c>
      <c r="O8" s="14">
        <v>58</v>
      </c>
      <c r="P8" s="15">
        <v>133</v>
      </c>
      <c r="Q8" s="16">
        <v>0.17699999999999999</v>
      </c>
      <c r="R8" s="16">
        <v>0.17699999999999999</v>
      </c>
      <c r="S8" s="12">
        <f t="shared" si="2"/>
        <v>749.20689655172418</v>
      </c>
      <c r="T8" s="12">
        <f t="shared" si="3"/>
        <v>245502.82485875709</v>
      </c>
      <c r="U8" s="17">
        <f t="shared" si="4"/>
        <v>5.635969349374589</v>
      </c>
      <c r="V8" s="16">
        <v>58</v>
      </c>
      <c r="W8" s="16">
        <f t="shared" si="5"/>
        <v>76800</v>
      </c>
      <c r="X8" s="16">
        <f t="shared" si="6"/>
        <v>1324.1379310344828</v>
      </c>
      <c r="Y8" s="18" t="s">
        <v>1944</v>
      </c>
      <c r="Z8" s="10" t="s">
        <v>35</v>
      </c>
      <c r="AA8" s="10" t="s">
        <v>35</v>
      </c>
      <c r="AB8" s="10" t="s">
        <v>1945</v>
      </c>
      <c r="AC8" s="10">
        <v>0</v>
      </c>
      <c r="AD8" s="10">
        <v>0</v>
      </c>
      <c r="AE8" s="10" t="s">
        <v>1946</v>
      </c>
      <c r="AF8" s="10" t="s">
        <v>43</v>
      </c>
      <c r="AG8" s="10" t="s">
        <v>38</v>
      </c>
      <c r="AH8" s="10" t="s">
        <v>92</v>
      </c>
    </row>
    <row r="9" spans="1:34" x14ac:dyDescent="0.3">
      <c r="A9" s="74" t="s">
        <v>1945</v>
      </c>
      <c r="B9" s="10" t="s">
        <v>1954</v>
      </c>
      <c r="C9" s="10" t="s">
        <v>1955</v>
      </c>
      <c r="D9" s="11">
        <v>45601</v>
      </c>
      <c r="E9" s="12">
        <v>329900</v>
      </c>
      <c r="F9" s="10" t="s">
        <v>32</v>
      </c>
      <c r="G9" s="10" t="s">
        <v>33</v>
      </c>
      <c r="H9" s="12">
        <v>329900</v>
      </c>
      <c r="I9" s="12">
        <v>161500</v>
      </c>
      <c r="J9" s="13">
        <f t="shared" si="0"/>
        <v>48.954228554107303</v>
      </c>
      <c r="K9" s="12">
        <v>322108</v>
      </c>
      <c r="L9" s="12">
        <f>H9-287108</f>
        <v>42792</v>
      </c>
      <c r="M9" s="12">
        <v>35000</v>
      </c>
      <c r="N9" s="66">
        <f t="shared" si="1"/>
        <v>0.1060927553804183</v>
      </c>
      <c r="O9" s="14">
        <v>55</v>
      </c>
      <c r="P9" s="15">
        <v>135.75</v>
      </c>
      <c r="Q9" s="16">
        <v>0.17100000000000001</v>
      </c>
      <c r="R9" s="16">
        <v>0.17100000000000001</v>
      </c>
      <c r="S9" s="12">
        <f t="shared" si="2"/>
        <v>778.0363636363636</v>
      </c>
      <c r="T9" s="12">
        <f t="shared" si="3"/>
        <v>250245.6140350877</v>
      </c>
      <c r="U9" s="17">
        <f t="shared" si="4"/>
        <v>5.7448488070497632</v>
      </c>
      <c r="V9" s="16">
        <v>55</v>
      </c>
      <c r="W9" s="16">
        <f t="shared" si="5"/>
        <v>65980</v>
      </c>
      <c r="X9" s="16">
        <f t="shared" si="6"/>
        <v>1199.6363636363637</v>
      </c>
      <c r="Y9" s="18" t="s">
        <v>1944</v>
      </c>
      <c r="Z9" s="10" t="s">
        <v>35</v>
      </c>
      <c r="AA9" s="10" t="s">
        <v>35</v>
      </c>
      <c r="AB9" s="10" t="s">
        <v>1945</v>
      </c>
      <c r="AC9" s="10">
        <v>0</v>
      </c>
      <c r="AD9" s="10">
        <v>0</v>
      </c>
      <c r="AE9" s="10" t="s">
        <v>37</v>
      </c>
      <c r="AF9" s="10" t="s">
        <v>35</v>
      </c>
      <c r="AG9" s="10" t="s">
        <v>38</v>
      </c>
      <c r="AH9" s="10" t="s">
        <v>92</v>
      </c>
    </row>
    <row r="10" spans="1:34" x14ac:dyDescent="0.3">
      <c r="A10" s="75" t="s">
        <v>1945</v>
      </c>
      <c r="B10" s="19" t="s">
        <v>1952</v>
      </c>
      <c r="C10" s="19" t="s">
        <v>1953</v>
      </c>
      <c r="D10" s="20">
        <v>45498</v>
      </c>
      <c r="E10" s="21">
        <v>375000</v>
      </c>
      <c r="F10" s="19" t="s">
        <v>32</v>
      </c>
      <c r="G10" s="19" t="s">
        <v>33</v>
      </c>
      <c r="H10" s="21">
        <v>375000</v>
      </c>
      <c r="I10" s="21">
        <v>164000</v>
      </c>
      <c r="J10" s="22">
        <f t="shared" si="0"/>
        <v>43.733333333333334</v>
      </c>
      <c r="K10" s="21">
        <v>329070</v>
      </c>
      <c r="L10" s="21">
        <f>H10-291570</f>
        <v>83430</v>
      </c>
      <c r="M10" s="21">
        <v>37500</v>
      </c>
      <c r="N10" s="67">
        <f t="shared" si="1"/>
        <v>0.1</v>
      </c>
      <c r="O10" s="23">
        <v>100.92</v>
      </c>
      <c r="P10" s="24">
        <v>131</v>
      </c>
      <c r="Q10" s="25">
        <v>0.253</v>
      </c>
      <c r="R10" s="25">
        <v>0.253</v>
      </c>
      <c r="S10" s="21">
        <f t="shared" si="2"/>
        <v>826.69441141498214</v>
      </c>
      <c r="T10" s="21">
        <f t="shared" si="3"/>
        <v>329762.84584980237</v>
      </c>
      <c r="U10" s="26">
        <f t="shared" si="4"/>
        <v>7.5703132656061154</v>
      </c>
      <c r="V10" s="25">
        <v>134.52000000000001</v>
      </c>
      <c r="W10" s="25">
        <f t="shared" si="5"/>
        <v>75000</v>
      </c>
      <c r="X10" s="25">
        <f t="shared" si="6"/>
        <v>557.53791257805528</v>
      </c>
      <c r="Y10" s="27" t="s">
        <v>1944</v>
      </c>
      <c r="Z10" s="19" t="s">
        <v>35</v>
      </c>
      <c r="AA10" s="19" t="s">
        <v>35</v>
      </c>
      <c r="AB10" s="19" t="s">
        <v>1945</v>
      </c>
      <c r="AC10" s="19">
        <v>0</v>
      </c>
      <c r="AD10" s="19">
        <v>0</v>
      </c>
      <c r="AE10" s="19" t="s">
        <v>37</v>
      </c>
      <c r="AF10" s="19" t="s">
        <v>43</v>
      </c>
      <c r="AG10" s="19" t="s">
        <v>38</v>
      </c>
      <c r="AH10" s="19" t="s">
        <v>1951</v>
      </c>
    </row>
    <row r="11" spans="1:34" x14ac:dyDescent="0.3">
      <c r="A11" s="74" t="s">
        <v>1945</v>
      </c>
      <c r="B11" s="10" t="s">
        <v>1979</v>
      </c>
      <c r="C11" s="10" t="s">
        <v>1980</v>
      </c>
      <c r="D11" s="11">
        <v>45184</v>
      </c>
      <c r="E11" s="12">
        <v>340000</v>
      </c>
      <c r="F11" s="10" t="s">
        <v>32</v>
      </c>
      <c r="G11" s="10" t="s">
        <v>33</v>
      </c>
      <c r="H11" s="12">
        <v>340000</v>
      </c>
      <c r="I11" s="12">
        <v>150900</v>
      </c>
      <c r="J11" s="13">
        <f t="shared" si="0"/>
        <v>44.382352941176471</v>
      </c>
      <c r="K11" s="12">
        <v>329915</v>
      </c>
      <c r="L11" s="12">
        <f>H11-292415</f>
        <v>47585</v>
      </c>
      <c r="M11" s="12">
        <v>37500</v>
      </c>
      <c r="N11" s="66">
        <f t="shared" si="1"/>
        <v>0.11029411764705882</v>
      </c>
      <c r="O11" s="14">
        <v>55.04</v>
      </c>
      <c r="P11" s="15">
        <v>124.38</v>
      </c>
      <c r="Q11" s="16">
        <v>0.157</v>
      </c>
      <c r="R11" s="16">
        <v>0.157</v>
      </c>
      <c r="S11" s="12">
        <f t="shared" si="2"/>
        <v>864.55305232558146</v>
      </c>
      <c r="T11" s="12">
        <f t="shared" si="3"/>
        <v>303089.17197452229</v>
      </c>
      <c r="U11" s="17">
        <f t="shared" si="4"/>
        <v>6.9579699718669028</v>
      </c>
      <c r="V11" s="16">
        <v>55.04</v>
      </c>
      <c r="W11" s="16">
        <f t="shared" si="5"/>
        <v>68000</v>
      </c>
      <c r="X11" s="16">
        <f t="shared" si="6"/>
        <v>1235.4651162790699</v>
      </c>
      <c r="Y11" s="18" t="s">
        <v>1944</v>
      </c>
      <c r="Z11" s="10" t="s">
        <v>35</v>
      </c>
      <c r="AA11" s="10" t="s">
        <v>35</v>
      </c>
      <c r="AB11" s="10" t="s">
        <v>1945</v>
      </c>
      <c r="AC11" s="10">
        <v>0</v>
      </c>
      <c r="AD11" s="10">
        <v>0</v>
      </c>
      <c r="AE11" s="10" t="s">
        <v>37</v>
      </c>
      <c r="AF11" s="10" t="s">
        <v>43</v>
      </c>
      <c r="AG11" s="10" t="s">
        <v>38</v>
      </c>
      <c r="AH11" s="10" t="s">
        <v>1951</v>
      </c>
    </row>
    <row r="12" spans="1:34" x14ac:dyDescent="0.3">
      <c r="A12" s="75" t="s">
        <v>1945</v>
      </c>
      <c r="B12" s="19" t="s">
        <v>1958</v>
      </c>
      <c r="C12" s="19" t="s">
        <v>1959</v>
      </c>
      <c r="D12" s="20">
        <v>45618</v>
      </c>
      <c r="E12" s="21">
        <v>385833</v>
      </c>
      <c r="F12" s="19" t="s">
        <v>32</v>
      </c>
      <c r="G12" s="19" t="s">
        <v>33</v>
      </c>
      <c r="H12" s="21">
        <v>385833</v>
      </c>
      <c r="I12" s="21">
        <v>183600</v>
      </c>
      <c r="J12" s="22">
        <f t="shared" si="0"/>
        <v>47.58535428540327</v>
      </c>
      <c r="K12" s="21">
        <v>366562</v>
      </c>
      <c r="L12" s="21">
        <f>H12-331562</f>
        <v>54271</v>
      </c>
      <c r="M12" s="21">
        <v>35000</v>
      </c>
      <c r="N12" s="67">
        <f t="shared" si="1"/>
        <v>9.0712821350169628E-2</v>
      </c>
      <c r="O12" s="23">
        <v>60.35</v>
      </c>
      <c r="P12" s="24">
        <v>127.86</v>
      </c>
      <c r="Q12" s="25">
        <v>0.17699999999999999</v>
      </c>
      <c r="R12" s="25">
        <v>0.17699999999999999</v>
      </c>
      <c r="S12" s="21">
        <f t="shared" si="2"/>
        <v>899.27091963545979</v>
      </c>
      <c r="T12" s="21">
        <f t="shared" si="3"/>
        <v>306615.81920903956</v>
      </c>
      <c r="U12" s="26">
        <f t="shared" si="4"/>
        <v>7.0389306521818078</v>
      </c>
      <c r="V12" s="25">
        <v>60.35</v>
      </c>
      <c r="W12" s="25">
        <f t="shared" si="5"/>
        <v>77166.600000000006</v>
      </c>
      <c r="X12" s="25">
        <f t="shared" si="6"/>
        <v>1278.6512013256008</v>
      </c>
      <c r="Y12" s="27" t="s">
        <v>1944</v>
      </c>
      <c r="Z12" s="19" t="s">
        <v>35</v>
      </c>
      <c r="AA12" s="19" t="s">
        <v>35</v>
      </c>
      <c r="AB12" s="19" t="s">
        <v>1945</v>
      </c>
      <c r="AC12" s="19">
        <v>0</v>
      </c>
      <c r="AD12" s="19">
        <v>0</v>
      </c>
      <c r="AE12" s="19" t="s">
        <v>37</v>
      </c>
      <c r="AF12" s="19" t="s">
        <v>35</v>
      </c>
      <c r="AG12" s="19" t="s">
        <v>38</v>
      </c>
      <c r="AH12" s="19" t="s">
        <v>92</v>
      </c>
    </row>
    <row r="13" spans="1:34" x14ac:dyDescent="0.3">
      <c r="A13" s="75" t="s">
        <v>1945</v>
      </c>
      <c r="B13" s="19" t="s">
        <v>1975</v>
      </c>
      <c r="C13" s="19" t="s">
        <v>1976</v>
      </c>
      <c r="D13" s="20">
        <v>45481</v>
      </c>
      <c r="E13" s="21">
        <v>382057</v>
      </c>
      <c r="F13" s="19" t="s">
        <v>32</v>
      </c>
      <c r="G13" s="19" t="s">
        <v>33</v>
      </c>
      <c r="H13" s="21">
        <v>382057</v>
      </c>
      <c r="I13" s="21">
        <v>101300</v>
      </c>
      <c r="J13" s="22">
        <f t="shared" si="0"/>
        <v>26.51436827489092</v>
      </c>
      <c r="K13" s="21">
        <v>363970</v>
      </c>
      <c r="L13" s="21">
        <f>H13-326470</f>
        <v>55587</v>
      </c>
      <c r="M13" s="21">
        <v>37500</v>
      </c>
      <c r="N13" s="67">
        <f t="shared" si="1"/>
        <v>9.8152893416427398E-2</v>
      </c>
      <c r="O13" s="23">
        <v>59.9</v>
      </c>
      <c r="P13" s="24">
        <v>126.88</v>
      </c>
      <c r="Q13" s="25">
        <v>0.17399999999999999</v>
      </c>
      <c r="R13" s="25">
        <v>0.17399999999999999</v>
      </c>
      <c r="S13" s="21">
        <f t="shared" si="2"/>
        <v>927.99666110183637</v>
      </c>
      <c r="T13" s="21">
        <f t="shared" si="3"/>
        <v>319465.5172413793</v>
      </c>
      <c r="U13" s="26">
        <f t="shared" si="4"/>
        <v>7.333919128589975</v>
      </c>
      <c r="V13" s="25">
        <v>59.9</v>
      </c>
      <c r="W13" s="25">
        <f t="shared" si="5"/>
        <v>76411.400000000009</v>
      </c>
      <c r="X13" s="25">
        <f t="shared" si="6"/>
        <v>1275.6494156928215</v>
      </c>
      <c r="Y13" s="27" t="s">
        <v>1944</v>
      </c>
      <c r="Z13" s="19" t="s">
        <v>35</v>
      </c>
      <c r="AA13" s="19" t="s">
        <v>35</v>
      </c>
      <c r="AB13" s="19" t="s">
        <v>1945</v>
      </c>
      <c r="AC13" s="19">
        <v>0</v>
      </c>
      <c r="AD13" s="19">
        <v>0</v>
      </c>
      <c r="AE13" s="19" t="s">
        <v>37</v>
      </c>
      <c r="AF13" s="19" t="s">
        <v>43</v>
      </c>
      <c r="AG13" s="19" t="s">
        <v>38</v>
      </c>
      <c r="AH13" s="19" t="s">
        <v>1951</v>
      </c>
    </row>
    <row r="14" spans="1:34" x14ac:dyDescent="0.3">
      <c r="A14" s="74" t="s">
        <v>1945</v>
      </c>
      <c r="B14" s="10" t="s">
        <v>1954</v>
      </c>
      <c r="C14" s="10" t="s">
        <v>1955</v>
      </c>
      <c r="D14" s="11">
        <v>45219</v>
      </c>
      <c r="E14" s="12">
        <v>345033</v>
      </c>
      <c r="F14" s="10" t="s">
        <v>32</v>
      </c>
      <c r="G14" s="10" t="s">
        <v>33</v>
      </c>
      <c r="H14" s="12">
        <v>345033</v>
      </c>
      <c r="I14" s="12">
        <v>77700</v>
      </c>
      <c r="J14" s="13">
        <f t="shared" si="0"/>
        <v>22.519585083165957</v>
      </c>
      <c r="K14" s="12">
        <v>322108</v>
      </c>
      <c r="L14" s="12">
        <f>H14-287108</f>
        <v>57925</v>
      </c>
      <c r="M14" s="12">
        <v>35000</v>
      </c>
      <c r="N14" s="66">
        <f t="shared" si="1"/>
        <v>0.10143957244669351</v>
      </c>
      <c r="O14" s="14">
        <v>55</v>
      </c>
      <c r="P14" s="15">
        <v>135.75</v>
      </c>
      <c r="Q14" s="16">
        <v>0.17100000000000001</v>
      </c>
      <c r="R14" s="16">
        <v>0.17100000000000001</v>
      </c>
      <c r="S14" s="12">
        <f t="shared" si="2"/>
        <v>1053.1818181818182</v>
      </c>
      <c r="T14" s="12">
        <f t="shared" si="3"/>
        <v>338742.69005847949</v>
      </c>
      <c r="U14" s="17">
        <f t="shared" si="4"/>
        <v>7.7764621225546255</v>
      </c>
      <c r="V14" s="16">
        <v>55</v>
      </c>
      <c r="W14" s="16">
        <f t="shared" si="5"/>
        <v>69006.600000000006</v>
      </c>
      <c r="X14" s="16">
        <f t="shared" si="6"/>
        <v>1254.6654545454546</v>
      </c>
      <c r="Y14" s="18" t="s">
        <v>1944</v>
      </c>
      <c r="Z14" s="10" t="s">
        <v>35</v>
      </c>
      <c r="AA14" s="10" t="s">
        <v>35</v>
      </c>
      <c r="AB14" s="10" t="s">
        <v>1945</v>
      </c>
      <c r="AC14" s="10">
        <v>0</v>
      </c>
      <c r="AD14" s="10">
        <v>0</v>
      </c>
      <c r="AE14" s="10" t="s">
        <v>37</v>
      </c>
      <c r="AF14" s="10" t="s">
        <v>43</v>
      </c>
      <c r="AG14" s="10" t="s">
        <v>38</v>
      </c>
      <c r="AH14" s="10" t="s">
        <v>92</v>
      </c>
    </row>
    <row r="15" spans="1:34" x14ac:dyDescent="0.3">
      <c r="A15" s="75" t="s">
        <v>1945</v>
      </c>
      <c r="B15" s="19" t="s">
        <v>1966</v>
      </c>
      <c r="C15" s="19" t="s">
        <v>1967</v>
      </c>
      <c r="D15" s="20">
        <v>45274</v>
      </c>
      <c r="E15" s="21">
        <v>357500</v>
      </c>
      <c r="F15" s="19" t="s">
        <v>32</v>
      </c>
      <c r="G15" s="19" t="s">
        <v>33</v>
      </c>
      <c r="H15" s="21">
        <v>357500</v>
      </c>
      <c r="I15" s="21">
        <v>148200</v>
      </c>
      <c r="J15" s="22">
        <f t="shared" si="0"/>
        <v>41.454545454545453</v>
      </c>
      <c r="K15" s="21">
        <v>332707</v>
      </c>
      <c r="L15" s="21">
        <f>H15-297707</f>
        <v>59793</v>
      </c>
      <c r="M15" s="21">
        <v>35000</v>
      </c>
      <c r="N15" s="67">
        <f t="shared" si="1"/>
        <v>9.7902097902097904E-2</v>
      </c>
      <c r="O15" s="23">
        <v>55</v>
      </c>
      <c r="P15" s="24">
        <v>130</v>
      </c>
      <c r="Q15" s="25">
        <v>0.16400000000000001</v>
      </c>
      <c r="R15" s="25">
        <v>0.16400000000000001</v>
      </c>
      <c r="S15" s="21">
        <f t="shared" si="2"/>
        <v>1087.1454545454546</v>
      </c>
      <c r="T15" s="21">
        <f t="shared" si="3"/>
        <v>364591.46341463411</v>
      </c>
      <c r="U15" s="26">
        <f t="shared" si="4"/>
        <v>8.3698683061210772</v>
      </c>
      <c r="V15" s="25">
        <v>55</v>
      </c>
      <c r="W15" s="25">
        <f t="shared" si="5"/>
        <v>71500</v>
      </c>
      <c r="X15" s="25">
        <f t="shared" si="6"/>
        <v>1300</v>
      </c>
      <c r="Y15" s="27" t="s">
        <v>1944</v>
      </c>
      <c r="Z15" s="19" t="s">
        <v>35</v>
      </c>
      <c r="AA15" s="19" t="s">
        <v>35</v>
      </c>
      <c r="AB15" s="19" t="s">
        <v>1945</v>
      </c>
      <c r="AC15" s="19">
        <v>0</v>
      </c>
      <c r="AD15" s="19">
        <v>0</v>
      </c>
      <c r="AE15" s="19" t="s">
        <v>1968</v>
      </c>
      <c r="AF15" s="19" t="s">
        <v>43</v>
      </c>
      <c r="AG15" s="19" t="s">
        <v>38</v>
      </c>
      <c r="AH15" s="19" t="s">
        <v>92</v>
      </c>
    </row>
    <row r="16" spans="1:34" x14ac:dyDescent="0.3">
      <c r="A16" s="74" t="s">
        <v>1945</v>
      </c>
      <c r="B16" s="10" t="s">
        <v>1977</v>
      </c>
      <c r="C16" s="10" t="s">
        <v>1978</v>
      </c>
      <c r="D16" s="11">
        <v>45443</v>
      </c>
      <c r="E16" s="12">
        <v>362945</v>
      </c>
      <c r="F16" s="10" t="s">
        <v>32</v>
      </c>
      <c r="G16" s="10" t="s">
        <v>33</v>
      </c>
      <c r="H16" s="12">
        <v>362945</v>
      </c>
      <c r="I16" s="12">
        <v>90200</v>
      </c>
      <c r="J16" s="13">
        <f t="shared" si="0"/>
        <v>24.852250340960751</v>
      </c>
      <c r="K16" s="12">
        <v>328259</v>
      </c>
      <c r="L16" s="12">
        <f>H16-293259</f>
        <v>69686</v>
      </c>
      <c r="M16" s="12">
        <v>35000</v>
      </c>
      <c r="N16" s="66">
        <f t="shared" si="1"/>
        <v>9.6433343895080528E-2</v>
      </c>
      <c r="O16" s="14">
        <v>58.73</v>
      </c>
      <c r="P16" s="15">
        <v>120.17</v>
      </c>
      <c r="Q16" s="16">
        <v>0.16200000000000001</v>
      </c>
      <c r="R16" s="16">
        <v>0.16200000000000001</v>
      </c>
      <c r="S16" s="12">
        <f t="shared" si="2"/>
        <v>1186.5486122935467</v>
      </c>
      <c r="T16" s="12">
        <f t="shared" si="3"/>
        <v>430160.49382716051</v>
      </c>
      <c r="U16" s="17">
        <f t="shared" si="4"/>
        <v>9.8751261209173666</v>
      </c>
      <c r="V16" s="16">
        <v>58.73</v>
      </c>
      <c r="W16" s="16">
        <f t="shared" si="5"/>
        <v>72589</v>
      </c>
      <c r="X16" s="16">
        <f t="shared" si="6"/>
        <v>1235.978205346501</v>
      </c>
      <c r="Y16" s="18" t="s">
        <v>1944</v>
      </c>
      <c r="Z16" s="10" t="s">
        <v>35</v>
      </c>
      <c r="AA16" s="10" t="s">
        <v>35</v>
      </c>
      <c r="AB16" s="10" t="s">
        <v>1945</v>
      </c>
      <c r="AC16" s="10">
        <v>0</v>
      </c>
      <c r="AD16" s="10">
        <v>0</v>
      </c>
      <c r="AE16" s="10" t="s">
        <v>37</v>
      </c>
      <c r="AF16" s="10" t="s">
        <v>43</v>
      </c>
      <c r="AG16" s="10" t="s">
        <v>38</v>
      </c>
      <c r="AH16" s="10" t="s">
        <v>92</v>
      </c>
    </row>
    <row r="17" spans="1:34" ht="15" thickBot="1" x14ac:dyDescent="0.35">
      <c r="A17" s="75" t="s">
        <v>1945</v>
      </c>
      <c r="B17" s="19" t="s">
        <v>1964</v>
      </c>
      <c r="C17" s="19" t="s">
        <v>1965</v>
      </c>
      <c r="D17" s="20">
        <v>45744</v>
      </c>
      <c r="E17" s="21">
        <v>386332</v>
      </c>
      <c r="F17" s="19" t="s">
        <v>32</v>
      </c>
      <c r="G17" s="19" t="s">
        <v>33</v>
      </c>
      <c r="H17" s="21">
        <v>386332</v>
      </c>
      <c r="I17" s="21">
        <v>29300</v>
      </c>
      <c r="J17" s="22">
        <f t="shared" si="0"/>
        <v>7.5841504198461429</v>
      </c>
      <c r="K17" s="21">
        <v>330218</v>
      </c>
      <c r="L17" s="21">
        <f>H17-292718</f>
        <v>93614</v>
      </c>
      <c r="M17" s="21">
        <v>37500</v>
      </c>
      <c r="N17" s="67">
        <f t="shared" si="1"/>
        <v>9.7066771585061551E-2</v>
      </c>
      <c r="O17" s="23">
        <v>55</v>
      </c>
      <c r="P17" s="24">
        <v>124.66</v>
      </c>
      <c r="Q17" s="25">
        <v>0.157</v>
      </c>
      <c r="R17" s="25">
        <v>0.157</v>
      </c>
      <c r="S17" s="21">
        <f t="shared" si="2"/>
        <v>1702.0727272727272</v>
      </c>
      <c r="T17" s="21">
        <f t="shared" si="3"/>
        <v>596267.51592356688</v>
      </c>
      <c r="U17" s="26">
        <f t="shared" si="4"/>
        <v>13.688418639200341</v>
      </c>
      <c r="V17" s="25">
        <v>55</v>
      </c>
      <c r="W17" s="25">
        <f t="shared" si="5"/>
        <v>77266.400000000009</v>
      </c>
      <c r="X17" s="25">
        <f t="shared" si="6"/>
        <v>1404.8436363636365</v>
      </c>
      <c r="Y17" s="27" t="s">
        <v>1944</v>
      </c>
      <c r="Z17" s="19" t="s">
        <v>35</v>
      </c>
      <c r="AA17" s="19" t="s">
        <v>35</v>
      </c>
      <c r="AB17" s="19" t="s">
        <v>1945</v>
      </c>
      <c r="AC17" s="19">
        <v>0</v>
      </c>
      <c r="AD17" s="19">
        <v>0</v>
      </c>
      <c r="AE17" s="19" t="s">
        <v>37</v>
      </c>
      <c r="AF17" s="19" t="s">
        <v>35</v>
      </c>
      <c r="AG17" s="19" t="s">
        <v>38</v>
      </c>
      <c r="AH17" s="19" t="s">
        <v>1951</v>
      </c>
    </row>
    <row r="18" spans="1:34" ht="15" thickTop="1" x14ac:dyDescent="0.3">
      <c r="A18" s="76"/>
      <c r="B18" s="37"/>
      <c r="C18" s="37"/>
      <c r="D18" s="38" t="s">
        <v>2876</v>
      </c>
      <c r="E18" s="39">
        <f>+SUM(E2:E17)</f>
        <v>5959448</v>
      </c>
      <c r="F18" s="37"/>
      <c r="G18" s="37"/>
      <c r="H18" s="39">
        <f>+SUM(H2:H17)</f>
        <v>5959448</v>
      </c>
      <c r="I18" s="39">
        <f>+SUM(I2:I17)</f>
        <v>1791700</v>
      </c>
      <c r="J18" s="40"/>
      <c r="K18" s="39">
        <f>+SUM(K2:K17)</f>
        <v>5729914</v>
      </c>
      <c r="L18" s="39">
        <f>+SUM(L2:L17)</f>
        <v>802034</v>
      </c>
      <c r="M18" s="39">
        <f>+SUM(M2:M17)</f>
        <v>572500</v>
      </c>
      <c r="N18" s="81">
        <f>AVERAGE(N2:N17)</f>
        <v>9.6335114509510628E-2</v>
      </c>
      <c r="O18" s="41">
        <f>+SUM(O2:O17)</f>
        <v>1005.9599999999999</v>
      </c>
      <c r="P18" s="42"/>
      <c r="Q18" s="43">
        <f>+SUM(Q2:Q17)</f>
        <v>3.04</v>
      </c>
      <c r="R18" s="43">
        <f>+SUM(R2:R17)</f>
        <v>3.04</v>
      </c>
      <c r="S18" s="39"/>
      <c r="T18" s="39"/>
      <c r="U18" s="44"/>
      <c r="V18" s="43"/>
      <c r="W18" s="82">
        <f>AVERAGE(W2:W17)</f>
        <v>74493.100000000006</v>
      </c>
      <c r="X18" s="83">
        <f>AVERAGE(X2:X17)</f>
        <v>1310.9511025881729</v>
      </c>
      <c r="Y18" s="45"/>
      <c r="Z18" s="37"/>
      <c r="AA18" s="37"/>
      <c r="AB18" s="37"/>
      <c r="AC18" s="37"/>
      <c r="AD18" s="37"/>
      <c r="AE18" s="37"/>
      <c r="AF18" s="37"/>
      <c r="AG18" s="37"/>
      <c r="AH18" s="37"/>
    </row>
    <row r="19" spans="1:34" x14ac:dyDescent="0.3">
      <c r="A19" s="77"/>
      <c r="B19" s="28"/>
      <c r="C19" s="28"/>
      <c r="D19" s="29"/>
      <c r="E19" s="30"/>
      <c r="F19" s="28"/>
      <c r="G19" s="28"/>
      <c r="H19" s="30"/>
      <c r="I19" s="30" t="s">
        <v>2877</v>
      </c>
      <c r="J19" s="31">
        <f>I18/H18*100</f>
        <v>30.064865068039857</v>
      </c>
      <c r="K19" s="30"/>
      <c r="L19" s="30"/>
      <c r="M19" s="30" t="s">
        <v>2879</v>
      </c>
      <c r="N19" s="79"/>
      <c r="O19" s="32"/>
      <c r="P19" s="33"/>
      <c r="Q19" s="34" t="s">
        <v>2879</v>
      </c>
      <c r="R19" s="34"/>
      <c r="S19" s="30"/>
      <c r="T19" s="30" t="s">
        <v>2879</v>
      </c>
      <c r="U19" s="35"/>
      <c r="V19" s="34"/>
      <c r="W19" s="63"/>
      <c r="X19" s="68"/>
      <c r="Y19" s="36"/>
      <c r="Z19" s="28"/>
      <c r="AA19" s="28"/>
      <c r="AB19" s="28"/>
      <c r="AC19" s="28"/>
      <c r="AD19" s="28"/>
      <c r="AE19" s="28"/>
      <c r="AF19" s="28"/>
      <c r="AG19" s="28"/>
      <c r="AH19" s="28"/>
    </row>
    <row r="20" spans="1:34" x14ac:dyDescent="0.3">
      <c r="A20" s="78"/>
      <c r="B20" s="46"/>
      <c r="C20" s="46"/>
      <c r="D20" s="47"/>
      <c r="E20" s="48"/>
      <c r="F20" s="46"/>
      <c r="G20" s="46"/>
      <c r="H20" s="48"/>
      <c r="I20" s="48" t="s">
        <v>2878</v>
      </c>
      <c r="J20" s="49">
        <f>STDEV(J2:J17)</f>
        <v>13.25883194738369</v>
      </c>
      <c r="K20" s="48"/>
      <c r="L20" s="48"/>
      <c r="M20" s="48" t="s">
        <v>2880</v>
      </c>
      <c r="N20" s="80"/>
      <c r="O20" s="54">
        <f>L18/O18</f>
        <v>797.28219809932807</v>
      </c>
      <c r="P20" s="50"/>
      <c r="Q20" s="51" t="s">
        <v>2881</v>
      </c>
      <c r="R20" s="51">
        <f>L18/Q18</f>
        <v>263826.9736842105</v>
      </c>
      <c r="S20" s="48"/>
      <c r="T20" s="48" t="s">
        <v>2882</v>
      </c>
      <c r="U20" s="52">
        <f>L18/Q18/43560</f>
        <v>6.0566339229616739</v>
      </c>
      <c r="V20" s="51"/>
      <c r="W20" s="64"/>
      <c r="X20" s="69"/>
      <c r="Y20" s="53"/>
      <c r="Z20" s="46"/>
      <c r="AA20" s="46"/>
      <c r="AB20" s="46"/>
      <c r="AC20" s="46"/>
      <c r="AD20" s="46"/>
      <c r="AE20" s="46"/>
      <c r="AF20" s="46"/>
      <c r="AG20" s="46"/>
      <c r="AH20" s="46"/>
    </row>
    <row r="21" spans="1:34" x14ac:dyDescent="0.3">
      <c r="C21" s="258">
        <f>AVERAGE(E2:E17)</f>
        <v>372465.5</v>
      </c>
      <c r="E21" s="94" t="s">
        <v>3099</v>
      </c>
      <c r="L21" s="95"/>
    </row>
    <row r="22" spans="1:34" x14ac:dyDescent="0.3">
      <c r="C22" s="256" t="s">
        <v>3193</v>
      </c>
      <c r="E22" s="383" t="s">
        <v>3163</v>
      </c>
      <c r="F22" s="383"/>
      <c r="G22" s="383"/>
      <c r="H22" s="383"/>
      <c r="I22" s="383"/>
      <c r="J22" s="383"/>
      <c r="K22" s="383"/>
      <c r="L22" s="383"/>
    </row>
    <row r="23" spans="1:34" x14ac:dyDescent="0.3">
      <c r="C23" s="65">
        <f>C21*0.2</f>
        <v>74493.100000000006</v>
      </c>
      <c r="E23" s="383" t="s">
        <v>3164</v>
      </c>
      <c r="F23" s="383"/>
      <c r="G23" s="383"/>
      <c r="H23" s="383"/>
      <c r="I23" s="383"/>
      <c r="J23" s="383"/>
      <c r="K23" s="383"/>
      <c r="L23" s="383"/>
    </row>
    <row r="24" spans="1:34" x14ac:dyDescent="0.3">
      <c r="E24" s="383" t="s">
        <v>3165</v>
      </c>
      <c r="F24" s="383"/>
      <c r="G24" s="383"/>
      <c r="H24" s="383"/>
      <c r="I24" s="383"/>
      <c r="J24" s="383"/>
      <c r="K24" s="383"/>
      <c r="L24" s="383"/>
    </row>
    <row r="25" spans="1:34" x14ac:dyDescent="0.3">
      <c r="E25" s="383" t="s">
        <v>3166</v>
      </c>
      <c r="F25" s="383"/>
      <c r="G25" s="383"/>
      <c r="H25" s="383"/>
      <c r="I25" s="383"/>
      <c r="J25" s="96"/>
      <c r="K25" s="96"/>
      <c r="L25" s="96"/>
    </row>
    <row r="26" spans="1:34" x14ac:dyDescent="0.3">
      <c r="E26" s="383" t="s">
        <v>3167</v>
      </c>
      <c r="F26" s="383"/>
      <c r="G26" s="383"/>
      <c r="H26" s="383"/>
      <c r="I26" s="383"/>
      <c r="L26" s="95"/>
    </row>
    <row r="27" spans="1:34" x14ac:dyDescent="0.3">
      <c r="E27" s="383" t="s">
        <v>3100</v>
      </c>
      <c r="F27" s="383"/>
      <c r="G27" s="383"/>
      <c r="H27" s="383"/>
      <c r="I27" s="383"/>
      <c r="L27" s="95"/>
    </row>
    <row r="28" spans="1:34" x14ac:dyDescent="0.3">
      <c r="E28" s="96"/>
      <c r="F28" s="96"/>
      <c r="G28" s="96"/>
      <c r="H28" s="96"/>
      <c r="I28" s="96"/>
      <c r="L28" s="95"/>
    </row>
    <row r="29" spans="1:34" x14ac:dyDescent="0.3">
      <c r="A29" s="55" t="s">
        <v>3092</v>
      </c>
      <c r="E29" s="96"/>
      <c r="F29" s="96"/>
      <c r="G29" s="96"/>
      <c r="H29" s="96"/>
      <c r="I29" s="96"/>
      <c r="L29" s="95"/>
    </row>
    <row r="30" spans="1:34" x14ac:dyDescent="0.3">
      <c r="A30" s="74" t="s">
        <v>1945</v>
      </c>
      <c r="B30" s="10" t="s">
        <v>1960</v>
      </c>
      <c r="C30" s="10" t="s">
        <v>1961</v>
      </c>
      <c r="D30" s="11">
        <v>45077</v>
      </c>
      <c r="E30" s="12">
        <v>356600</v>
      </c>
      <c r="F30" s="10" t="s">
        <v>32</v>
      </c>
      <c r="G30" s="10" t="s">
        <v>33</v>
      </c>
      <c r="H30" s="12">
        <v>356600</v>
      </c>
      <c r="I30" s="12">
        <v>172300</v>
      </c>
      <c r="J30" s="13">
        <f>I30/H30*100</f>
        <v>48.317442512619181</v>
      </c>
      <c r="K30" s="12">
        <v>383886</v>
      </c>
      <c r="L30" s="12">
        <f>H30-348886</f>
        <v>7714</v>
      </c>
      <c r="M30" s="12">
        <v>35000</v>
      </c>
      <c r="N30" s="66">
        <f>M30/E30</f>
        <v>9.8149186763881097E-2</v>
      </c>
      <c r="O30" s="14">
        <v>55.05</v>
      </c>
      <c r="P30" s="15">
        <v>124.28</v>
      </c>
      <c r="Q30" s="16">
        <v>0.157</v>
      </c>
      <c r="R30" s="16">
        <v>0.157</v>
      </c>
      <c r="S30" s="12">
        <f>L30/O30</f>
        <v>140.12715712988194</v>
      </c>
      <c r="T30" s="12">
        <f>L30/Q30</f>
        <v>49133.757961783442</v>
      </c>
      <c r="U30" s="17">
        <f>L30/Q30/43560</f>
        <v>1.1279558760740001</v>
      </c>
      <c r="V30" s="16">
        <v>55.05</v>
      </c>
      <c r="W30" s="16">
        <f>0.2*E30</f>
        <v>71320</v>
      </c>
      <c r="X30" s="16">
        <f>W30/V30</f>
        <v>1295.5495004541326</v>
      </c>
      <c r="Y30" s="18" t="s">
        <v>1944</v>
      </c>
      <c r="Z30" s="10" t="s">
        <v>35</v>
      </c>
      <c r="AA30" s="10" t="s">
        <v>35</v>
      </c>
      <c r="AB30" s="10" t="s">
        <v>1945</v>
      </c>
      <c r="AC30" s="10">
        <v>0</v>
      </c>
      <c r="AD30" s="10">
        <v>0</v>
      </c>
      <c r="AE30" s="10" t="s">
        <v>37</v>
      </c>
      <c r="AF30" s="10" t="s">
        <v>43</v>
      </c>
      <c r="AG30" s="10" t="s">
        <v>38</v>
      </c>
      <c r="AH30" s="10" t="s">
        <v>92</v>
      </c>
    </row>
    <row r="31" spans="1:34" x14ac:dyDescent="0.3">
      <c r="A31" s="75" t="s">
        <v>1945</v>
      </c>
      <c r="B31" s="19" t="s">
        <v>1949</v>
      </c>
      <c r="C31" s="19" t="s">
        <v>1950</v>
      </c>
      <c r="D31" s="20">
        <v>45149</v>
      </c>
      <c r="E31" s="21">
        <v>388403</v>
      </c>
      <c r="F31" s="19" t="s">
        <v>32</v>
      </c>
      <c r="G31" s="19" t="s">
        <v>33</v>
      </c>
      <c r="H31" s="21">
        <v>388403</v>
      </c>
      <c r="I31" s="21">
        <v>126100</v>
      </c>
      <c r="J31" s="22">
        <f>I31/H31*100</f>
        <v>32.466278581782326</v>
      </c>
      <c r="K31" s="21">
        <v>405762</v>
      </c>
      <c r="L31" s="21">
        <f>H31-368262</f>
        <v>20141</v>
      </c>
      <c r="M31" s="21">
        <v>37500</v>
      </c>
      <c r="N31" s="67">
        <f>M31/E31</f>
        <v>9.6549202761049738E-2</v>
      </c>
      <c r="O31" s="23">
        <v>117.39</v>
      </c>
      <c r="P31" s="24">
        <v>129.5</v>
      </c>
      <c r="Q31" s="25">
        <v>0.29399999999999998</v>
      </c>
      <c r="R31" s="25">
        <v>0.29399999999999998</v>
      </c>
      <c r="S31" s="21">
        <f>L31/O31</f>
        <v>171.57338785245761</v>
      </c>
      <c r="T31" s="21">
        <f>L31/Q31</f>
        <v>68506.802721088432</v>
      </c>
      <c r="U31" s="26">
        <f>L31/Q31/43560</f>
        <v>1.5726997869855013</v>
      </c>
      <c r="V31" s="25">
        <v>154.37</v>
      </c>
      <c r="W31" s="25">
        <f>0.2*E31</f>
        <v>77680.600000000006</v>
      </c>
      <c r="X31" s="25">
        <f>W31/V31</f>
        <v>503.21046835525038</v>
      </c>
      <c r="Y31" s="27" t="s">
        <v>1944</v>
      </c>
      <c r="Z31" s="19" t="s">
        <v>35</v>
      </c>
      <c r="AA31" s="19" t="s">
        <v>35</v>
      </c>
      <c r="AB31" s="19" t="s">
        <v>1945</v>
      </c>
      <c r="AC31" s="19">
        <v>0</v>
      </c>
      <c r="AD31" s="19">
        <v>0</v>
      </c>
      <c r="AE31" s="19" t="s">
        <v>37</v>
      </c>
      <c r="AF31" s="19" t="s">
        <v>43</v>
      </c>
      <c r="AG31" s="19" t="s">
        <v>38</v>
      </c>
      <c r="AH31" s="19" t="s">
        <v>1951</v>
      </c>
    </row>
  </sheetData>
  <sortState xmlns:xlrd2="http://schemas.microsoft.com/office/spreadsheetml/2017/richdata2" ref="A2:AH19">
    <sortCondition ref="S2:S19"/>
  </sortState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0">
    <tabColor rgb="FF00B050"/>
  </sheetPr>
  <dimension ref="A1:AH16"/>
  <sheetViews>
    <sheetView workbookViewId="0">
      <selection activeCell="D7" sqref="D7:L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886718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1244</v>
      </c>
      <c r="B2" s="10" t="s">
        <v>1245</v>
      </c>
      <c r="C2" s="10" t="s">
        <v>1246</v>
      </c>
      <c r="D2" s="11">
        <v>45596</v>
      </c>
      <c r="E2" s="12">
        <v>148511</v>
      </c>
      <c r="F2" s="10" t="s">
        <v>32</v>
      </c>
      <c r="G2" s="10" t="s">
        <v>33</v>
      </c>
      <c r="H2" s="12">
        <v>148511</v>
      </c>
      <c r="I2" s="12">
        <v>83800</v>
      </c>
      <c r="J2" s="13">
        <f>I2/H2*100</f>
        <v>56.426796668260259</v>
      </c>
      <c r="K2" s="12">
        <v>176181</v>
      </c>
      <c r="L2" s="12">
        <f>H2-165450</f>
        <v>-16939</v>
      </c>
      <c r="M2" s="12">
        <v>10731</v>
      </c>
      <c r="N2" s="66">
        <f>M2/E2</f>
        <v>7.2257273871969077E-2</v>
      </c>
      <c r="O2" s="14">
        <v>51.09</v>
      </c>
      <c r="P2" s="15">
        <v>123.06</v>
      </c>
      <c r="Q2" s="16">
        <v>0.14499999999999999</v>
      </c>
      <c r="R2" s="16">
        <v>0.14499999999999999</v>
      </c>
      <c r="S2" s="12">
        <f>L2/O2</f>
        <v>-331.55216284987273</v>
      </c>
      <c r="T2" s="12">
        <f>L2/Q2</f>
        <v>-116820.68965517242</v>
      </c>
      <c r="U2" s="17">
        <f>L2/Q2/43560</f>
        <v>-2.6818340141224155</v>
      </c>
      <c r="V2" s="16">
        <v>51.5</v>
      </c>
      <c r="W2" s="16">
        <f>0.2*E2</f>
        <v>29702.2</v>
      </c>
      <c r="X2" s="16">
        <f>W2/V2</f>
        <v>576.7417475728156</v>
      </c>
      <c r="Y2" s="18" t="s">
        <v>1243</v>
      </c>
      <c r="Z2" s="10" t="s">
        <v>35</v>
      </c>
      <c r="AA2" s="10" t="s">
        <v>35</v>
      </c>
      <c r="AB2" s="10" t="s">
        <v>1244</v>
      </c>
      <c r="AC2" s="10">
        <v>0</v>
      </c>
      <c r="AD2" s="10">
        <v>1</v>
      </c>
      <c r="AE2" s="10" t="s">
        <v>42</v>
      </c>
      <c r="AF2" s="10" t="s">
        <v>35</v>
      </c>
      <c r="AG2" s="10" t="s">
        <v>38</v>
      </c>
      <c r="AH2" s="10" t="s">
        <v>92</v>
      </c>
    </row>
    <row r="3" spans="1:34" ht="15" thickBot="1" x14ac:dyDescent="0.35">
      <c r="A3" s="74" t="s">
        <v>1244</v>
      </c>
      <c r="B3" s="10" t="s">
        <v>1241</v>
      </c>
      <c r="C3" s="10" t="s">
        <v>1242</v>
      </c>
      <c r="D3" s="11">
        <v>45597</v>
      </c>
      <c r="E3" s="12">
        <v>220000</v>
      </c>
      <c r="F3" s="10" t="s">
        <v>32</v>
      </c>
      <c r="G3" s="10" t="s">
        <v>33</v>
      </c>
      <c r="H3" s="12">
        <v>220000</v>
      </c>
      <c r="I3" s="12">
        <v>91200</v>
      </c>
      <c r="J3" s="13">
        <f>I3/H3*100</f>
        <v>41.454545454545453</v>
      </c>
      <c r="K3" s="12">
        <v>192941</v>
      </c>
      <c r="L3" s="12">
        <f>H3-182210</f>
        <v>37790</v>
      </c>
      <c r="M3" s="12">
        <v>10731</v>
      </c>
      <c r="N3" s="66">
        <f>M3/E3</f>
        <v>4.8777272727272725E-2</v>
      </c>
      <c r="O3" s="14">
        <v>51.09</v>
      </c>
      <c r="P3" s="15">
        <v>123.06</v>
      </c>
      <c r="Q3" s="16">
        <v>0.14499999999999999</v>
      </c>
      <c r="R3" s="16">
        <v>0.14499999999999999</v>
      </c>
      <c r="S3" s="12">
        <f>L3/O3</f>
        <v>739.67508318653347</v>
      </c>
      <c r="T3" s="12">
        <f>L3/Q3</f>
        <v>260620.68965517243</v>
      </c>
      <c r="U3" s="17">
        <f>L3/Q3/43560</f>
        <v>5.9830277698616259</v>
      </c>
      <c r="V3" s="16">
        <v>51.5</v>
      </c>
      <c r="W3" s="16">
        <f>0.2*E3</f>
        <v>44000</v>
      </c>
      <c r="X3" s="16">
        <f>W3/V3</f>
        <v>854.36893203883494</v>
      </c>
      <c r="Y3" s="18" t="s">
        <v>1243</v>
      </c>
      <c r="Z3" s="10" t="s">
        <v>35</v>
      </c>
      <c r="AA3" s="10" t="s">
        <v>35</v>
      </c>
      <c r="AB3" s="10" t="s">
        <v>1244</v>
      </c>
      <c r="AC3" s="10">
        <v>0</v>
      </c>
      <c r="AD3" s="10">
        <v>1</v>
      </c>
      <c r="AE3" s="10" t="s">
        <v>42</v>
      </c>
      <c r="AF3" s="10" t="s">
        <v>35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368511</v>
      </c>
      <c r="F4" s="37"/>
      <c r="G4" s="37"/>
      <c r="H4" s="39">
        <f>+SUM(H2:H3)</f>
        <v>368511</v>
      </c>
      <c r="I4" s="39">
        <f>+SUM(I2:I3)</f>
        <v>175000</v>
      </c>
      <c r="J4" s="40"/>
      <c r="K4" s="39">
        <f>+SUM(K2:K3)</f>
        <v>369122</v>
      </c>
      <c r="L4" s="39">
        <f>+SUM(L2:L3)</f>
        <v>20851</v>
      </c>
      <c r="M4" s="39">
        <f>+SUM(M2:M3)</f>
        <v>21462</v>
      </c>
      <c r="N4" s="81">
        <f>AVERAGE(N2:N3)</f>
        <v>6.0517273299620901E-2</v>
      </c>
      <c r="O4" s="41">
        <f>+SUM(O2:O3)</f>
        <v>102.18</v>
      </c>
      <c r="P4" s="42"/>
      <c r="Q4" s="43">
        <f>+SUM(Q2:Q3)</f>
        <v>0.28999999999999998</v>
      </c>
      <c r="R4" s="43">
        <f>+SUM(R2:R3)</f>
        <v>0.28999999999999998</v>
      </c>
      <c r="S4" s="39"/>
      <c r="T4" s="39"/>
      <c r="U4" s="44"/>
      <c r="V4" s="43"/>
      <c r="W4" s="82">
        <f>AVERAGE(W2:W3)</f>
        <v>36851.1</v>
      </c>
      <c r="X4" s="83">
        <f>AVERAGE(X2:X3)</f>
        <v>715.55533980582527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47.488406044867048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10.586980362846282</v>
      </c>
      <c r="K6" s="48"/>
      <c r="L6" s="48"/>
      <c r="M6" s="48" t="s">
        <v>2880</v>
      </c>
      <c r="N6" s="80"/>
      <c r="O6" s="54">
        <f>L4/O4</f>
        <v>204.06146016833037</v>
      </c>
      <c r="P6" s="50"/>
      <c r="Q6" s="51" t="s">
        <v>2881</v>
      </c>
      <c r="R6" s="51">
        <f>L4/Q4</f>
        <v>71900</v>
      </c>
      <c r="S6" s="48"/>
      <c r="T6" s="48" t="s">
        <v>2882</v>
      </c>
      <c r="U6" s="52">
        <f>L4/Q4/43560</f>
        <v>1.6505968778696052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  <row r="16" spans="1:34" x14ac:dyDescent="0.3">
      <c r="A16" s="75" t="s">
        <v>1244</v>
      </c>
      <c r="B16" s="19" t="s">
        <v>1247</v>
      </c>
      <c r="C16" s="19" t="s">
        <v>1248</v>
      </c>
      <c r="D16" s="20">
        <v>45273</v>
      </c>
      <c r="E16" s="21">
        <v>40000</v>
      </c>
      <c r="F16" s="19" t="s">
        <v>32</v>
      </c>
      <c r="G16" s="19" t="s">
        <v>33</v>
      </c>
      <c r="H16" s="21">
        <v>40000</v>
      </c>
      <c r="I16" s="21">
        <v>71800</v>
      </c>
      <c r="J16" s="22">
        <f>I16/H16*100</f>
        <v>179.5</v>
      </c>
      <c r="K16" s="21">
        <v>178886</v>
      </c>
      <c r="L16" s="21">
        <f>H16-168470</f>
        <v>-128470</v>
      </c>
      <c r="M16" s="21">
        <v>10416</v>
      </c>
      <c r="N16" s="67">
        <f>M16/E16</f>
        <v>0.26040000000000002</v>
      </c>
      <c r="O16" s="23">
        <v>49.6</v>
      </c>
      <c r="P16" s="24">
        <v>123.01</v>
      </c>
      <c r="Q16" s="25">
        <v>0.14099999999999999</v>
      </c>
      <c r="R16" s="25">
        <v>0.14099999999999999</v>
      </c>
      <c r="S16" s="21">
        <f>L16/O16</f>
        <v>-2590.1209677419356</v>
      </c>
      <c r="T16" s="21">
        <f>L16/Q16</f>
        <v>-911134.75177304971</v>
      </c>
      <c r="U16" s="26">
        <f>L16/Q16/43560</f>
        <v>-20.916775752365695</v>
      </c>
      <c r="V16" s="25">
        <v>50</v>
      </c>
      <c r="W16" s="25">
        <f>0.2*E16</f>
        <v>8000</v>
      </c>
      <c r="X16" s="25">
        <f>W16/V16</f>
        <v>160</v>
      </c>
      <c r="Y16" s="27" t="s">
        <v>1243</v>
      </c>
      <c r="Z16" s="19" t="s">
        <v>35</v>
      </c>
      <c r="AA16" s="19" t="s">
        <v>35</v>
      </c>
      <c r="AB16" s="19" t="s">
        <v>1244</v>
      </c>
      <c r="AC16" s="19">
        <v>0</v>
      </c>
      <c r="AD16" s="19">
        <v>1</v>
      </c>
      <c r="AE16" s="19" t="s">
        <v>37</v>
      </c>
      <c r="AF16" s="19" t="s">
        <v>35</v>
      </c>
      <c r="AG16" s="19" t="s">
        <v>38</v>
      </c>
      <c r="AH16" s="19" t="s">
        <v>92</v>
      </c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1">
    <tabColor rgb="FF00B050"/>
  </sheetPr>
  <dimension ref="A1:AH14"/>
  <sheetViews>
    <sheetView workbookViewId="0">
      <selection activeCell="D6" sqref="D6:L1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7.6640625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2787</v>
      </c>
      <c r="B2" s="10" t="s">
        <v>2784</v>
      </c>
      <c r="C2" s="10" t="s">
        <v>2785</v>
      </c>
      <c r="D2" s="11">
        <v>45530</v>
      </c>
      <c r="E2" s="12">
        <v>232000</v>
      </c>
      <c r="F2" s="10" t="s">
        <v>32</v>
      </c>
      <c r="G2" s="10" t="s">
        <v>33</v>
      </c>
      <c r="H2" s="12">
        <v>232000</v>
      </c>
      <c r="I2" s="12">
        <v>101400</v>
      </c>
      <c r="J2" s="13">
        <f>I2/H2*100</f>
        <v>43.706896551724142</v>
      </c>
      <c r="K2" s="12">
        <v>228773</v>
      </c>
      <c r="L2" s="12">
        <f>H2-190373</f>
        <v>41627</v>
      </c>
      <c r="M2" s="12">
        <v>38400</v>
      </c>
      <c r="N2" s="66">
        <f>M2/E2</f>
        <v>0.16551724137931034</v>
      </c>
      <c r="O2" s="14">
        <v>0</v>
      </c>
      <c r="P2" s="15">
        <v>0</v>
      </c>
      <c r="Q2" s="16">
        <v>1.92</v>
      </c>
      <c r="R2" s="16">
        <v>1.92</v>
      </c>
      <c r="S2" s="12" t="e">
        <f>L2/O2</f>
        <v>#DIV/0!</v>
      </c>
      <c r="T2" s="12">
        <f>L2/Q2</f>
        <v>21680.729166666668</v>
      </c>
      <c r="U2" s="17">
        <f>L2/Q2/43560</f>
        <v>0.49772105524946436</v>
      </c>
      <c r="V2" s="16">
        <v>0</v>
      </c>
      <c r="W2" s="16">
        <f>0.2*E2</f>
        <v>46400</v>
      </c>
      <c r="X2" s="16"/>
      <c r="Y2" s="18" t="s">
        <v>2786</v>
      </c>
      <c r="Z2" s="10" t="s">
        <v>35</v>
      </c>
      <c r="AA2" s="10" t="s">
        <v>35</v>
      </c>
      <c r="AB2" s="10" t="s">
        <v>2787</v>
      </c>
      <c r="AC2" s="10">
        <v>0</v>
      </c>
      <c r="AD2" s="10">
        <v>0</v>
      </c>
      <c r="AE2" s="10" t="s">
        <v>42</v>
      </c>
      <c r="AF2" s="10" t="s">
        <v>43</v>
      </c>
      <c r="AG2" s="10" t="s">
        <v>38</v>
      </c>
      <c r="AH2" s="10"/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232000</v>
      </c>
      <c r="F3" s="37"/>
      <c r="G3" s="37"/>
      <c r="H3" s="39">
        <f>+SUM(H2:H2)</f>
        <v>232000</v>
      </c>
      <c r="I3" s="39">
        <f>+SUM(I2:I2)</f>
        <v>101400</v>
      </c>
      <c r="J3" s="40"/>
      <c r="K3" s="39">
        <f>+SUM(K2:K2)</f>
        <v>228773</v>
      </c>
      <c r="L3" s="39">
        <f>+SUM(L2:L2)</f>
        <v>41627</v>
      </c>
      <c r="M3" s="39">
        <f>+SUM(M2:M2)</f>
        <v>38400</v>
      </c>
      <c r="N3" s="81">
        <f>AVERAGE(N2:N2)</f>
        <v>0.16551724137931034</v>
      </c>
      <c r="O3" s="41">
        <f>+SUM(O2:O2)</f>
        <v>0</v>
      </c>
      <c r="P3" s="42"/>
      <c r="Q3" s="43">
        <f>+SUM(Q2:Q2)</f>
        <v>1.92</v>
      </c>
      <c r="R3" s="43">
        <f>+SUM(R2:R2)</f>
        <v>1.92</v>
      </c>
      <c r="S3" s="39"/>
      <c r="T3" s="39"/>
      <c r="U3" s="44"/>
      <c r="V3" s="43"/>
      <c r="W3" s="82">
        <f>AVERAGE(W2:W2)</f>
        <v>46400</v>
      </c>
      <c r="X3" s="83" t="e">
        <f>AVERAGE(X2:X2)</f>
        <v>#DIV/0!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43.706896551724142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 t="e">
        <f>L3/O3</f>
        <v>#DIV/0!</v>
      </c>
      <c r="P5" s="50"/>
      <c r="Q5" s="51" t="s">
        <v>2881</v>
      </c>
      <c r="R5" s="51">
        <f>L3/Q3</f>
        <v>21680.729166666668</v>
      </c>
      <c r="S5" s="48"/>
      <c r="T5" s="48" t="s">
        <v>2882</v>
      </c>
      <c r="U5" s="52">
        <f>L3/Q3/43560</f>
        <v>0.49772105524946436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2">
    <tabColor rgb="FF00B050"/>
  </sheetPr>
  <dimension ref="A1:AH17"/>
  <sheetViews>
    <sheetView workbookViewId="0">
      <selection activeCell="C10" sqref="C10:L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664062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2113</v>
      </c>
      <c r="B2" s="19" t="s">
        <v>2120</v>
      </c>
      <c r="C2" s="19" t="s">
        <v>2121</v>
      </c>
      <c r="D2" s="20">
        <v>45167</v>
      </c>
      <c r="E2" s="21">
        <v>110000</v>
      </c>
      <c r="F2" s="19" t="s">
        <v>32</v>
      </c>
      <c r="G2" s="19" t="s">
        <v>33</v>
      </c>
      <c r="H2" s="21">
        <v>110000</v>
      </c>
      <c r="I2" s="21">
        <v>49000</v>
      </c>
      <c r="J2" s="22">
        <f>I2/H2*100</f>
        <v>44.545454545454547</v>
      </c>
      <c r="K2" s="21">
        <v>146548</v>
      </c>
      <c r="L2" s="21">
        <f>H2-138866</f>
        <v>-28866</v>
      </c>
      <c r="M2" s="21">
        <v>7682</v>
      </c>
      <c r="N2" s="67">
        <f>M2/E2</f>
        <v>6.9836363636363641E-2</v>
      </c>
      <c r="O2" s="23">
        <v>40.22</v>
      </c>
      <c r="P2" s="24">
        <v>136.5</v>
      </c>
      <c r="Q2" s="25">
        <v>0.125</v>
      </c>
      <c r="R2" s="25">
        <v>0.125</v>
      </c>
      <c r="S2" s="21">
        <f>L2/O2</f>
        <v>-717.70263550472407</v>
      </c>
      <c r="T2" s="21">
        <f>L2/Q2</f>
        <v>-230928</v>
      </c>
      <c r="U2" s="26">
        <f>L2/Q2/43560</f>
        <v>-5.3013774104683193</v>
      </c>
      <c r="V2" s="25">
        <v>40</v>
      </c>
      <c r="W2" s="25">
        <f>0.2*E2</f>
        <v>22000</v>
      </c>
      <c r="X2" s="25">
        <f>W2/V2</f>
        <v>550</v>
      </c>
      <c r="Y2" s="27" t="s">
        <v>2112</v>
      </c>
      <c r="Z2" s="19" t="s">
        <v>35</v>
      </c>
      <c r="AA2" s="19" t="s">
        <v>35</v>
      </c>
      <c r="AB2" s="19" t="s">
        <v>2113</v>
      </c>
      <c r="AC2" s="19">
        <v>0</v>
      </c>
      <c r="AD2" s="19">
        <v>1</v>
      </c>
      <c r="AE2" s="19" t="s">
        <v>42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2113</v>
      </c>
      <c r="B3" s="10" t="s">
        <v>2116</v>
      </c>
      <c r="C3" s="10" t="s">
        <v>2117</v>
      </c>
      <c r="D3" s="11">
        <v>45177</v>
      </c>
      <c r="E3" s="12">
        <v>105000</v>
      </c>
      <c r="F3" s="10" t="s">
        <v>32</v>
      </c>
      <c r="G3" s="10" t="s">
        <v>33</v>
      </c>
      <c r="H3" s="12">
        <v>105000</v>
      </c>
      <c r="I3" s="12">
        <v>38100</v>
      </c>
      <c r="J3" s="13">
        <f>I3/H3*100</f>
        <v>36.285714285714285</v>
      </c>
      <c r="K3" s="12">
        <v>114192</v>
      </c>
      <c r="L3" s="12">
        <f>H3-106510</f>
        <v>-1510</v>
      </c>
      <c r="M3" s="12">
        <v>7682</v>
      </c>
      <c r="N3" s="66">
        <f>M3/E3</f>
        <v>7.3161904761904761E-2</v>
      </c>
      <c r="O3" s="14">
        <v>40.22</v>
      </c>
      <c r="P3" s="15">
        <v>136.5</v>
      </c>
      <c r="Q3" s="16">
        <v>0.125</v>
      </c>
      <c r="R3" s="16">
        <v>0.125</v>
      </c>
      <c r="S3" s="12">
        <f>L3/O3</f>
        <v>-37.543510691198406</v>
      </c>
      <c r="T3" s="12">
        <f>L3/Q3</f>
        <v>-12080</v>
      </c>
      <c r="U3" s="17">
        <f>L3/Q3/43560</f>
        <v>-0.27731864095500458</v>
      </c>
      <c r="V3" s="16">
        <v>40</v>
      </c>
      <c r="W3" s="16">
        <f>0.2*E3</f>
        <v>21000</v>
      </c>
      <c r="X3" s="16">
        <f>W3/V3</f>
        <v>525</v>
      </c>
      <c r="Y3" s="18" t="s">
        <v>2112</v>
      </c>
      <c r="Z3" s="10" t="s">
        <v>35</v>
      </c>
      <c r="AA3" s="10" t="s">
        <v>35</v>
      </c>
      <c r="AB3" s="10" t="s">
        <v>2113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5" t="s">
        <v>2113</v>
      </c>
      <c r="B4" s="19" t="s">
        <v>2110</v>
      </c>
      <c r="C4" s="19" t="s">
        <v>2111</v>
      </c>
      <c r="D4" s="20">
        <v>45632</v>
      </c>
      <c r="E4" s="21">
        <v>142000</v>
      </c>
      <c r="F4" s="19" t="s">
        <v>32</v>
      </c>
      <c r="G4" s="19" t="s">
        <v>33</v>
      </c>
      <c r="H4" s="21">
        <v>142000</v>
      </c>
      <c r="I4" s="21">
        <v>45800</v>
      </c>
      <c r="J4" s="22">
        <f>I4/H4*100</f>
        <v>32.253521126760567</v>
      </c>
      <c r="K4" s="21">
        <v>112951</v>
      </c>
      <c r="L4" s="21">
        <f>H4-105269</f>
        <v>36731</v>
      </c>
      <c r="M4" s="21">
        <v>7682</v>
      </c>
      <c r="N4" s="67">
        <f>M4/E4</f>
        <v>5.4098591549295777E-2</v>
      </c>
      <c r="O4" s="23">
        <v>40.22</v>
      </c>
      <c r="P4" s="24">
        <v>136.5</v>
      </c>
      <c r="Q4" s="25">
        <v>0.125</v>
      </c>
      <c r="R4" s="25">
        <v>0.125</v>
      </c>
      <c r="S4" s="21">
        <f>L4/O4</f>
        <v>913.25211337642963</v>
      </c>
      <c r="T4" s="21">
        <f>L4/Q4</f>
        <v>293848</v>
      </c>
      <c r="U4" s="26">
        <f>L4/Q4/43560</f>
        <v>6.745821854912764</v>
      </c>
      <c r="V4" s="25">
        <v>40</v>
      </c>
      <c r="W4" s="25">
        <f>0.2*E4</f>
        <v>28400</v>
      </c>
      <c r="X4" s="25">
        <f>W4/V4</f>
        <v>710</v>
      </c>
      <c r="Y4" s="27" t="s">
        <v>2112</v>
      </c>
      <c r="Z4" s="19" t="s">
        <v>35</v>
      </c>
      <c r="AA4" s="19" t="s">
        <v>35</v>
      </c>
      <c r="AB4" s="19" t="s">
        <v>2113</v>
      </c>
      <c r="AC4" s="19">
        <v>0</v>
      </c>
      <c r="AD4" s="19">
        <v>1</v>
      </c>
      <c r="AE4" s="19" t="s">
        <v>42</v>
      </c>
      <c r="AF4" s="19" t="s">
        <v>35</v>
      </c>
      <c r="AG4" s="19" t="s">
        <v>38</v>
      </c>
      <c r="AH4" s="19" t="s">
        <v>92</v>
      </c>
    </row>
    <row r="5" spans="1:34" x14ac:dyDescent="0.3">
      <c r="A5" s="75" t="s">
        <v>2113</v>
      </c>
      <c r="B5" s="19" t="s">
        <v>2118</v>
      </c>
      <c r="C5" s="19" t="s">
        <v>2119</v>
      </c>
      <c r="D5" s="20">
        <v>45090</v>
      </c>
      <c r="E5" s="21">
        <v>147000</v>
      </c>
      <c r="F5" s="19" t="s">
        <v>32</v>
      </c>
      <c r="G5" s="19" t="s">
        <v>33</v>
      </c>
      <c r="H5" s="21">
        <v>147000</v>
      </c>
      <c r="I5" s="21">
        <v>36900</v>
      </c>
      <c r="J5" s="22">
        <f>I5/H5*100</f>
        <v>25.102040816326532</v>
      </c>
      <c r="K5" s="21">
        <v>110524</v>
      </c>
      <c r="L5" s="21">
        <f>H5-102842</f>
        <v>44158</v>
      </c>
      <c r="M5" s="21">
        <v>7682</v>
      </c>
      <c r="N5" s="67">
        <f>M5/E5</f>
        <v>5.2258503401360547E-2</v>
      </c>
      <c r="O5" s="23">
        <v>40.22</v>
      </c>
      <c r="P5" s="24">
        <v>136.5</v>
      </c>
      <c r="Q5" s="25">
        <v>0.125</v>
      </c>
      <c r="R5" s="25">
        <v>0.125</v>
      </c>
      <c r="S5" s="21">
        <f>L5/O5</f>
        <v>1097.9114868224765</v>
      </c>
      <c r="T5" s="21">
        <f>L5/Q5</f>
        <v>353264</v>
      </c>
      <c r="U5" s="26">
        <f>L5/Q5/43560</f>
        <v>8.109825528007347</v>
      </c>
      <c r="V5" s="25">
        <v>40</v>
      </c>
      <c r="W5" s="25">
        <f>0.2*E5</f>
        <v>29400</v>
      </c>
      <c r="X5" s="25">
        <f>W5/V5</f>
        <v>735</v>
      </c>
      <c r="Y5" s="27" t="s">
        <v>2112</v>
      </c>
      <c r="Z5" s="19" t="s">
        <v>35</v>
      </c>
      <c r="AA5" s="19" t="s">
        <v>35</v>
      </c>
      <c r="AB5" s="19" t="s">
        <v>2113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ht="15" thickBot="1" x14ac:dyDescent="0.35">
      <c r="A6" s="74" t="s">
        <v>2113</v>
      </c>
      <c r="B6" s="10" t="s">
        <v>2114</v>
      </c>
      <c r="C6" s="10" t="s">
        <v>2115</v>
      </c>
      <c r="D6" s="11">
        <v>45174</v>
      </c>
      <c r="E6" s="12">
        <v>155000</v>
      </c>
      <c r="F6" s="10" t="s">
        <v>32</v>
      </c>
      <c r="G6" s="10" t="s">
        <v>33</v>
      </c>
      <c r="H6" s="12">
        <v>155000</v>
      </c>
      <c r="I6" s="12">
        <v>36600</v>
      </c>
      <c r="J6" s="13">
        <f>I6/H6*100</f>
        <v>23.612903225806452</v>
      </c>
      <c r="K6" s="12">
        <v>109446</v>
      </c>
      <c r="L6" s="12">
        <f>H6-101764</f>
        <v>53236</v>
      </c>
      <c r="M6" s="12">
        <v>7682</v>
      </c>
      <c r="N6" s="66">
        <f>M6/E6</f>
        <v>4.9561290322580644E-2</v>
      </c>
      <c r="O6" s="14">
        <v>40.22</v>
      </c>
      <c r="P6" s="15">
        <v>136.5</v>
      </c>
      <c r="Q6" s="16">
        <v>0.125</v>
      </c>
      <c r="R6" s="16">
        <v>0.125</v>
      </c>
      <c r="S6" s="12">
        <f>L6/O6</f>
        <v>1323.6200895077077</v>
      </c>
      <c r="T6" s="12">
        <f>L6/Q6</f>
        <v>425888</v>
      </c>
      <c r="U6" s="17">
        <f>L6/Q6/43560</f>
        <v>9.7770431588613409</v>
      </c>
      <c r="V6" s="16">
        <v>40</v>
      </c>
      <c r="W6" s="16">
        <f>0.2*E6</f>
        <v>31000</v>
      </c>
      <c r="X6" s="16">
        <f>W6/V6</f>
        <v>775</v>
      </c>
      <c r="Y6" s="18" t="s">
        <v>2112</v>
      </c>
      <c r="Z6" s="10" t="s">
        <v>35</v>
      </c>
      <c r="AA6" s="10" t="s">
        <v>35</v>
      </c>
      <c r="AB6" s="10" t="s">
        <v>2113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ht="15" thickTop="1" x14ac:dyDescent="0.3">
      <c r="A7" s="76"/>
      <c r="B7" s="37"/>
      <c r="C7" s="37"/>
      <c r="D7" s="38" t="s">
        <v>2876</v>
      </c>
      <c r="E7" s="39">
        <f>+SUM(E2:E6)</f>
        <v>659000</v>
      </c>
      <c r="F7" s="37"/>
      <c r="G7" s="37"/>
      <c r="H7" s="39">
        <f>+SUM(H2:H6)</f>
        <v>659000</v>
      </c>
      <c r="I7" s="39">
        <f>+SUM(I2:I6)</f>
        <v>206400</v>
      </c>
      <c r="J7" s="40"/>
      <c r="K7" s="39">
        <f>+SUM(K2:K6)</f>
        <v>593661</v>
      </c>
      <c r="L7" s="39">
        <f>+SUM(L2:L6)</f>
        <v>103749</v>
      </c>
      <c r="M7" s="39">
        <f>+SUM(M2:M6)</f>
        <v>38410</v>
      </c>
      <c r="N7" s="81">
        <f>AVERAGE(N2:N6)</f>
        <v>5.9783330734301074E-2</v>
      </c>
      <c r="O7" s="41">
        <f>+SUM(O2:O6)</f>
        <v>201.1</v>
      </c>
      <c r="P7" s="42"/>
      <c r="Q7" s="43">
        <f>+SUM(Q2:Q6)</f>
        <v>0.625</v>
      </c>
      <c r="R7" s="43">
        <f>+SUM(R2:R6)</f>
        <v>0.625</v>
      </c>
      <c r="S7" s="39"/>
      <c r="T7" s="39"/>
      <c r="U7" s="44"/>
      <c r="V7" s="43"/>
      <c r="W7" s="82">
        <f>AVERAGE(W2:W6)</f>
        <v>26360</v>
      </c>
      <c r="X7" s="83">
        <f>AVERAGE(X2:X6)</f>
        <v>659</v>
      </c>
      <c r="Y7" s="45"/>
      <c r="Z7" s="37"/>
      <c r="AA7" s="37"/>
      <c r="AB7" s="37"/>
      <c r="AC7" s="37"/>
      <c r="AD7" s="37"/>
      <c r="AE7" s="37"/>
      <c r="AF7" s="37"/>
      <c r="AG7" s="37"/>
      <c r="AH7" s="37"/>
    </row>
    <row r="8" spans="1:34" x14ac:dyDescent="0.3">
      <c r="A8" s="77"/>
      <c r="B8" s="28"/>
      <c r="C8" s="28"/>
      <c r="D8" s="29"/>
      <c r="E8" s="30"/>
      <c r="F8" s="28"/>
      <c r="G8" s="28"/>
      <c r="H8" s="30"/>
      <c r="I8" s="30" t="s">
        <v>2877</v>
      </c>
      <c r="J8" s="31">
        <f>I7/H7*100</f>
        <v>31.320182094081943</v>
      </c>
      <c r="K8" s="30"/>
      <c r="L8" s="30"/>
      <c r="M8" s="30" t="s">
        <v>2879</v>
      </c>
      <c r="N8" s="79"/>
      <c r="O8" s="32"/>
      <c r="P8" s="33"/>
      <c r="Q8" s="34" t="s">
        <v>2879</v>
      </c>
      <c r="R8" s="34"/>
      <c r="S8" s="30"/>
      <c r="T8" s="30" t="s">
        <v>2879</v>
      </c>
      <c r="U8" s="35"/>
      <c r="V8" s="34"/>
      <c r="W8" s="63"/>
      <c r="X8" s="68"/>
      <c r="Y8" s="36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3">
      <c r="A9" s="78"/>
      <c r="B9" s="46"/>
      <c r="C9" s="46"/>
      <c r="D9" s="47"/>
      <c r="E9" s="48"/>
      <c r="F9" s="46"/>
      <c r="G9" s="46"/>
      <c r="H9" s="48"/>
      <c r="I9" s="48" t="s">
        <v>2878</v>
      </c>
      <c r="J9" s="49">
        <f>STDEV(J2:J6)</f>
        <v>8.5600459453356805</v>
      </c>
      <c r="K9" s="48"/>
      <c r="L9" s="48"/>
      <c r="M9" s="48" t="s">
        <v>2880</v>
      </c>
      <c r="N9" s="80"/>
      <c r="O9" s="54">
        <f>L7/O7</f>
        <v>515.90750870213822</v>
      </c>
      <c r="P9" s="50"/>
      <c r="Q9" s="51" t="s">
        <v>2881</v>
      </c>
      <c r="R9" s="51">
        <f>L7/Q7</f>
        <v>165998.39999999999</v>
      </c>
      <c r="S9" s="48"/>
      <c r="T9" s="48" t="s">
        <v>2882</v>
      </c>
      <c r="U9" s="52">
        <f>L7/Q7/43560</f>
        <v>3.8107988980716252</v>
      </c>
      <c r="V9" s="51"/>
      <c r="W9" s="64"/>
      <c r="X9" s="69"/>
      <c r="Y9" s="53"/>
      <c r="Z9" s="46"/>
      <c r="AA9" s="46"/>
      <c r="AB9" s="46"/>
      <c r="AC9" s="46"/>
      <c r="AD9" s="46"/>
      <c r="AE9" s="46"/>
      <c r="AF9" s="46"/>
      <c r="AG9" s="46"/>
      <c r="AH9" s="46"/>
    </row>
    <row r="10" spans="1:34" x14ac:dyDescent="0.3">
      <c r="E10" s="94" t="s">
        <v>3099</v>
      </c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L15" s="95"/>
    </row>
    <row r="16" spans="1:34" x14ac:dyDescent="0.3">
      <c r="E16" s="383" t="s">
        <v>3100</v>
      </c>
      <c r="F16" s="383"/>
      <c r="G16" s="383"/>
      <c r="H16" s="383"/>
      <c r="I16" s="383"/>
      <c r="L16" s="95"/>
    </row>
    <row r="17" spans="5:12" x14ac:dyDescent="0.3">
      <c r="E17" s="96"/>
      <c r="F17" s="96"/>
      <c r="G17" s="96"/>
      <c r="H17" s="96"/>
      <c r="I17" s="96"/>
      <c r="L17" s="95"/>
    </row>
  </sheetData>
  <sortState xmlns:xlrd2="http://schemas.microsoft.com/office/spreadsheetml/2017/richdata2" ref="A2:AH6">
    <sortCondition ref="S2:S6"/>
  </sortState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3">
    <tabColor rgb="FF00B050"/>
  </sheetPr>
  <dimension ref="A1:AH35"/>
  <sheetViews>
    <sheetView zoomScaleNormal="100" workbookViewId="0">
      <selection activeCell="D19" sqref="D19:L2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" bestFit="1" customWidth="1" collapsed="1"/>
    <col min="4" max="4" width="10.6640625" bestFit="1" customWidth="1" collapsed="1"/>
    <col min="5" max="5" width="13.4414062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1921</v>
      </c>
      <c r="B2" s="19" t="s">
        <v>1926</v>
      </c>
      <c r="C2" s="19" t="s">
        <v>1927</v>
      </c>
      <c r="D2" s="20">
        <v>45229</v>
      </c>
      <c r="E2" s="21">
        <v>235000</v>
      </c>
      <c r="F2" s="19" t="s">
        <v>32</v>
      </c>
      <c r="G2" s="19" t="s">
        <v>33</v>
      </c>
      <c r="H2" s="21">
        <v>235000</v>
      </c>
      <c r="I2" s="21">
        <v>94000</v>
      </c>
      <c r="J2" s="22">
        <f t="shared" ref="J2:J15" si="0">I2/H2*100</f>
        <v>40</v>
      </c>
      <c r="K2" s="21">
        <v>240627</v>
      </c>
      <c r="L2" s="21">
        <f>H2-227503</f>
        <v>7497</v>
      </c>
      <c r="M2" s="21">
        <v>13124</v>
      </c>
      <c r="N2" s="67">
        <f t="shared" ref="N2:N15" si="1">M2/E2</f>
        <v>5.58468085106383E-2</v>
      </c>
      <c r="O2" s="23">
        <v>68.349999999999994</v>
      </c>
      <c r="P2" s="24">
        <v>234.17</v>
      </c>
      <c r="Q2" s="25">
        <v>0.36</v>
      </c>
      <c r="R2" s="25">
        <v>0.36</v>
      </c>
      <c r="S2" s="21">
        <f t="shared" ref="S2:S15" si="2">L2/O2</f>
        <v>109.68544257498172</v>
      </c>
      <c r="T2" s="21">
        <f t="shared" ref="T2:T15" si="3">L2/Q2</f>
        <v>20825</v>
      </c>
      <c r="U2" s="26">
        <f t="shared" ref="U2:U15" si="4">L2/Q2/43560</f>
        <v>0.47807621671258033</v>
      </c>
      <c r="V2" s="25">
        <v>67</v>
      </c>
      <c r="W2" s="25">
        <f t="shared" ref="W2:W15" si="5">0.2*E2</f>
        <v>47000</v>
      </c>
      <c r="X2" s="25">
        <f t="shared" ref="X2:X15" si="6">W2/V2</f>
        <v>701.49253731343288</v>
      </c>
      <c r="Y2" s="27" t="s">
        <v>1915</v>
      </c>
      <c r="Z2" s="19" t="s">
        <v>35</v>
      </c>
      <c r="AA2" s="19" t="s">
        <v>35</v>
      </c>
      <c r="AB2" s="19" t="s">
        <v>1921</v>
      </c>
      <c r="AC2" s="19">
        <v>0</v>
      </c>
      <c r="AD2" s="19">
        <v>1</v>
      </c>
      <c r="AE2" s="19" t="s">
        <v>1928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1921</v>
      </c>
      <c r="B3" s="19" t="s">
        <v>1919</v>
      </c>
      <c r="C3" s="19" t="s">
        <v>1920</v>
      </c>
      <c r="D3" s="20">
        <v>45595</v>
      </c>
      <c r="E3" s="21">
        <v>174900</v>
      </c>
      <c r="F3" s="19" t="s">
        <v>32</v>
      </c>
      <c r="G3" s="19" t="s">
        <v>33</v>
      </c>
      <c r="H3" s="21">
        <v>174900</v>
      </c>
      <c r="I3" s="21">
        <v>75200</v>
      </c>
      <c r="J3" s="22">
        <f t="shared" si="0"/>
        <v>42.995997712978848</v>
      </c>
      <c r="K3" s="21">
        <v>176641</v>
      </c>
      <c r="L3" s="21">
        <f>H3-164498</f>
        <v>10402</v>
      </c>
      <c r="M3" s="21">
        <v>12143</v>
      </c>
      <c r="N3" s="67">
        <f t="shared" si="1"/>
        <v>6.9428244711263576E-2</v>
      </c>
      <c r="O3" s="23">
        <v>63.24</v>
      </c>
      <c r="P3" s="24">
        <v>250</v>
      </c>
      <c r="Q3" s="25">
        <v>0.34399999999999997</v>
      </c>
      <c r="R3" s="25">
        <v>0.34399999999999997</v>
      </c>
      <c r="S3" s="21">
        <f t="shared" si="2"/>
        <v>164.48450347881086</v>
      </c>
      <c r="T3" s="21">
        <f t="shared" si="3"/>
        <v>30238.372093023259</v>
      </c>
      <c r="U3" s="26">
        <f t="shared" si="4"/>
        <v>0.6941775044312043</v>
      </c>
      <c r="V3" s="25">
        <v>60</v>
      </c>
      <c r="W3" s="25">
        <f t="shared" si="5"/>
        <v>34980</v>
      </c>
      <c r="X3" s="25">
        <f t="shared" si="6"/>
        <v>583</v>
      </c>
      <c r="Y3" s="27" t="s">
        <v>1915</v>
      </c>
      <c r="Z3" s="19" t="s">
        <v>35</v>
      </c>
      <c r="AA3" s="19" t="s">
        <v>35</v>
      </c>
      <c r="AB3" s="19" t="s">
        <v>1921</v>
      </c>
      <c r="AC3" s="19">
        <v>0</v>
      </c>
      <c r="AD3" s="19">
        <v>1</v>
      </c>
      <c r="AE3" s="19" t="s">
        <v>37</v>
      </c>
      <c r="AF3" s="19" t="s">
        <v>35</v>
      </c>
      <c r="AG3" s="19" t="s">
        <v>38</v>
      </c>
      <c r="AH3" s="19" t="s">
        <v>92</v>
      </c>
    </row>
    <row r="4" spans="1:34" x14ac:dyDescent="0.3">
      <c r="A4" s="75" t="s">
        <v>1921</v>
      </c>
      <c r="B4" s="19" t="s">
        <v>1926</v>
      </c>
      <c r="C4" s="19" t="s">
        <v>1927</v>
      </c>
      <c r="D4" s="20">
        <v>45229</v>
      </c>
      <c r="E4" s="21">
        <v>235000</v>
      </c>
      <c r="F4" s="19" t="s">
        <v>32</v>
      </c>
      <c r="G4" s="19" t="s">
        <v>33</v>
      </c>
      <c r="H4" s="21">
        <v>235000</v>
      </c>
      <c r="I4" s="21">
        <v>94000</v>
      </c>
      <c r="J4" s="22">
        <f t="shared" si="0"/>
        <v>40</v>
      </c>
      <c r="K4" s="21">
        <v>240627</v>
      </c>
      <c r="L4" s="21">
        <f>H4-227503</f>
        <v>7497</v>
      </c>
      <c r="M4" s="21">
        <v>13124</v>
      </c>
      <c r="N4" s="67">
        <f t="shared" si="1"/>
        <v>5.58468085106383E-2</v>
      </c>
      <c r="O4" s="23">
        <v>68.349999999999994</v>
      </c>
      <c r="P4" s="24">
        <v>234.17</v>
      </c>
      <c r="Q4" s="25">
        <v>0.36</v>
      </c>
      <c r="R4" s="25">
        <v>0.36</v>
      </c>
      <c r="S4" s="21">
        <f t="shared" si="2"/>
        <v>109.68544257498172</v>
      </c>
      <c r="T4" s="21">
        <f t="shared" si="3"/>
        <v>20825</v>
      </c>
      <c r="U4" s="26">
        <f t="shared" si="4"/>
        <v>0.47807621671258033</v>
      </c>
      <c r="V4" s="25">
        <v>67</v>
      </c>
      <c r="W4" s="25">
        <f t="shared" si="5"/>
        <v>47000</v>
      </c>
      <c r="X4" s="25">
        <f t="shared" si="6"/>
        <v>701.49253731343288</v>
      </c>
      <c r="Y4" s="27" t="s">
        <v>1915</v>
      </c>
      <c r="Z4" s="19" t="s">
        <v>35</v>
      </c>
      <c r="AA4" s="19" t="s">
        <v>35</v>
      </c>
      <c r="AB4" s="19" t="s">
        <v>1921</v>
      </c>
      <c r="AC4" s="19">
        <v>0</v>
      </c>
      <c r="AD4" s="19">
        <v>1</v>
      </c>
      <c r="AE4" s="19" t="s">
        <v>1928</v>
      </c>
      <c r="AF4" s="19" t="s">
        <v>43</v>
      </c>
      <c r="AG4" s="19" t="s">
        <v>38</v>
      </c>
      <c r="AH4" s="19" t="s">
        <v>92</v>
      </c>
    </row>
    <row r="5" spans="1:34" x14ac:dyDescent="0.3">
      <c r="A5" s="75" t="s">
        <v>1921</v>
      </c>
      <c r="B5" s="19" t="s">
        <v>1919</v>
      </c>
      <c r="C5" s="19" t="s">
        <v>1920</v>
      </c>
      <c r="D5" s="20">
        <v>45595</v>
      </c>
      <c r="E5" s="21">
        <v>174900</v>
      </c>
      <c r="F5" s="19" t="s">
        <v>32</v>
      </c>
      <c r="G5" s="19" t="s">
        <v>33</v>
      </c>
      <c r="H5" s="21">
        <v>174900</v>
      </c>
      <c r="I5" s="21">
        <v>75200</v>
      </c>
      <c r="J5" s="22">
        <f t="shared" si="0"/>
        <v>42.995997712978848</v>
      </c>
      <c r="K5" s="21">
        <v>176641</v>
      </c>
      <c r="L5" s="21">
        <f>H5-164498</f>
        <v>10402</v>
      </c>
      <c r="M5" s="21">
        <v>12143</v>
      </c>
      <c r="N5" s="67">
        <f t="shared" si="1"/>
        <v>6.9428244711263576E-2</v>
      </c>
      <c r="O5" s="23">
        <v>63.24</v>
      </c>
      <c r="P5" s="24">
        <v>250</v>
      </c>
      <c r="Q5" s="25">
        <v>0.34399999999999997</v>
      </c>
      <c r="R5" s="25">
        <v>0.34399999999999997</v>
      </c>
      <c r="S5" s="21">
        <f t="shared" si="2"/>
        <v>164.48450347881086</v>
      </c>
      <c r="T5" s="21">
        <f t="shared" si="3"/>
        <v>30238.372093023259</v>
      </c>
      <c r="U5" s="26">
        <f t="shared" si="4"/>
        <v>0.6941775044312043</v>
      </c>
      <c r="V5" s="25">
        <v>60</v>
      </c>
      <c r="W5" s="25">
        <f t="shared" si="5"/>
        <v>34980</v>
      </c>
      <c r="X5" s="25">
        <f t="shared" si="6"/>
        <v>583</v>
      </c>
      <c r="Y5" s="27" t="s">
        <v>1915</v>
      </c>
      <c r="Z5" s="19" t="s">
        <v>35</v>
      </c>
      <c r="AA5" s="19" t="s">
        <v>35</v>
      </c>
      <c r="AB5" s="19" t="s">
        <v>1921</v>
      </c>
      <c r="AC5" s="19">
        <v>0</v>
      </c>
      <c r="AD5" s="19">
        <v>1</v>
      </c>
      <c r="AE5" s="19" t="s">
        <v>37</v>
      </c>
      <c r="AF5" s="19" t="s">
        <v>35</v>
      </c>
      <c r="AG5" s="19" t="s">
        <v>38</v>
      </c>
      <c r="AH5" s="19" t="s">
        <v>92</v>
      </c>
    </row>
    <row r="6" spans="1:34" x14ac:dyDescent="0.3">
      <c r="A6" s="74" t="s">
        <v>1921</v>
      </c>
      <c r="B6" s="10" t="s">
        <v>1931</v>
      </c>
      <c r="C6" s="10" t="s">
        <v>1932</v>
      </c>
      <c r="D6" s="11">
        <v>45454</v>
      </c>
      <c r="E6" s="12">
        <v>160000</v>
      </c>
      <c r="F6" s="10" t="s">
        <v>32</v>
      </c>
      <c r="G6" s="10" t="s">
        <v>33</v>
      </c>
      <c r="H6" s="12">
        <v>160000</v>
      </c>
      <c r="I6" s="12">
        <v>68000</v>
      </c>
      <c r="J6" s="13">
        <f t="shared" si="0"/>
        <v>42.5</v>
      </c>
      <c r="K6" s="12">
        <v>157195</v>
      </c>
      <c r="L6" s="12">
        <f>H6-133628</f>
        <v>26372</v>
      </c>
      <c r="M6" s="12">
        <v>23567</v>
      </c>
      <c r="N6" s="66">
        <f t="shared" si="1"/>
        <v>0.14729375</v>
      </c>
      <c r="O6" s="14">
        <v>122.74</v>
      </c>
      <c r="P6" s="15">
        <v>227.88</v>
      </c>
      <c r="Q6" s="16">
        <v>0.63500000000000001</v>
      </c>
      <c r="R6" s="16">
        <v>0.63500000000000001</v>
      </c>
      <c r="S6" s="12">
        <f t="shared" si="2"/>
        <v>214.86068111455108</v>
      </c>
      <c r="T6" s="12">
        <f t="shared" si="3"/>
        <v>41530.708661417324</v>
      </c>
      <c r="U6" s="17">
        <f t="shared" si="4"/>
        <v>0.95341388111610015</v>
      </c>
      <c r="V6" s="16">
        <v>122.95</v>
      </c>
      <c r="W6" s="16">
        <f t="shared" si="5"/>
        <v>32000</v>
      </c>
      <c r="X6" s="16">
        <f t="shared" si="6"/>
        <v>260.26840178934526</v>
      </c>
      <c r="Y6" s="18" t="s">
        <v>1915</v>
      </c>
      <c r="Z6" s="10" t="s">
        <v>35</v>
      </c>
      <c r="AA6" s="10" t="s">
        <v>35</v>
      </c>
      <c r="AB6" s="10" t="s">
        <v>1921</v>
      </c>
      <c r="AC6" s="10">
        <v>0</v>
      </c>
      <c r="AD6" s="10">
        <v>1</v>
      </c>
      <c r="AE6" s="10" t="s">
        <v>42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1921</v>
      </c>
      <c r="B7" s="10" t="s">
        <v>1924</v>
      </c>
      <c r="C7" s="10" t="s">
        <v>1925</v>
      </c>
      <c r="D7" s="11">
        <v>45279</v>
      </c>
      <c r="E7" s="12">
        <v>159000</v>
      </c>
      <c r="F7" s="10" t="s">
        <v>32</v>
      </c>
      <c r="G7" s="10" t="s">
        <v>33</v>
      </c>
      <c r="H7" s="12">
        <v>159000</v>
      </c>
      <c r="I7" s="12">
        <v>63000</v>
      </c>
      <c r="J7" s="13">
        <f t="shared" si="0"/>
        <v>39.622641509433961</v>
      </c>
      <c r="K7" s="12">
        <v>157382</v>
      </c>
      <c r="L7" s="12">
        <f>H7-146835</f>
        <v>12165</v>
      </c>
      <c r="M7" s="12">
        <v>10547</v>
      </c>
      <c r="N7" s="66">
        <f t="shared" si="1"/>
        <v>6.6333333333333327E-2</v>
      </c>
      <c r="O7" s="14">
        <v>54.92</v>
      </c>
      <c r="P7" s="15">
        <v>188.58</v>
      </c>
      <c r="Q7" s="16">
        <v>0.26</v>
      </c>
      <c r="R7" s="16">
        <v>0.26</v>
      </c>
      <c r="S7" s="12">
        <f t="shared" si="2"/>
        <v>221.50400582665694</v>
      </c>
      <c r="T7" s="12">
        <f t="shared" si="3"/>
        <v>46788.461538461539</v>
      </c>
      <c r="U7" s="17">
        <f t="shared" si="4"/>
        <v>1.0741152786607333</v>
      </c>
      <c r="V7" s="16">
        <v>60</v>
      </c>
      <c r="W7" s="16">
        <f t="shared" si="5"/>
        <v>31800</v>
      </c>
      <c r="X7" s="16">
        <f t="shared" si="6"/>
        <v>530</v>
      </c>
      <c r="Y7" s="18" t="s">
        <v>1915</v>
      </c>
      <c r="Z7" s="10" t="s">
        <v>35</v>
      </c>
      <c r="AA7" s="10" t="s">
        <v>35</v>
      </c>
      <c r="AB7" s="10" t="s">
        <v>1921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4" t="s">
        <v>1916</v>
      </c>
      <c r="B8" s="10" t="s">
        <v>1913</v>
      </c>
      <c r="C8" s="10" t="s">
        <v>1914</v>
      </c>
      <c r="D8" s="11">
        <v>45204</v>
      </c>
      <c r="E8" s="12">
        <v>190000</v>
      </c>
      <c r="F8" s="10" t="s">
        <v>32</v>
      </c>
      <c r="G8" s="10" t="s">
        <v>33</v>
      </c>
      <c r="H8" s="12">
        <v>190000</v>
      </c>
      <c r="I8" s="12">
        <v>72700</v>
      </c>
      <c r="J8" s="13">
        <f t="shared" si="0"/>
        <v>38.263157894736842</v>
      </c>
      <c r="K8" s="12">
        <v>187088</v>
      </c>
      <c r="L8" s="12">
        <f>H8-172070</f>
        <v>17930</v>
      </c>
      <c r="M8" s="12">
        <v>15018</v>
      </c>
      <c r="N8" s="66">
        <f t="shared" si="1"/>
        <v>7.90421052631579E-2</v>
      </c>
      <c r="O8" s="14">
        <v>78.22</v>
      </c>
      <c r="P8" s="15">
        <v>300.25</v>
      </c>
      <c r="Q8" s="16">
        <v>0.51500000000000001</v>
      </c>
      <c r="R8" s="16">
        <v>0.51500000000000001</v>
      </c>
      <c r="S8" s="12">
        <f t="shared" si="2"/>
        <v>229.22526208130913</v>
      </c>
      <c r="T8" s="12">
        <f t="shared" si="3"/>
        <v>34815.533980582521</v>
      </c>
      <c r="U8" s="17">
        <f t="shared" si="4"/>
        <v>0.79925468274982825</v>
      </c>
      <c r="V8" s="16">
        <v>83.3</v>
      </c>
      <c r="W8" s="16">
        <f t="shared" si="5"/>
        <v>38000</v>
      </c>
      <c r="X8" s="16">
        <f t="shared" si="6"/>
        <v>456.18247298919567</v>
      </c>
      <c r="Y8" s="18" t="s">
        <v>1915</v>
      </c>
      <c r="Z8" s="10" t="s">
        <v>35</v>
      </c>
      <c r="AA8" s="10" t="s">
        <v>35</v>
      </c>
      <c r="AB8" s="10" t="s">
        <v>1916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92</v>
      </c>
    </row>
    <row r="9" spans="1:34" x14ac:dyDescent="0.3">
      <c r="A9" s="74" t="s">
        <v>1921</v>
      </c>
      <c r="B9" s="10" t="s">
        <v>1926</v>
      </c>
      <c r="C9" s="10" t="s">
        <v>1927</v>
      </c>
      <c r="D9" s="11">
        <v>45387</v>
      </c>
      <c r="E9" s="12">
        <v>245000</v>
      </c>
      <c r="F9" s="10" t="s">
        <v>32</v>
      </c>
      <c r="G9" s="10" t="s">
        <v>33</v>
      </c>
      <c r="H9" s="12">
        <v>245000</v>
      </c>
      <c r="I9" s="12">
        <v>103600</v>
      </c>
      <c r="J9" s="13">
        <f t="shared" si="0"/>
        <v>42.285714285714285</v>
      </c>
      <c r="K9" s="12">
        <v>240627</v>
      </c>
      <c r="L9" s="12">
        <f>H9-227503</f>
        <v>17497</v>
      </c>
      <c r="M9" s="12">
        <v>13124</v>
      </c>
      <c r="N9" s="66">
        <f t="shared" si="1"/>
        <v>5.3567346938775511E-2</v>
      </c>
      <c r="O9" s="14">
        <v>68.349999999999994</v>
      </c>
      <c r="P9" s="15">
        <v>234.17</v>
      </c>
      <c r="Q9" s="16">
        <v>0.36</v>
      </c>
      <c r="R9" s="16">
        <v>0.36</v>
      </c>
      <c r="S9" s="12">
        <f t="shared" si="2"/>
        <v>255.99122165325534</v>
      </c>
      <c r="T9" s="12">
        <f t="shared" si="3"/>
        <v>48602.777777777781</v>
      </c>
      <c r="U9" s="17">
        <f t="shared" si="4"/>
        <v>1.1157662483420059</v>
      </c>
      <c r="V9" s="16">
        <v>67</v>
      </c>
      <c r="W9" s="16">
        <f t="shared" si="5"/>
        <v>49000</v>
      </c>
      <c r="X9" s="16">
        <f t="shared" si="6"/>
        <v>731.3432835820895</v>
      </c>
      <c r="Y9" s="18" t="s">
        <v>1915</v>
      </c>
      <c r="Z9" s="10" t="s">
        <v>35</v>
      </c>
      <c r="AA9" s="10" t="s">
        <v>35</v>
      </c>
      <c r="AB9" s="10" t="s">
        <v>1921</v>
      </c>
      <c r="AC9" s="10">
        <v>0</v>
      </c>
      <c r="AD9" s="10">
        <v>1</v>
      </c>
      <c r="AE9" s="10" t="s">
        <v>1928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1921</v>
      </c>
      <c r="B10" s="19" t="s">
        <v>1929</v>
      </c>
      <c r="C10" s="19" t="s">
        <v>1930</v>
      </c>
      <c r="D10" s="20">
        <v>45722</v>
      </c>
      <c r="E10" s="21">
        <v>260000</v>
      </c>
      <c r="F10" s="19" t="s">
        <v>32</v>
      </c>
      <c r="G10" s="19" t="s">
        <v>33</v>
      </c>
      <c r="H10" s="21">
        <v>260000</v>
      </c>
      <c r="I10" s="21">
        <v>106600</v>
      </c>
      <c r="J10" s="22">
        <f t="shared" si="0"/>
        <v>41</v>
      </c>
      <c r="K10" s="21">
        <v>240284</v>
      </c>
      <c r="L10" s="21">
        <f>H10-227163</f>
        <v>32837</v>
      </c>
      <c r="M10" s="21">
        <v>13121</v>
      </c>
      <c r="N10" s="67">
        <f t="shared" si="1"/>
        <v>5.0465384615384613E-2</v>
      </c>
      <c r="O10" s="23">
        <v>68.34</v>
      </c>
      <c r="P10" s="24">
        <v>234.09</v>
      </c>
      <c r="Q10" s="25">
        <v>0.36</v>
      </c>
      <c r="R10" s="25">
        <v>0.36</v>
      </c>
      <c r="S10" s="21">
        <f t="shared" si="2"/>
        <v>480.49458589405907</v>
      </c>
      <c r="T10" s="21">
        <f t="shared" si="3"/>
        <v>91213.888888888891</v>
      </c>
      <c r="U10" s="26">
        <f t="shared" si="4"/>
        <v>2.0939827568615446</v>
      </c>
      <c r="V10" s="25">
        <v>67</v>
      </c>
      <c r="W10" s="25">
        <f t="shared" si="5"/>
        <v>52000</v>
      </c>
      <c r="X10" s="25">
        <f t="shared" si="6"/>
        <v>776.11940298507466</v>
      </c>
      <c r="Y10" s="27" t="s">
        <v>1915</v>
      </c>
      <c r="Z10" s="19" t="s">
        <v>35</v>
      </c>
      <c r="AA10" s="19" t="s">
        <v>35</v>
      </c>
      <c r="AB10" s="19" t="s">
        <v>1921</v>
      </c>
      <c r="AC10" s="19">
        <v>0</v>
      </c>
      <c r="AD10" s="19">
        <v>1</v>
      </c>
      <c r="AE10" s="19" t="s">
        <v>42</v>
      </c>
      <c r="AF10" s="19" t="s">
        <v>35</v>
      </c>
      <c r="AG10" s="19" t="s">
        <v>38</v>
      </c>
      <c r="AH10" s="19" t="s">
        <v>92</v>
      </c>
    </row>
    <row r="11" spans="1:34" x14ac:dyDescent="0.3">
      <c r="A11" s="74" t="s">
        <v>1921</v>
      </c>
      <c r="B11" s="10" t="s">
        <v>1931</v>
      </c>
      <c r="C11" s="10" t="s">
        <v>1932</v>
      </c>
      <c r="D11" s="11">
        <v>45454</v>
      </c>
      <c r="E11" s="12">
        <v>160000</v>
      </c>
      <c r="F11" s="10" t="s">
        <v>32</v>
      </c>
      <c r="G11" s="10" t="s">
        <v>33</v>
      </c>
      <c r="H11" s="12">
        <v>160000</v>
      </c>
      <c r="I11" s="12">
        <v>68000</v>
      </c>
      <c r="J11" s="13">
        <f t="shared" si="0"/>
        <v>42.5</v>
      </c>
      <c r="K11" s="12">
        <v>157195</v>
      </c>
      <c r="L11" s="12">
        <f>H11-133628</f>
        <v>26372</v>
      </c>
      <c r="M11" s="12">
        <v>23567</v>
      </c>
      <c r="N11" s="66">
        <f t="shared" si="1"/>
        <v>0.14729375</v>
      </c>
      <c r="O11" s="14">
        <v>122.74</v>
      </c>
      <c r="P11" s="15">
        <v>227.88</v>
      </c>
      <c r="Q11" s="16">
        <v>0.63500000000000001</v>
      </c>
      <c r="R11" s="16">
        <v>0.63500000000000001</v>
      </c>
      <c r="S11" s="12">
        <f t="shared" si="2"/>
        <v>214.86068111455108</v>
      </c>
      <c r="T11" s="12">
        <f t="shared" si="3"/>
        <v>41530.708661417324</v>
      </c>
      <c r="U11" s="17">
        <f t="shared" si="4"/>
        <v>0.95341388111610015</v>
      </c>
      <c r="V11" s="16">
        <v>122.95</v>
      </c>
      <c r="W11" s="16">
        <f t="shared" si="5"/>
        <v>32000</v>
      </c>
      <c r="X11" s="16">
        <f t="shared" si="6"/>
        <v>260.26840178934526</v>
      </c>
      <c r="Y11" s="18" t="s">
        <v>1915</v>
      </c>
      <c r="Z11" s="10" t="s">
        <v>35</v>
      </c>
      <c r="AA11" s="10" t="s">
        <v>35</v>
      </c>
      <c r="AB11" s="10" t="s">
        <v>1921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1921</v>
      </c>
      <c r="B12" s="10" t="s">
        <v>1924</v>
      </c>
      <c r="C12" s="10" t="s">
        <v>1925</v>
      </c>
      <c r="D12" s="11">
        <v>45279</v>
      </c>
      <c r="E12" s="12">
        <v>159000</v>
      </c>
      <c r="F12" s="10" t="s">
        <v>32</v>
      </c>
      <c r="G12" s="10" t="s">
        <v>33</v>
      </c>
      <c r="H12" s="12">
        <v>159000</v>
      </c>
      <c r="I12" s="12">
        <v>63000</v>
      </c>
      <c r="J12" s="13">
        <f t="shared" si="0"/>
        <v>39.622641509433961</v>
      </c>
      <c r="K12" s="12">
        <v>157382</v>
      </c>
      <c r="L12" s="12">
        <f>H12-146835</f>
        <v>12165</v>
      </c>
      <c r="M12" s="12">
        <v>10547</v>
      </c>
      <c r="N12" s="66">
        <f t="shared" si="1"/>
        <v>6.6333333333333327E-2</v>
      </c>
      <c r="O12" s="14">
        <v>54.92</v>
      </c>
      <c r="P12" s="15">
        <v>188.58</v>
      </c>
      <c r="Q12" s="16">
        <v>0.26</v>
      </c>
      <c r="R12" s="16">
        <v>0.26</v>
      </c>
      <c r="S12" s="12">
        <f t="shared" si="2"/>
        <v>221.50400582665694</v>
      </c>
      <c r="T12" s="12">
        <f t="shared" si="3"/>
        <v>46788.461538461539</v>
      </c>
      <c r="U12" s="17">
        <f t="shared" si="4"/>
        <v>1.0741152786607333</v>
      </c>
      <c r="V12" s="16">
        <v>60</v>
      </c>
      <c r="W12" s="16">
        <f t="shared" si="5"/>
        <v>31800</v>
      </c>
      <c r="X12" s="16">
        <f t="shared" si="6"/>
        <v>530</v>
      </c>
      <c r="Y12" s="18" t="s">
        <v>1915</v>
      </c>
      <c r="Z12" s="10" t="s">
        <v>35</v>
      </c>
      <c r="AA12" s="10" t="s">
        <v>35</v>
      </c>
      <c r="AB12" s="10" t="s">
        <v>1921</v>
      </c>
      <c r="AC12" s="10">
        <v>0</v>
      </c>
      <c r="AD12" s="10">
        <v>1</v>
      </c>
      <c r="AE12" s="10" t="s">
        <v>42</v>
      </c>
      <c r="AF12" s="10" t="s">
        <v>43</v>
      </c>
      <c r="AG12" s="10" t="s">
        <v>38</v>
      </c>
      <c r="AH12" s="10" t="s">
        <v>92</v>
      </c>
    </row>
    <row r="13" spans="1:34" x14ac:dyDescent="0.3">
      <c r="A13" s="74" t="s">
        <v>1916</v>
      </c>
      <c r="B13" s="10" t="s">
        <v>1913</v>
      </c>
      <c r="C13" s="10" t="s">
        <v>1914</v>
      </c>
      <c r="D13" s="11">
        <v>45204</v>
      </c>
      <c r="E13" s="12">
        <v>190000</v>
      </c>
      <c r="F13" s="10" t="s">
        <v>32</v>
      </c>
      <c r="G13" s="10" t="s">
        <v>33</v>
      </c>
      <c r="H13" s="12">
        <v>190000</v>
      </c>
      <c r="I13" s="12">
        <v>72700</v>
      </c>
      <c r="J13" s="13">
        <f t="shared" si="0"/>
        <v>38.263157894736842</v>
      </c>
      <c r="K13" s="12">
        <v>187088</v>
      </c>
      <c r="L13" s="12">
        <f>H13-172070</f>
        <v>17930</v>
      </c>
      <c r="M13" s="12">
        <v>15018</v>
      </c>
      <c r="N13" s="66">
        <f t="shared" si="1"/>
        <v>7.90421052631579E-2</v>
      </c>
      <c r="O13" s="14">
        <v>78.22</v>
      </c>
      <c r="P13" s="15">
        <v>300.25</v>
      </c>
      <c r="Q13" s="16">
        <v>0.51500000000000001</v>
      </c>
      <c r="R13" s="16">
        <v>0.51500000000000001</v>
      </c>
      <c r="S13" s="12">
        <f t="shared" si="2"/>
        <v>229.22526208130913</v>
      </c>
      <c r="T13" s="12">
        <f t="shared" si="3"/>
        <v>34815.533980582521</v>
      </c>
      <c r="U13" s="17">
        <f t="shared" si="4"/>
        <v>0.79925468274982825</v>
      </c>
      <c r="V13" s="16">
        <v>83.3</v>
      </c>
      <c r="W13" s="16">
        <f t="shared" si="5"/>
        <v>38000</v>
      </c>
      <c r="X13" s="16">
        <f t="shared" si="6"/>
        <v>456.18247298919567</v>
      </c>
      <c r="Y13" s="18" t="s">
        <v>1915</v>
      </c>
      <c r="Z13" s="10" t="s">
        <v>35</v>
      </c>
      <c r="AA13" s="10" t="s">
        <v>35</v>
      </c>
      <c r="AB13" s="10" t="s">
        <v>1916</v>
      </c>
      <c r="AC13" s="10">
        <v>0</v>
      </c>
      <c r="AD13" s="10">
        <v>1</v>
      </c>
      <c r="AE13" s="10" t="s">
        <v>42</v>
      </c>
      <c r="AF13" s="10" t="s">
        <v>43</v>
      </c>
      <c r="AG13" s="10" t="s">
        <v>38</v>
      </c>
      <c r="AH13" s="10" t="s">
        <v>92</v>
      </c>
    </row>
    <row r="14" spans="1:34" x14ac:dyDescent="0.3">
      <c r="A14" s="74" t="s">
        <v>1921</v>
      </c>
      <c r="B14" s="10" t="s">
        <v>1926</v>
      </c>
      <c r="C14" s="10" t="s">
        <v>1927</v>
      </c>
      <c r="D14" s="11">
        <v>45387</v>
      </c>
      <c r="E14" s="12">
        <v>245000</v>
      </c>
      <c r="F14" s="10" t="s">
        <v>32</v>
      </c>
      <c r="G14" s="10" t="s">
        <v>33</v>
      </c>
      <c r="H14" s="12">
        <v>245000</v>
      </c>
      <c r="I14" s="12">
        <v>103600</v>
      </c>
      <c r="J14" s="13">
        <f t="shared" si="0"/>
        <v>42.285714285714285</v>
      </c>
      <c r="K14" s="12">
        <v>240627</v>
      </c>
      <c r="L14" s="12">
        <f>H14-227503</f>
        <v>17497</v>
      </c>
      <c r="M14" s="12">
        <v>13124</v>
      </c>
      <c r="N14" s="66">
        <f t="shared" si="1"/>
        <v>5.3567346938775511E-2</v>
      </c>
      <c r="O14" s="14">
        <v>68.349999999999994</v>
      </c>
      <c r="P14" s="15">
        <v>234.17</v>
      </c>
      <c r="Q14" s="16">
        <v>0.36</v>
      </c>
      <c r="R14" s="16">
        <v>0.36</v>
      </c>
      <c r="S14" s="12">
        <f t="shared" si="2"/>
        <v>255.99122165325534</v>
      </c>
      <c r="T14" s="12">
        <f t="shared" si="3"/>
        <v>48602.777777777781</v>
      </c>
      <c r="U14" s="17">
        <f t="shared" si="4"/>
        <v>1.1157662483420059</v>
      </c>
      <c r="V14" s="16">
        <v>67</v>
      </c>
      <c r="W14" s="16">
        <f t="shared" si="5"/>
        <v>49000</v>
      </c>
      <c r="X14" s="16">
        <f t="shared" si="6"/>
        <v>731.3432835820895</v>
      </c>
      <c r="Y14" s="18" t="s">
        <v>1915</v>
      </c>
      <c r="Z14" s="10" t="s">
        <v>35</v>
      </c>
      <c r="AA14" s="10" t="s">
        <v>35</v>
      </c>
      <c r="AB14" s="10" t="s">
        <v>1921</v>
      </c>
      <c r="AC14" s="10">
        <v>0</v>
      </c>
      <c r="AD14" s="10">
        <v>1</v>
      </c>
      <c r="AE14" s="10" t="s">
        <v>1928</v>
      </c>
      <c r="AF14" s="10" t="s">
        <v>43</v>
      </c>
      <c r="AG14" s="10" t="s">
        <v>38</v>
      </c>
      <c r="AH14" s="10" t="s">
        <v>92</v>
      </c>
    </row>
    <row r="15" spans="1:34" ht="15" thickBot="1" x14ac:dyDescent="0.35">
      <c r="A15" s="75" t="s">
        <v>1921</v>
      </c>
      <c r="B15" s="19" t="s">
        <v>1929</v>
      </c>
      <c r="C15" s="19" t="s">
        <v>1930</v>
      </c>
      <c r="D15" s="20">
        <v>45722</v>
      </c>
      <c r="E15" s="21">
        <v>260000</v>
      </c>
      <c r="F15" s="19" t="s">
        <v>32</v>
      </c>
      <c r="G15" s="19" t="s">
        <v>33</v>
      </c>
      <c r="H15" s="21">
        <v>260000</v>
      </c>
      <c r="I15" s="21">
        <v>106600</v>
      </c>
      <c r="J15" s="22">
        <f t="shared" si="0"/>
        <v>41</v>
      </c>
      <c r="K15" s="21">
        <v>240284</v>
      </c>
      <c r="L15" s="21">
        <f>H15-227163</f>
        <v>32837</v>
      </c>
      <c r="M15" s="21">
        <v>13121</v>
      </c>
      <c r="N15" s="67">
        <f t="shared" si="1"/>
        <v>5.0465384615384613E-2</v>
      </c>
      <c r="O15" s="23">
        <v>68.34</v>
      </c>
      <c r="P15" s="24">
        <v>234.09</v>
      </c>
      <c r="Q15" s="25">
        <v>0.36</v>
      </c>
      <c r="R15" s="25">
        <v>0.36</v>
      </c>
      <c r="S15" s="21">
        <f t="shared" si="2"/>
        <v>480.49458589405907</v>
      </c>
      <c r="T15" s="21">
        <f t="shared" si="3"/>
        <v>91213.888888888891</v>
      </c>
      <c r="U15" s="26">
        <f t="shared" si="4"/>
        <v>2.0939827568615446</v>
      </c>
      <c r="V15" s="25">
        <v>67</v>
      </c>
      <c r="W15" s="25">
        <f t="shared" si="5"/>
        <v>52000</v>
      </c>
      <c r="X15" s="25">
        <f t="shared" si="6"/>
        <v>776.11940298507466</v>
      </c>
      <c r="Y15" s="27" t="s">
        <v>1915</v>
      </c>
      <c r="Z15" s="19" t="s">
        <v>35</v>
      </c>
      <c r="AA15" s="19" t="s">
        <v>35</v>
      </c>
      <c r="AB15" s="19" t="s">
        <v>1921</v>
      </c>
      <c r="AC15" s="19">
        <v>0</v>
      </c>
      <c r="AD15" s="19">
        <v>1</v>
      </c>
      <c r="AE15" s="19" t="s">
        <v>42</v>
      </c>
      <c r="AF15" s="19" t="s">
        <v>35</v>
      </c>
      <c r="AG15" s="19" t="s">
        <v>38</v>
      </c>
      <c r="AH15" s="19" t="s">
        <v>92</v>
      </c>
    </row>
    <row r="16" spans="1:34" ht="15" thickTop="1" x14ac:dyDescent="0.3">
      <c r="A16" s="76"/>
      <c r="B16" s="37"/>
      <c r="C16" s="37"/>
      <c r="D16" s="38" t="s">
        <v>2876</v>
      </c>
      <c r="E16" s="39">
        <f>+SUM(E2:E15)</f>
        <v>2847800</v>
      </c>
      <c r="F16" s="37"/>
      <c r="G16" s="37"/>
      <c r="H16" s="39">
        <f>+SUM(H2:H15)</f>
        <v>2847800</v>
      </c>
      <c r="I16" s="39">
        <f>+SUM(I2:I15)</f>
        <v>1166200</v>
      </c>
      <c r="J16" s="40"/>
      <c r="K16" s="39">
        <f>+SUM(K2:K15)</f>
        <v>2799688</v>
      </c>
      <c r="L16" s="39">
        <f>+SUM(L2:L15)</f>
        <v>249400</v>
      </c>
      <c r="M16" s="39">
        <f>+SUM(M2:M15)</f>
        <v>201288</v>
      </c>
      <c r="N16" s="81">
        <f>AVERAGE(N2:N15)</f>
        <v>7.4568139053221891E-2</v>
      </c>
      <c r="O16" s="41">
        <f>+SUM(O2:O15)</f>
        <v>1048.3200000000002</v>
      </c>
      <c r="P16" s="42"/>
      <c r="Q16" s="43">
        <f>+SUM(Q2:Q15)</f>
        <v>5.6680000000000001</v>
      </c>
      <c r="R16" s="43">
        <f>+SUM(R2:R15)</f>
        <v>5.6680000000000001</v>
      </c>
      <c r="S16" s="39"/>
      <c r="T16" s="39"/>
      <c r="U16" s="44"/>
      <c r="V16" s="43"/>
      <c r="W16" s="82">
        <f>AVERAGE(W2:W15)</f>
        <v>40682.857142857145</v>
      </c>
      <c r="X16" s="83">
        <f>AVERAGE(X2:X15)</f>
        <v>576.91515695130545</v>
      </c>
      <c r="Y16" s="45"/>
      <c r="Z16" s="37"/>
      <c r="AA16" s="37"/>
      <c r="AB16" s="37"/>
      <c r="AC16" s="37"/>
      <c r="AD16" s="37"/>
      <c r="AE16" s="37"/>
      <c r="AF16" s="37"/>
      <c r="AG16" s="37"/>
      <c r="AH16" s="37"/>
    </row>
    <row r="17" spans="1:34" x14ac:dyDescent="0.3">
      <c r="A17" s="77"/>
      <c r="B17" s="28"/>
      <c r="C17" s="28"/>
      <c r="D17" s="29"/>
      <c r="E17" s="30"/>
      <c r="F17" s="28"/>
      <c r="G17" s="28"/>
      <c r="H17" s="30"/>
      <c r="I17" s="30" t="s">
        <v>2877</v>
      </c>
      <c r="J17" s="31">
        <f>I16/H16*100</f>
        <v>40.950909473979912</v>
      </c>
      <c r="K17" s="30"/>
      <c r="L17" s="30"/>
      <c r="M17" s="30" t="s">
        <v>2879</v>
      </c>
      <c r="N17" s="79"/>
      <c r="O17" s="32"/>
      <c r="P17" s="33"/>
      <c r="Q17" s="34" t="s">
        <v>2879</v>
      </c>
      <c r="R17" s="34"/>
      <c r="S17" s="30"/>
      <c r="T17" s="30" t="s">
        <v>2879</v>
      </c>
      <c r="U17" s="35"/>
      <c r="V17" s="34"/>
      <c r="W17" s="63"/>
      <c r="X17" s="68"/>
      <c r="Y17" s="36"/>
      <c r="Z17" s="28"/>
      <c r="AA17" s="28"/>
      <c r="AB17" s="28"/>
      <c r="AC17" s="28"/>
      <c r="AD17" s="28"/>
      <c r="AE17" s="28"/>
      <c r="AF17" s="28"/>
      <c r="AG17" s="28"/>
      <c r="AH17" s="28"/>
    </row>
    <row r="18" spans="1:34" x14ac:dyDescent="0.3">
      <c r="A18" s="78"/>
      <c r="B18" s="46"/>
      <c r="C18" s="46"/>
      <c r="D18" s="47"/>
      <c r="E18" s="48"/>
      <c r="F18" s="46"/>
      <c r="G18" s="46"/>
      <c r="H18" s="48"/>
      <c r="I18" s="48" t="s">
        <v>2878</v>
      </c>
      <c r="J18" s="49">
        <f>STDEV(J2:J15)</f>
        <v>1.6760161807845555</v>
      </c>
      <c r="K18" s="48"/>
      <c r="L18" s="48"/>
      <c r="M18" s="48" t="s">
        <v>2880</v>
      </c>
      <c r="N18" s="80"/>
      <c r="O18" s="54">
        <f>L16/O16</f>
        <v>237.90445665445662</v>
      </c>
      <c r="P18" s="50"/>
      <c r="Q18" s="51" t="s">
        <v>2881</v>
      </c>
      <c r="R18" s="51">
        <f>L16/Q16</f>
        <v>44001.411432604094</v>
      </c>
      <c r="S18" s="48"/>
      <c r="T18" s="48" t="s">
        <v>2882</v>
      </c>
      <c r="U18" s="52">
        <f>L16/Q16/43560</f>
        <v>1.0101334121350802</v>
      </c>
      <c r="V18" s="51"/>
      <c r="W18" s="64"/>
      <c r="X18" s="69"/>
      <c r="Y18" s="53"/>
      <c r="Z18" s="46"/>
      <c r="AA18" s="46"/>
      <c r="AB18" s="46"/>
      <c r="AC18" s="46"/>
      <c r="AD18" s="46"/>
      <c r="AE18" s="46"/>
      <c r="AF18" s="46"/>
      <c r="AG18" s="46"/>
      <c r="AH18" s="46"/>
    </row>
    <row r="19" spans="1:34" x14ac:dyDescent="0.3">
      <c r="E19" s="94" t="s">
        <v>3099</v>
      </c>
      <c r="L19" s="95"/>
    </row>
    <row r="20" spans="1:34" x14ac:dyDescent="0.3">
      <c r="E20" s="383" t="s">
        <v>3163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3164</v>
      </c>
      <c r="F21" s="383"/>
      <c r="G21" s="383"/>
      <c r="H21" s="383"/>
      <c r="I21" s="383"/>
      <c r="J21" s="383"/>
      <c r="K21" s="383"/>
      <c r="L21" s="383"/>
    </row>
    <row r="22" spans="1:34" x14ac:dyDescent="0.3">
      <c r="E22" s="383" t="s">
        <v>3165</v>
      </c>
      <c r="F22" s="383"/>
      <c r="G22" s="383"/>
      <c r="H22" s="383"/>
      <c r="I22" s="383"/>
      <c r="J22" s="383"/>
      <c r="K22" s="383"/>
      <c r="L22" s="383"/>
    </row>
    <row r="23" spans="1:34" x14ac:dyDescent="0.3">
      <c r="E23" s="383" t="s">
        <v>3166</v>
      </c>
      <c r="F23" s="383"/>
      <c r="G23" s="383"/>
      <c r="H23" s="383"/>
      <c r="I23" s="383"/>
      <c r="J23" s="96"/>
      <c r="K23" s="96"/>
      <c r="L23" s="96"/>
    </row>
    <row r="24" spans="1:34" x14ac:dyDescent="0.3">
      <c r="E24" s="383" t="s">
        <v>3167</v>
      </c>
      <c r="F24" s="383"/>
      <c r="G24" s="383"/>
      <c r="H24" s="383"/>
      <c r="I24" s="383"/>
      <c r="L24" s="95"/>
    </row>
    <row r="25" spans="1:34" x14ac:dyDescent="0.3">
      <c r="E25" s="383" t="s">
        <v>3100</v>
      </c>
      <c r="F25" s="383"/>
      <c r="G25" s="383"/>
      <c r="H25" s="383"/>
      <c r="I25" s="383"/>
      <c r="L25" s="95"/>
    </row>
    <row r="26" spans="1:34" x14ac:dyDescent="0.3">
      <c r="E26" s="96"/>
      <c r="F26" s="96"/>
      <c r="G26" s="96"/>
      <c r="H26" s="96"/>
      <c r="I26" s="96"/>
      <c r="L26" s="95"/>
    </row>
    <row r="27" spans="1:34" x14ac:dyDescent="0.3">
      <c r="A27" s="55" t="s">
        <v>3092</v>
      </c>
      <c r="E27" s="96"/>
      <c r="F27" s="96"/>
      <c r="G27" s="96"/>
      <c r="H27" s="96"/>
      <c r="I27" s="96"/>
      <c r="L27" s="95"/>
    </row>
    <row r="28" spans="1:34" x14ac:dyDescent="0.3">
      <c r="A28" s="74" t="s">
        <v>1916</v>
      </c>
      <c r="B28" s="10" t="s">
        <v>1917</v>
      </c>
      <c r="C28" s="10" t="s">
        <v>1918</v>
      </c>
      <c r="D28" s="11">
        <v>45679</v>
      </c>
      <c r="E28" s="12">
        <v>255000</v>
      </c>
      <c r="F28" s="10" t="s">
        <v>32</v>
      </c>
      <c r="G28" s="10" t="s">
        <v>33</v>
      </c>
      <c r="H28" s="12">
        <v>255000</v>
      </c>
      <c r="I28" s="12">
        <v>138100</v>
      </c>
      <c r="J28" s="13">
        <f>I28/H28*100</f>
        <v>54.156862745098046</v>
      </c>
      <c r="K28" s="12">
        <v>313327</v>
      </c>
      <c r="L28" s="12">
        <f>H28-300548</f>
        <v>-45548</v>
      </c>
      <c r="M28" s="12">
        <v>12779</v>
      </c>
      <c r="N28" s="66">
        <f>M28/E28</f>
        <v>5.0113725490196076E-2</v>
      </c>
      <c r="O28" s="14">
        <v>66.55</v>
      </c>
      <c r="P28" s="15">
        <v>300</v>
      </c>
      <c r="Q28" s="16">
        <v>0.45500000000000002</v>
      </c>
      <c r="R28" s="16">
        <v>0.45500000000000002</v>
      </c>
      <c r="S28" s="12">
        <f>L28/O28</f>
        <v>-684.41773102930131</v>
      </c>
      <c r="T28" s="12">
        <f>L28/Q28</f>
        <v>-100105.4945054945</v>
      </c>
      <c r="U28" s="17">
        <f>L28/Q28/43560</f>
        <v>-2.2981059344695707</v>
      </c>
      <c r="V28" s="16">
        <v>66</v>
      </c>
      <c r="W28" s="16">
        <f>0.2*E28</f>
        <v>51000</v>
      </c>
      <c r="X28" s="16">
        <f>W28/V28</f>
        <v>772.72727272727275</v>
      </c>
      <c r="Y28" s="18" t="s">
        <v>1915</v>
      </c>
      <c r="Z28" s="10" t="s">
        <v>35</v>
      </c>
      <c r="AA28" s="10" t="s">
        <v>35</v>
      </c>
      <c r="AB28" s="10" t="s">
        <v>1916</v>
      </c>
      <c r="AC28" s="10">
        <v>0</v>
      </c>
      <c r="AD28" s="10">
        <v>1</v>
      </c>
      <c r="AE28" s="10" t="s">
        <v>42</v>
      </c>
      <c r="AF28" s="10" t="s">
        <v>35</v>
      </c>
      <c r="AG28" s="10" t="s">
        <v>38</v>
      </c>
      <c r="AH28" s="10" t="s">
        <v>92</v>
      </c>
    </row>
    <row r="29" spans="1:34" x14ac:dyDescent="0.3">
      <c r="A29" s="75" t="s">
        <v>1921</v>
      </c>
      <c r="B29" s="19" t="s">
        <v>1922</v>
      </c>
      <c r="C29" s="19" t="s">
        <v>1923</v>
      </c>
      <c r="D29" s="20">
        <v>45391</v>
      </c>
      <c r="E29" s="21">
        <v>335000</v>
      </c>
      <c r="F29" s="19" t="s">
        <v>32</v>
      </c>
      <c r="G29" s="19" t="s">
        <v>33</v>
      </c>
      <c r="H29" s="21">
        <v>335000</v>
      </c>
      <c r="I29" s="21">
        <v>163800</v>
      </c>
      <c r="J29" s="22">
        <f>I29/H29*100</f>
        <v>48.895522388059703</v>
      </c>
      <c r="K29" s="21">
        <v>374447</v>
      </c>
      <c r="L29" s="21">
        <f>H29-361328</f>
        <v>-26328</v>
      </c>
      <c r="M29" s="21">
        <v>13119</v>
      </c>
      <c r="N29" s="67">
        <f>M29/E29</f>
        <v>3.9161194029850743E-2</v>
      </c>
      <c r="O29" s="23">
        <v>68.319999999999993</v>
      </c>
      <c r="P29" s="24">
        <v>179.14</v>
      </c>
      <c r="Q29" s="25">
        <v>0.31</v>
      </c>
      <c r="R29" s="25">
        <v>0.31</v>
      </c>
      <c r="S29" s="21">
        <f>L29/O29</f>
        <v>-385.36299765807968</v>
      </c>
      <c r="T29" s="21">
        <f>L29/Q29</f>
        <v>-84929.032258064515</v>
      </c>
      <c r="U29" s="26">
        <f>L29/Q29/43560</f>
        <v>-1.94970230160846</v>
      </c>
      <c r="V29" s="25">
        <v>78.84</v>
      </c>
      <c r="W29" s="25">
        <f>0.2*E29</f>
        <v>67000</v>
      </c>
      <c r="X29" s="25">
        <f>W29/V29</f>
        <v>849.82242516489089</v>
      </c>
      <c r="Y29" s="27" t="s">
        <v>1915</v>
      </c>
      <c r="Z29" s="19" t="s">
        <v>35</v>
      </c>
      <c r="AA29" s="19" t="s">
        <v>35</v>
      </c>
      <c r="AB29" s="19" t="s">
        <v>1921</v>
      </c>
      <c r="AC29" s="19">
        <v>0</v>
      </c>
      <c r="AD29" s="19">
        <v>1</v>
      </c>
      <c r="AE29" s="19" t="s">
        <v>1825</v>
      </c>
      <c r="AF29" s="19" t="s">
        <v>43</v>
      </c>
      <c r="AG29" s="19" t="s">
        <v>38</v>
      </c>
      <c r="AH29" s="19" t="s">
        <v>92</v>
      </c>
    </row>
    <row r="30" spans="1:34" x14ac:dyDescent="0.3">
      <c r="A30" s="74" t="s">
        <v>2017</v>
      </c>
      <c r="B30" s="10" t="s">
        <v>2018</v>
      </c>
      <c r="C30" s="10" t="s">
        <v>2019</v>
      </c>
      <c r="D30" s="11">
        <v>45336</v>
      </c>
      <c r="E30" s="12">
        <v>140000</v>
      </c>
      <c r="F30" s="10" t="s">
        <v>32</v>
      </c>
      <c r="G30" s="10" t="s">
        <v>33</v>
      </c>
      <c r="H30" s="12">
        <v>140000</v>
      </c>
      <c r="I30" s="12">
        <v>65100</v>
      </c>
      <c r="J30" s="13">
        <f>I30/H30*100</f>
        <v>46.5</v>
      </c>
      <c r="K30" s="12">
        <v>182602</v>
      </c>
      <c r="L30" s="12">
        <f>H30-171379</f>
        <v>-31379</v>
      </c>
      <c r="M30" s="12">
        <v>11223</v>
      </c>
      <c r="N30" s="66">
        <f>M30/E30</f>
        <v>8.0164285714285716E-2</v>
      </c>
      <c r="O30" s="14">
        <v>85.01</v>
      </c>
      <c r="P30" s="15">
        <v>116.34</v>
      </c>
      <c r="Q30" s="16">
        <v>0.21</v>
      </c>
      <c r="R30" s="16">
        <v>0.21</v>
      </c>
      <c r="S30" s="12">
        <f>L30/O30</f>
        <v>-369.12127984942947</v>
      </c>
      <c r="T30" s="12">
        <f>L30/Q30</f>
        <v>-149423.80952380953</v>
      </c>
      <c r="U30" s="17">
        <f>L30/Q30/43560</f>
        <v>-3.430298657571385</v>
      </c>
      <c r="V30" s="16">
        <v>79.53</v>
      </c>
      <c r="W30" s="16">
        <f>0.2*E30</f>
        <v>28000</v>
      </c>
      <c r="X30" s="16">
        <f>W30/V30</f>
        <v>352.06840186093297</v>
      </c>
      <c r="Y30" s="18" t="s">
        <v>2016</v>
      </c>
      <c r="Z30" s="10" t="s">
        <v>35</v>
      </c>
      <c r="AA30" s="10" t="s">
        <v>35</v>
      </c>
      <c r="AB30" s="10" t="s">
        <v>2017</v>
      </c>
      <c r="AC30" s="10">
        <v>0</v>
      </c>
      <c r="AD30" s="10">
        <v>1</v>
      </c>
      <c r="AE30" s="10" t="s">
        <v>205</v>
      </c>
      <c r="AF30" s="10" t="s">
        <v>43</v>
      </c>
      <c r="AG30" s="10" t="s">
        <v>38</v>
      </c>
      <c r="AH30" s="10" t="s">
        <v>1830</v>
      </c>
    </row>
    <row r="31" spans="1:34" x14ac:dyDescent="0.3">
      <c r="A31" s="75" t="s">
        <v>2017</v>
      </c>
      <c r="B31" s="19" t="s">
        <v>2020</v>
      </c>
      <c r="C31" s="19" t="s">
        <v>2021</v>
      </c>
      <c r="D31" s="20">
        <v>45048</v>
      </c>
      <c r="E31" s="21">
        <v>163000</v>
      </c>
      <c r="F31" s="19" t="s">
        <v>32</v>
      </c>
      <c r="G31" s="19" t="s">
        <v>33</v>
      </c>
      <c r="H31" s="21">
        <v>163000</v>
      </c>
      <c r="I31" s="21">
        <v>75200</v>
      </c>
      <c r="J31" s="22">
        <f>I31/H31*100</f>
        <v>46.134969325153378</v>
      </c>
      <c r="K31" s="21">
        <v>200244</v>
      </c>
      <c r="L31" s="21">
        <f>H31-190106</f>
        <v>-27106</v>
      </c>
      <c r="M31" s="21">
        <v>10138</v>
      </c>
      <c r="N31" s="67">
        <f>M31/E31</f>
        <v>6.2196319018404909E-2</v>
      </c>
      <c r="O31" s="23">
        <v>76.8</v>
      </c>
      <c r="P31" s="24">
        <v>112.79</v>
      </c>
      <c r="Q31" s="25">
        <v>0.25</v>
      </c>
      <c r="R31" s="25">
        <v>0.221</v>
      </c>
      <c r="S31" s="21">
        <f>L31/O31</f>
        <v>-352.94270833333337</v>
      </c>
      <c r="T31" s="21">
        <f>L31/Q31</f>
        <v>-108424</v>
      </c>
      <c r="U31" s="26">
        <f>L31/Q31/43560</f>
        <v>-2.4890725436179983</v>
      </c>
      <c r="V31" s="25">
        <v>46.48</v>
      </c>
      <c r="W31" s="25">
        <f>0.2*E31</f>
        <v>32600</v>
      </c>
      <c r="X31" s="25">
        <f>W31/V31</f>
        <v>701.37693631669538</v>
      </c>
      <c r="Y31" s="27" t="s">
        <v>2016</v>
      </c>
      <c r="Z31" s="19" t="s">
        <v>35</v>
      </c>
      <c r="AA31" s="19" t="s">
        <v>35</v>
      </c>
      <c r="AB31" s="19" t="s">
        <v>2017</v>
      </c>
      <c r="AC31" s="19">
        <v>0</v>
      </c>
      <c r="AD31" s="19">
        <v>1</v>
      </c>
      <c r="AE31" s="19" t="s">
        <v>42</v>
      </c>
      <c r="AF31" s="19" t="s">
        <v>43</v>
      </c>
      <c r="AG31" s="19" t="s">
        <v>38</v>
      </c>
      <c r="AH31" s="19" t="s">
        <v>1830</v>
      </c>
    </row>
    <row r="32" spans="1:34" x14ac:dyDescent="0.3">
      <c r="A32" s="74" t="s">
        <v>2017</v>
      </c>
      <c r="B32" s="10" t="s">
        <v>2014</v>
      </c>
      <c r="C32" s="10" t="s">
        <v>2015</v>
      </c>
      <c r="D32" s="11">
        <v>45715</v>
      </c>
      <c r="E32" s="12">
        <v>120000</v>
      </c>
      <c r="F32" s="10" t="s">
        <v>32</v>
      </c>
      <c r="G32" s="10" t="s">
        <v>33</v>
      </c>
      <c r="H32" s="12">
        <v>120000</v>
      </c>
      <c r="I32" s="12">
        <v>65700</v>
      </c>
      <c r="J32" s="13">
        <f>I32/H32*100</f>
        <v>54.75</v>
      </c>
      <c r="K32" s="12">
        <v>150136</v>
      </c>
      <c r="L32" s="12">
        <f>H32-139922</f>
        <v>-19922</v>
      </c>
      <c r="M32" s="12">
        <v>10214</v>
      </c>
      <c r="N32" s="66">
        <f>M32/E32</f>
        <v>8.511666666666666E-2</v>
      </c>
      <c r="O32" s="14">
        <v>77.38</v>
      </c>
      <c r="P32" s="15">
        <v>131.07</v>
      </c>
      <c r="Q32" s="16">
        <v>0.20300000000000001</v>
      </c>
      <c r="R32" s="16">
        <v>0.20300000000000001</v>
      </c>
      <c r="S32" s="12">
        <f>L32/O32</f>
        <v>-257.45670715947273</v>
      </c>
      <c r="T32" s="12">
        <f>L32/Q32</f>
        <v>-98137.931034482754</v>
      </c>
      <c r="U32" s="17">
        <f>L32/Q32/43560</f>
        <v>-2.2529368924353248</v>
      </c>
      <c r="V32" s="16">
        <v>67.59</v>
      </c>
      <c r="W32" s="16">
        <f>0.2*E32</f>
        <v>24000</v>
      </c>
      <c r="X32" s="16">
        <f>W32/V32</f>
        <v>355.0821127385708</v>
      </c>
      <c r="Y32" s="18" t="s">
        <v>2016</v>
      </c>
      <c r="Z32" s="10" t="s">
        <v>35</v>
      </c>
      <c r="AA32" s="10" t="s">
        <v>35</v>
      </c>
      <c r="AB32" s="10" t="s">
        <v>2017</v>
      </c>
      <c r="AC32" s="10">
        <v>0</v>
      </c>
      <c r="AD32" s="10">
        <v>1</v>
      </c>
      <c r="AE32" s="10" t="s">
        <v>42</v>
      </c>
      <c r="AF32" s="10" t="s">
        <v>35</v>
      </c>
      <c r="AG32" s="10" t="s">
        <v>38</v>
      </c>
      <c r="AH32" s="10" t="s">
        <v>1830</v>
      </c>
    </row>
    <row r="35" spans="1:1" x14ac:dyDescent="0.3">
      <c r="A35" s="92" t="s">
        <v>3103</v>
      </c>
    </row>
  </sheetData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4">
    <tabColor rgb="FF00B050"/>
  </sheetPr>
  <dimension ref="A1:AH1333"/>
  <sheetViews>
    <sheetView workbookViewId="0">
      <selection activeCell="B7" sqref="B7:J13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N6"/>
      <c r="W6"/>
      <c r="X6"/>
    </row>
    <row r="7" spans="1:24" x14ac:dyDescent="0.3">
      <c r="A7"/>
      <c r="C7" s="94" t="s">
        <v>3099</v>
      </c>
      <c r="J7" s="95"/>
      <c r="N7"/>
      <c r="W7"/>
      <c r="X7"/>
    </row>
    <row r="8" spans="1:24" x14ac:dyDescent="0.3">
      <c r="A8"/>
      <c r="C8" s="383" t="s">
        <v>3163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3164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3165</v>
      </c>
      <c r="D10" s="383"/>
      <c r="E10" s="383"/>
      <c r="F10" s="383"/>
      <c r="G10" s="383"/>
      <c r="H10" s="383"/>
      <c r="I10" s="383"/>
      <c r="J10" s="383"/>
      <c r="N10"/>
      <c r="W10"/>
      <c r="X10"/>
    </row>
    <row r="11" spans="1:24" x14ac:dyDescent="0.3">
      <c r="A11"/>
      <c r="C11" s="383" t="s">
        <v>3166</v>
      </c>
      <c r="D11" s="383"/>
      <c r="E11" s="383"/>
      <c r="F11" s="383"/>
      <c r="G11" s="383"/>
      <c r="H11" s="96"/>
      <c r="I11" s="96"/>
      <c r="J11" s="96"/>
      <c r="N11"/>
      <c r="W11"/>
      <c r="X11"/>
    </row>
    <row r="12" spans="1:24" x14ac:dyDescent="0.3">
      <c r="A12"/>
      <c r="C12" s="383" t="s">
        <v>3167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C13" s="383" t="s">
        <v>3100</v>
      </c>
      <c r="D13" s="383"/>
      <c r="E13" s="383"/>
      <c r="F13" s="383"/>
      <c r="G13" s="383"/>
      <c r="J13" s="95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7">
    <tabColor rgb="FF00B050"/>
  </sheetPr>
  <dimension ref="A1:AH38"/>
  <sheetViews>
    <sheetView workbookViewId="0">
      <selection activeCell="E17" sqref="E17"/>
    </sheetView>
  </sheetViews>
  <sheetFormatPr defaultRowHeight="14.4" x14ac:dyDescent="0.3"/>
  <cols>
    <col min="1" max="1" width="10.44140625" style="55" customWidth="1" collapsed="1"/>
    <col min="2" max="2" width="16.88671875" bestFit="1" customWidth="1" collapsed="1"/>
    <col min="3" max="3" width="15.6640625" bestFit="1" customWidth="1" collapsed="1"/>
    <col min="4" max="4" width="10.6640625" bestFit="1" customWidth="1" collapsed="1"/>
    <col min="5" max="5" width="13.44140625" bestFit="1" customWidth="1" collapsed="1"/>
    <col min="6" max="6" width="5.5546875" bestFit="1" customWidth="1" collapsed="1"/>
    <col min="7" max="7" width="23.109375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36</v>
      </c>
      <c r="B2" s="10" t="s">
        <v>167</v>
      </c>
      <c r="C2" s="10" t="s">
        <v>168</v>
      </c>
      <c r="D2" s="11">
        <v>45519</v>
      </c>
      <c r="E2" s="12">
        <v>160000</v>
      </c>
      <c r="F2" s="10" t="s">
        <v>32</v>
      </c>
      <c r="G2" s="10" t="s">
        <v>33</v>
      </c>
      <c r="H2" s="12">
        <v>160000</v>
      </c>
      <c r="I2" s="12">
        <v>62700</v>
      </c>
      <c r="J2" s="13">
        <f t="shared" ref="J2:J13" si="0">I2/H2*100</f>
        <v>39.1875</v>
      </c>
      <c r="K2" s="12">
        <v>153970</v>
      </c>
      <c r="L2" s="12">
        <f>H2-146181</f>
        <v>13819</v>
      </c>
      <c r="M2" s="12">
        <v>7789</v>
      </c>
      <c r="N2" s="66">
        <f t="shared" ref="N2:N13" si="1">M2/E2</f>
        <v>4.8681250000000002E-2</v>
      </c>
      <c r="O2" s="14">
        <v>42.1</v>
      </c>
      <c r="P2" s="15">
        <v>138.5</v>
      </c>
      <c r="Q2" s="16">
        <v>0.127</v>
      </c>
      <c r="R2" s="16">
        <v>0.127</v>
      </c>
      <c r="S2" s="12">
        <f t="shared" ref="S2:S13" si="2">L2/O2</f>
        <v>328.24228028503563</v>
      </c>
      <c r="T2" s="12">
        <f t="shared" ref="T2:T13" si="3">L2/Q2</f>
        <v>108811.02362204724</v>
      </c>
      <c r="U2" s="17">
        <f t="shared" ref="U2:U13" si="4">L2/Q2/43560</f>
        <v>2.4979573834262454</v>
      </c>
      <c r="V2" s="16">
        <v>40</v>
      </c>
      <c r="W2" s="16">
        <f t="shared" ref="W2:W13" si="5">0.2*E2</f>
        <v>32000</v>
      </c>
      <c r="X2" s="16">
        <f t="shared" ref="X2:X13" si="6">W2/V2</f>
        <v>800</v>
      </c>
      <c r="Y2" s="18" t="s">
        <v>34</v>
      </c>
      <c r="Z2" s="10" t="s">
        <v>35</v>
      </c>
      <c r="AA2" s="10" t="s">
        <v>35</v>
      </c>
      <c r="AB2" s="10" t="s">
        <v>36</v>
      </c>
      <c r="AC2" s="10">
        <v>0</v>
      </c>
      <c r="AD2" s="10">
        <v>0</v>
      </c>
      <c r="AE2" s="10" t="s">
        <v>37</v>
      </c>
      <c r="AF2" s="10" t="s">
        <v>43</v>
      </c>
      <c r="AG2" s="10" t="s">
        <v>38</v>
      </c>
      <c r="AH2" s="10" t="s">
        <v>39</v>
      </c>
    </row>
    <row r="3" spans="1:34" x14ac:dyDescent="0.3">
      <c r="A3" s="75" t="s">
        <v>36</v>
      </c>
      <c r="B3" s="19" t="s">
        <v>77</v>
      </c>
      <c r="C3" s="19" t="s">
        <v>78</v>
      </c>
      <c r="D3" s="20">
        <v>45482</v>
      </c>
      <c r="E3" s="21">
        <v>120000</v>
      </c>
      <c r="F3" s="19" t="s">
        <v>32</v>
      </c>
      <c r="G3" s="19" t="s">
        <v>33</v>
      </c>
      <c r="H3" s="21">
        <v>120000</v>
      </c>
      <c r="I3" s="21">
        <v>46300</v>
      </c>
      <c r="J3" s="22">
        <f t="shared" si="0"/>
        <v>38.583333333333329</v>
      </c>
      <c r="K3" s="21">
        <v>112375</v>
      </c>
      <c r="L3" s="21">
        <f>H3-102762</f>
        <v>17238</v>
      </c>
      <c r="M3" s="21">
        <v>9613</v>
      </c>
      <c r="N3" s="67">
        <f t="shared" si="1"/>
        <v>8.0108333333333337E-2</v>
      </c>
      <c r="O3" s="23">
        <v>51.96</v>
      </c>
      <c r="P3" s="24">
        <v>135</v>
      </c>
      <c r="Q3" s="25">
        <v>0.155</v>
      </c>
      <c r="R3" s="25">
        <v>0.155</v>
      </c>
      <c r="S3" s="21">
        <f t="shared" si="2"/>
        <v>331.7551963048499</v>
      </c>
      <c r="T3" s="21">
        <f t="shared" si="3"/>
        <v>111212.90322580645</v>
      </c>
      <c r="U3" s="26">
        <f t="shared" si="4"/>
        <v>2.5530969519239313</v>
      </c>
      <c r="V3" s="25">
        <v>50</v>
      </c>
      <c r="W3" s="25">
        <f t="shared" si="5"/>
        <v>24000</v>
      </c>
      <c r="X3" s="25">
        <f t="shared" si="6"/>
        <v>480</v>
      </c>
      <c r="Y3" s="27" t="s">
        <v>34</v>
      </c>
      <c r="Z3" s="19" t="s">
        <v>35</v>
      </c>
      <c r="AA3" s="19" t="s">
        <v>35</v>
      </c>
      <c r="AB3" s="19" t="s">
        <v>36</v>
      </c>
      <c r="AC3" s="19">
        <v>0</v>
      </c>
      <c r="AD3" s="19">
        <v>0</v>
      </c>
      <c r="AE3" s="19" t="s">
        <v>37</v>
      </c>
      <c r="AF3" s="19" t="s">
        <v>43</v>
      </c>
      <c r="AG3" s="19" t="s">
        <v>38</v>
      </c>
      <c r="AH3" s="19" t="s">
        <v>39</v>
      </c>
    </row>
    <row r="4" spans="1:34" x14ac:dyDescent="0.3">
      <c r="A4" s="75" t="s">
        <v>36</v>
      </c>
      <c r="B4" s="19" t="s">
        <v>86</v>
      </c>
      <c r="C4" s="19" t="s">
        <v>87</v>
      </c>
      <c r="D4" s="20">
        <v>45120</v>
      </c>
      <c r="E4" s="21">
        <v>120000</v>
      </c>
      <c r="F4" s="19" t="s">
        <v>32</v>
      </c>
      <c r="G4" s="19" t="s">
        <v>33</v>
      </c>
      <c r="H4" s="21">
        <v>120000</v>
      </c>
      <c r="I4" s="21">
        <v>38300</v>
      </c>
      <c r="J4" s="22">
        <f t="shared" si="0"/>
        <v>31.916666666666664</v>
      </c>
      <c r="K4" s="21">
        <v>111545</v>
      </c>
      <c r="L4" s="21">
        <f>H4-102673</f>
        <v>17327</v>
      </c>
      <c r="M4" s="21">
        <v>8872</v>
      </c>
      <c r="N4" s="67">
        <f t="shared" si="1"/>
        <v>7.3933333333333337E-2</v>
      </c>
      <c r="O4" s="23">
        <v>47.95</v>
      </c>
      <c r="P4" s="24">
        <v>115</v>
      </c>
      <c r="Q4" s="25">
        <v>0.13200000000000001</v>
      </c>
      <c r="R4" s="25">
        <v>0.13200000000000001</v>
      </c>
      <c r="S4" s="21">
        <f t="shared" si="2"/>
        <v>361.35557872784148</v>
      </c>
      <c r="T4" s="21">
        <f t="shared" si="3"/>
        <v>131265.15151515152</v>
      </c>
      <c r="U4" s="26">
        <f t="shared" si="4"/>
        <v>3.0134332303753792</v>
      </c>
      <c r="V4" s="25">
        <v>50</v>
      </c>
      <c r="W4" s="25">
        <f t="shared" si="5"/>
        <v>24000</v>
      </c>
      <c r="X4" s="25">
        <f t="shared" si="6"/>
        <v>480</v>
      </c>
      <c r="Y4" s="27" t="s">
        <v>34</v>
      </c>
      <c r="Z4" s="19" t="s">
        <v>35</v>
      </c>
      <c r="AA4" s="19" t="s">
        <v>35</v>
      </c>
      <c r="AB4" s="19" t="s">
        <v>36</v>
      </c>
      <c r="AC4" s="19">
        <v>0</v>
      </c>
      <c r="AD4" s="19">
        <v>0</v>
      </c>
      <c r="AE4" s="19" t="s">
        <v>37</v>
      </c>
      <c r="AF4" s="19" t="s">
        <v>43</v>
      </c>
      <c r="AG4" s="19" t="s">
        <v>38</v>
      </c>
      <c r="AH4" s="19" t="s">
        <v>39</v>
      </c>
    </row>
    <row r="5" spans="1:34" x14ac:dyDescent="0.3">
      <c r="A5" s="75" t="s">
        <v>36</v>
      </c>
      <c r="B5" s="19" t="s">
        <v>68</v>
      </c>
      <c r="C5" s="19" t="s">
        <v>69</v>
      </c>
      <c r="D5" s="20">
        <v>45621</v>
      </c>
      <c r="E5" s="21">
        <v>152500</v>
      </c>
      <c r="F5" s="19" t="s">
        <v>32</v>
      </c>
      <c r="G5" s="19" t="s">
        <v>33</v>
      </c>
      <c r="H5" s="21">
        <v>152500</v>
      </c>
      <c r="I5" s="21">
        <v>56500</v>
      </c>
      <c r="J5" s="22">
        <f t="shared" si="0"/>
        <v>37.049180327868854</v>
      </c>
      <c r="K5" s="21">
        <v>138090</v>
      </c>
      <c r="L5" s="21">
        <f>H5-128840</f>
        <v>23660</v>
      </c>
      <c r="M5" s="21">
        <v>9250</v>
      </c>
      <c r="N5" s="67">
        <f t="shared" si="1"/>
        <v>6.0655737704918035E-2</v>
      </c>
      <c r="O5" s="23">
        <v>50</v>
      </c>
      <c r="P5" s="24">
        <v>125</v>
      </c>
      <c r="Q5" s="25">
        <v>0.14299999999999999</v>
      </c>
      <c r="R5" s="25">
        <v>0.14299999999999999</v>
      </c>
      <c r="S5" s="21">
        <f t="shared" si="2"/>
        <v>473.2</v>
      </c>
      <c r="T5" s="21">
        <f t="shared" si="3"/>
        <v>165454.54545454547</v>
      </c>
      <c r="U5" s="26">
        <f t="shared" si="4"/>
        <v>3.7983137156690878</v>
      </c>
      <c r="V5" s="25">
        <v>50</v>
      </c>
      <c r="W5" s="25">
        <f t="shared" si="5"/>
        <v>30500</v>
      </c>
      <c r="X5" s="25">
        <f t="shared" si="6"/>
        <v>610</v>
      </c>
      <c r="Y5" s="27" t="s">
        <v>34</v>
      </c>
      <c r="Z5" s="19" t="s">
        <v>35</v>
      </c>
      <c r="AA5" s="19" t="s">
        <v>35</v>
      </c>
      <c r="AB5" s="19" t="s">
        <v>36</v>
      </c>
      <c r="AC5" s="19">
        <v>0</v>
      </c>
      <c r="AD5" s="19">
        <v>0</v>
      </c>
      <c r="AE5" s="19" t="s">
        <v>37</v>
      </c>
      <c r="AF5" s="19" t="s">
        <v>35</v>
      </c>
      <c r="AG5" s="19" t="s">
        <v>38</v>
      </c>
      <c r="AH5" s="19" t="s">
        <v>39</v>
      </c>
    </row>
    <row r="6" spans="1:34" x14ac:dyDescent="0.3">
      <c r="A6" s="74" t="s">
        <v>36</v>
      </c>
      <c r="B6" s="10" t="s">
        <v>82</v>
      </c>
      <c r="C6" s="10" t="s">
        <v>83</v>
      </c>
      <c r="D6" s="11">
        <v>45373</v>
      </c>
      <c r="E6" s="12">
        <v>108000</v>
      </c>
      <c r="F6" s="10" t="s">
        <v>32</v>
      </c>
      <c r="G6" s="10" t="s">
        <v>33</v>
      </c>
      <c r="H6" s="12">
        <v>108000</v>
      </c>
      <c r="I6" s="12">
        <v>32400</v>
      </c>
      <c r="J6" s="13">
        <f t="shared" si="0"/>
        <v>30</v>
      </c>
      <c r="K6" s="12">
        <v>95175</v>
      </c>
      <c r="L6" s="12">
        <f>H6-87485</f>
        <v>20515</v>
      </c>
      <c r="M6" s="12">
        <v>7690</v>
      </c>
      <c r="N6" s="66">
        <f t="shared" si="1"/>
        <v>7.12037037037037E-2</v>
      </c>
      <c r="O6" s="14">
        <v>41.56</v>
      </c>
      <c r="P6" s="15">
        <v>135</v>
      </c>
      <c r="Q6" s="16">
        <v>0.124</v>
      </c>
      <c r="R6" s="16">
        <v>0.124</v>
      </c>
      <c r="S6" s="12">
        <f t="shared" si="2"/>
        <v>493.62367661212704</v>
      </c>
      <c r="T6" s="12">
        <f t="shared" si="3"/>
        <v>165443.54838709679</v>
      </c>
      <c r="U6" s="17">
        <f t="shared" si="4"/>
        <v>3.7980612577386772</v>
      </c>
      <c r="V6" s="16">
        <v>40</v>
      </c>
      <c r="W6" s="16">
        <f t="shared" si="5"/>
        <v>21600</v>
      </c>
      <c r="X6" s="16">
        <f t="shared" si="6"/>
        <v>540</v>
      </c>
      <c r="Y6" s="18" t="s">
        <v>34</v>
      </c>
      <c r="Z6" s="10" t="s">
        <v>35</v>
      </c>
      <c r="AA6" s="10" t="s">
        <v>35</v>
      </c>
      <c r="AB6" s="10" t="s">
        <v>36</v>
      </c>
      <c r="AC6" s="10">
        <v>0</v>
      </c>
      <c r="AD6" s="10">
        <v>0</v>
      </c>
      <c r="AE6" s="10" t="s">
        <v>37</v>
      </c>
      <c r="AF6" s="10" t="s">
        <v>43</v>
      </c>
      <c r="AG6" s="10" t="s">
        <v>38</v>
      </c>
      <c r="AH6" s="10" t="s">
        <v>39</v>
      </c>
    </row>
    <row r="7" spans="1:34" x14ac:dyDescent="0.3">
      <c r="A7" s="74" t="s">
        <v>36</v>
      </c>
      <c r="B7" s="10" t="s">
        <v>70</v>
      </c>
      <c r="C7" s="10" t="s">
        <v>71</v>
      </c>
      <c r="D7" s="11">
        <v>45631</v>
      </c>
      <c r="E7" s="12">
        <v>109900</v>
      </c>
      <c r="F7" s="10" t="s">
        <v>32</v>
      </c>
      <c r="G7" s="10" t="s">
        <v>33</v>
      </c>
      <c r="H7" s="12">
        <v>109900</v>
      </c>
      <c r="I7" s="12">
        <v>39300</v>
      </c>
      <c r="J7" s="13">
        <f t="shared" si="0"/>
        <v>35.759781619654227</v>
      </c>
      <c r="K7" s="12">
        <v>96132</v>
      </c>
      <c r="L7" s="12">
        <f>H7-88585</f>
        <v>21315</v>
      </c>
      <c r="M7" s="12">
        <v>7547</v>
      </c>
      <c r="N7" s="66">
        <f t="shared" si="1"/>
        <v>6.8671519563239303E-2</v>
      </c>
      <c r="O7" s="14">
        <v>40.79</v>
      </c>
      <c r="P7" s="15">
        <v>130</v>
      </c>
      <c r="Q7" s="16">
        <v>0.11899999999999999</v>
      </c>
      <c r="R7" s="16">
        <v>0.11899999999999999</v>
      </c>
      <c r="S7" s="12">
        <f t="shared" si="2"/>
        <v>522.55454768325569</v>
      </c>
      <c r="T7" s="12">
        <f t="shared" si="3"/>
        <v>179117.64705882352</v>
      </c>
      <c r="U7" s="17">
        <f t="shared" si="4"/>
        <v>4.1119753686598601</v>
      </c>
      <c r="V7" s="16">
        <v>40</v>
      </c>
      <c r="W7" s="16">
        <f t="shared" si="5"/>
        <v>21980</v>
      </c>
      <c r="X7" s="16">
        <f t="shared" si="6"/>
        <v>549.5</v>
      </c>
      <c r="Y7" s="18" t="s">
        <v>34</v>
      </c>
      <c r="Z7" s="10" t="s">
        <v>35</v>
      </c>
      <c r="AA7" s="10" t="s">
        <v>35</v>
      </c>
      <c r="AB7" s="10" t="s">
        <v>36</v>
      </c>
      <c r="AC7" s="10">
        <v>0</v>
      </c>
      <c r="AD7" s="10">
        <v>0</v>
      </c>
      <c r="AE7" s="10" t="s">
        <v>37</v>
      </c>
      <c r="AF7" s="10" t="s">
        <v>35</v>
      </c>
      <c r="AG7" s="10" t="s">
        <v>38</v>
      </c>
      <c r="AH7" s="10" t="s">
        <v>39</v>
      </c>
    </row>
    <row r="8" spans="1:34" x14ac:dyDescent="0.3">
      <c r="A8" s="74" t="s">
        <v>36</v>
      </c>
      <c r="B8" s="10" t="s">
        <v>40</v>
      </c>
      <c r="C8" s="10" t="s">
        <v>41</v>
      </c>
      <c r="D8" s="11">
        <v>45392</v>
      </c>
      <c r="E8" s="12">
        <v>138500</v>
      </c>
      <c r="F8" s="10" t="s">
        <v>32</v>
      </c>
      <c r="G8" s="10" t="s">
        <v>33</v>
      </c>
      <c r="H8" s="12">
        <v>138500</v>
      </c>
      <c r="I8" s="12">
        <v>51000</v>
      </c>
      <c r="J8" s="13">
        <f t="shared" si="0"/>
        <v>36.823104693140799</v>
      </c>
      <c r="K8" s="12">
        <v>124238</v>
      </c>
      <c r="L8" s="12">
        <f>H8-117109</f>
        <v>21391</v>
      </c>
      <c r="M8" s="12">
        <v>7129</v>
      </c>
      <c r="N8" s="66">
        <f t="shared" si="1"/>
        <v>5.147292418772563E-2</v>
      </c>
      <c r="O8" s="14">
        <v>38.53</v>
      </c>
      <c r="P8" s="15">
        <v>116</v>
      </c>
      <c r="Q8" s="16">
        <v>0.107</v>
      </c>
      <c r="R8" s="16">
        <v>0.107</v>
      </c>
      <c r="S8" s="12">
        <f t="shared" si="2"/>
        <v>555.17778354528934</v>
      </c>
      <c r="T8" s="12">
        <f t="shared" si="3"/>
        <v>199915.88785046729</v>
      </c>
      <c r="U8" s="17">
        <f t="shared" si="4"/>
        <v>4.5894372784772104</v>
      </c>
      <c r="V8" s="16">
        <v>40</v>
      </c>
      <c r="W8" s="16">
        <f t="shared" si="5"/>
        <v>27700</v>
      </c>
      <c r="X8" s="16">
        <f t="shared" si="6"/>
        <v>692.5</v>
      </c>
      <c r="Y8" s="18" t="s">
        <v>34</v>
      </c>
      <c r="Z8" s="10" t="s">
        <v>35</v>
      </c>
      <c r="AA8" s="10" t="s">
        <v>35</v>
      </c>
      <c r="AB8" s="10" t="s">
        <v>36</v>
      </c>
      <c r="AC8" s="10">
        <v>0</v>
      </c>
      <c r="AD8" s="10">
        <v>1</v>
      </c>
      <c r="AE8" s="10" t="s">
        <v>42</v>
      </c>
      <c r="AF8" s="10" t="s">
        <v>43</v>
      </c>
      <c r="AG8" s="10" t="s">
        <v>38</v>
      </c>
      <c r="AH8" s="10" t="s">
        <v>39</v>
      </c>
    </row>
    <row r="9" spans="1:34" x14ac:dyDescent="0.3">
      <c r="A9" s="75" t="s">
        <v>36</v>
      </c>
      <c r="B9" s="19" t="s">
        <v>56</v>
      </c>
      <c r="C9" s="19" t="s">
        <v>57</v>
      </c>
      <c r="D9" s="20">
        <v>45387</v>
      </c>
      <c r="E9" s="21">
        <v>120000</v>
      </c>
      <c r="F9" s="19" t="s">
        <v>32</v>
      </c>
      <c r="G9" s="19" t="s">
        <v>33</v>
      </c>
      <c r="H9" s="21">
        <v>120000</v>
      </c>
      <c r="I9" s="21">
        <v>41500</v>
      </c>
      <c r="J9" s="22">
        <f t="shared" si="0"/>
        <v>34.583333333333336</v>
      </c>
      <c r="K9" s="21">
        <v>101504</v>
      </c>
      <c r="L9" s="21">
        <f>H9-94186</f>
        <v>25814</v>
      </c>
      <c r="M9" s="21">
        <v>7318</v>
      </c>
      <c r="N9" s="67">
        <f t="shared" si="1"/>
        <v>6.0983333333333334E-2</v>
      </c>
      <c r="O9" s="23">
        <v>39.549999999999997</v>
      </c>
      <c r="P9" s="24">
        <v>122.23</v>
      </c>
      <c r="Q9" s="25">
        <v>0.112</v>
      </c>
      <c r="R9" s="25">
        <v>0.112</v>
      </c>
      <c r="S9" s="21">
        <f t="shared" si="2"/>
        <v>652.69279393173201</v>
      </c>
      <c r="T9" s="21">
        <f t="shared" si="3"/>
        <v>230482.14285714284</v>
      </c>
      <c r="U9" s="26">
        <f t="shared" si="4"/>
        <v>5.2911419388692114</v>
      </c>
      <c r="V9" s="25">
        <v>40</v>
      </c>
      <c r="W9" s="25">
        <f t="shared" si="5"/>
        <v>24000</v>
      </c>
      <c r="X9" s="25">
        <f t="shared" si="6"/>
        <v>600</v>
      </c>
      <c r="Y9" s="27" t="s">
        <v>34</v>
      </c>
      <c r="Z9" s="19" t="s">
        <v>35</v>
      </c>
      <c r="AA9" s="19" t="s">
        <v>35</v>
      </c>
      <c r="AB9" s="19" t="s">
        <v>36</v>
      </c>
      <c r="AC9" s="19">
        <v>0</v>
      </c>
      <c r="AD9" s="19">
        <v>1</v>
      </c>
      <c r="AE9" s="19" t="s">
        <v>58</v>
      </c>
      <c r="AF9" s="19" t="s">
        <v>43</v>
      </c>
      <c r="AG9" s="19" t="s">
        <v>38</v>
      </c>
      <c r="AH9" s="19" t="s">
        <v>39</v>
      </c>
    </row>
    <row r="10" spans="1:34" x14ac:dyDescent="0.3">
      <c r="A10" s="75" t="s">
        <v>36</v>
      </c>
      <c r="B10" s="19" t="s">
        <v>165</v>
      </c>
      <c r="C10" s="19" t="s">
        <v>166</v>
      </c>
      <c r="D10" s="20">
        <v>45631</v>
      </c>
      <c r="E10" s="21">
        <v>132000</v>
      </c>
      <c r="F10" s="19" t="s">
        <v>32</v>
      </c>
      <c r="G10" s="19" t="s">
        <v>33</v>
      </c>
      <c r="H10" s="21">
        <v>132000</v>
      </c>
      <c r="I10" s="21">
        <v>44100</v>
      </c>
      <c r="J10" s="22">
        <f t="shared" si="0"/>
        <v>33.409090909090914</v>
      </c>
      <c r="K10" s="21">
        <v>107834</v>
      </c>
      <c r="L10" s="21">
        <f>H10-100172</f>
        <v>31828</v>
      </c>
      <c r="M10" s="21">
        <v>7662</v>
      </c>
      <c r="N10" s="67">
        <f t="shared" si="1"/>
        <v>5.8045454545454546E-2</v>
      </c>
      <c r="O10" s="23">
        <v>41.41</v>
      </c>
      <c r="P10" s="24">
        <v>134</v>
      </c>
      <c r="Q10" s="25">
        <v>0.123</v>
      </c>
      <c r="R10" s="25">
        <v>0.123</v>
      </c>
      <c r="S10" s="21">
        <f t="shared" si="2"/>
        <v>768.606616759237</v>
      </c>
      <c r="T10" s="21">
        <f t="shared" si="3"/>
        <v>258764.22764227644</v>
      </c>
      <c r="U10" s="26">
        <f t="shared" si="4"/>
        <v>5.940409266351617</v>
      </c>
      <c r="V10" s="25">
        <v>40</v>
      </c>
      <c r="W10" s="25">
        <f t="shared" si="5"/>
        <v>26400</v>
      </c>
      <c r="X10" s="25">
        <f t="shared" si="6"/>
        <v>660</v>
      </c>
      <c r="Y10" s="27" t="s">
        <v>34</v>
      </c>
      <c r="Z10" s="19" t="s">
        <v>35</v>
      </c>
      <c r="AA10" s="19" t="s">
        <v>35</v>
      </c>
      <c r="AB10" s="19" t="s">
        <v>36</v>
      </c>
      <c r="AC10" s="19">
        <v>0</v>
      </c>
      <c r="AD10" s="19">
        <v>0</v>
      </c>
      <c r="AE10" s="19" t="s">
        <v>58</v>
      </c>
      <c r="AF10" s="19" t="s">
        <v>35</v>
      </c>
      <c r="AG10" s="19" t="s">
        <v>38</v>
      </c>
      <c r="AH10" s="19" t="s">
        <v>39</v>
      </c>
    </row>
    <row r="11" spans="1:34" x14ac:dyDescent="0.3">
      <c r="A11" s="75" t="s">
        <v>36</v>
      </c>
      <c r="B11" s="19" t="s">
        <v>84</v>
      </c>
      <c r="C11" s="19" t="s">
        <v>85</v>
      </c>
      <c r="D11" s="20">
        <v>45492</v>
      </c>
      <c r="E11" s="21">
        <v>180000</v>
      </c>
      <c r="F11" s="19" t="s">
        <v>32</v>
      </c>
      <c r="G11" s="19" t="s">
        <v>33</v>
      </c>
      <c r="H11" s="21">
        <v>180000</v>
      </c>
      <c r="I11" s="21">
        <v>60600</v>
      </c>
      <c r="J11" s="22">
        <f t="shared" si="0"/>
        <v>33.666666666666664</v>
      </c>
      <c r="K11" s="21">
        <v>148727</v>
      </c>
      <c r="L11" s="21">
        <f>H11-139322</f>
        <v>40678</v>
      </c>
      <c r="M11" s="21">
        <v>9405</v>
      </c>
      <c r="N11" s="67">
        <f t="shared" si="1"/>
        <v>5.2249999999999998E-2</v>
      </c>
      <c r="O11" s="23">
        <v>50.83</v>
      </c>
      <c r="P11" s="24">
        <v>115</v>
      </c>
      <c r="Q11" s="25">
        <v>0.14000000000000001</v>
      </c>
      <c r="R11" s="25">
        <v>0.14000000000000001</v>
      </c>
      <c r="S11" s="21">
        <f t="shared" si="2"/>
        <v>800.27542789691131</v>
      </c>
      <c r="T11" s="21">
        <f t="shared" si="3"/>
        <v>290557.14285714284</v>
      </c>
      <c r="U11" s="26">
        <f t="shared" si="4"/>
        <v>6.6702741702741699</v>
      </c>
      <c r="V11" s="25">
        <v>53</v>
      </c>
      <c r="W11" s="25">
        <f t="shared" si="5"/>
        <v>36000</v>
      </c>
      <c r="X11" s="25">
        <f t="shared" si="6"/>
        <v>679.24528301886789</v>
      </c>
      <c r="Y11" s="27" t="s">
        <v>34</v>
      </c>
      <c r="Z11" s="19" t="s">
        <v>35</v>
      </c>
      <c r="AA11" s="19" t="s">
        <v>35</v>
      </c>
      <c r="AB11" s="19" t="s">
        <v>36</v>
      </c>
      <c r="AC11" s="19">
        <v>0</v>
      </c>
      <c r="AD11" s="19">
        <v>0</v>
      </c>
      <c r="AE11" s="19" t="s">
        <v>37</v>
      </c>
      <c r="AF11" s="19" t="s">
        <v>43</v>
      </c>
      <c r="AG11" s="19" t="s">
        <v>38</v>
      </c>
      <c r="AH11" s="19" t="s">
        <v>39</v>
      </c>
    </row>
    <row r="12" spans="1:34" x14ac:dyDescent="0.3">
      <c r="A12" s="75" t="s">
        <v>36</v>
      </c>
      <c r="B12" s="19" t="s">
        <v>44</v>
      </c>
      <c r="C12" s="19" t="s">
        <v>45</v>
      </c>
      <c r="D12" s="20">
        <v>45217</v>
      </c>
      <c r="E12" s="21">
        <v>125000</v>
      </c>
      <c r="F12" s="19" t="s">
        <v>32</v>
      </c>
      <c r="G12" s="19" t="s">
        <v>33</v>
      </c>
      <c r="H12" s="21">
        <v>125000</v>
      </c>
      <c r="I12" s="21">
        <v>32800</v>
      </c>
      <c r="J12" s="22">
        <f t="shared" si="0"/>
        <v>26.240000000000002</v>
      </c>
      <c r="K12" s="21">
        <v>96501</v>
      </c>
      <c r="L12" s="21">
        <f>H12-89372</f>
        <v>35628</v>
      </c>
      <c r="M12" s="21">
        <v>7129</v>
      </c>
      <c r="N12" s="67">
        <f t="shared" si="1"/>
        <v>5.7031999999999999E-2</v>
      </c>
      <c r="O12" s="23">
        <v>38.53</v>
      </c>
      <c r="P12" s="24">
        <v>116</v>
      </c>
      <c r="Q12" s="25">
        <v>0.107</v>
      </c>
      <c r="R12" s="25">
        <v>0.107</v>
      </c>
      <c r="S12" s="21">
        <f t="shared" si="2"/>
        <v>924.68206592265767</v>
      </c>
      <c r="T12" s="21">
        <f t="shared" si="3"/>
        <v>332971.96261682245</v>
      </c>
      <c r="U12" s="26">
        <f t="shared" si="4"/>
        <v>7.6439844494220033</v>
      </c>
      <c r="V12" s="25">
        <v>40</v>
      </c>
      <c r="W12" s="25">
        <f t="shared" si="5"/>
        <v>25000</v>
      </c>
      <c r="X12" s="25">
        <f t="shared" si="6"/>
        <v>625</v>
      </c>
      <c r="Y12" s="27" t="s">
        <v>34</v>
      </c>
      <c r="Z12" s="19" t="s">
        <v>35</v>
      </c>
      <c r="AA12" s="19" t="s">
        <v>35</v>
      </c>
      <c r="AB12" s="19" t="s">
        <v>36</v>
      </c>
      <c r="AC12" s="19">
        <v>0</v>
      </c>
      <c r="AD12" s="19">
        <v>1</v>
      </c>
      <c r="AE12" s="19" t="s">
        <v>37</v>
      </c>
      <c r="AF12" s="19" t="s">
        <v>43</v>
      </c>
      <c r="AG12" s="19" t="s">
        <v>38</v>
      </c>
      <c r="AH12" s="19" t="s">
        <v>39</v>
      </c>
    </row>
    <row r="13" spans="1:34" ht="15" thickBot="1" x14ac:dyDescent="0.35">
      <c r="A13" s="75" t="s">
        <v>36</v>
      </c>
      <c r="B13" s="19" t="s">
        <v>74</v>
      </c>
      <c r="C13" s="19" t="s">
        <v>75</v>
      </c>
      <c r="D13" s="20">
        <v>45567</v>
      </c>
      <c r="E13" s="21">
        <v>170000</v>
      </c>
      <c r="F13" s="19" t="s">
        <v>32</v>
      </c>
      <c r="G13" s="19" t="s">
        <v>33</v>
      </c>
      <c r="H13" s="21">
        <v>170000</v>
      </c>
      <c r="I13" s="21">
        <v>53700</v>
      </c>
      <c r="J13" s="22">
        <f t="shared" si="0"/>
        <v>31.588235294117645</v>
      </c>
      <c r="K13" s="21">
        <v>132056</v>
      </c>
      <c r="L13" s="21">
        <f>H13-124366</f>
        <v>45634</v>
      </c>
      <c r="M13" s="21">
        <v>7690</v>
      </c>
      <c r="N13" s="67">
        <f t="shared" si="1"/>
        <v>4.5235294117647061E-2</v>
      </c>
      <c r="O13" s="23">
        <v>41.56</v>
      </c>
      <c r="P13" s="24">
        <v>135</v>
      </c>
      <c r="Q13" s="25">
        <v>0.124</v>
      </c>
      <c r="R13" s="25">
        <v>0.124</v>
      </c>
      <c r="S13" s="21">
        <f t="shared" si="2"/>
        <v>1098.0269489894129</v>
      </c>
      <c r="T13" s="21">
        <f t="shared" si="3"/>
        <v>368016.12903225806</v>
      </c>
      <c r="U13" s="26">
        <f t="shared" si="4"/>
        <v>8.4484878106578982</v>
      </c>
      <c r="V13" s="25">
        <v>40</v>
      </c>
      <c r="W13" s="25">
        <f t="shared" si="5"/>
        <v>34000</v>
      </c>
      <c r="X13" s="25">
        <f t="shared" si="6"/>
        <v>850</v>
      </c>
      <c r="Y13" s="27" t="s">
        <v>34</v>
      </c>
      <c r="Z13" s="19" t="s">
        <v>35</v>
      </c>
      <c r="AA13" s="19" t="s">
        <v>35</v>
      </c>
      <c r="AB13" s="19" t="s">
        <v>36</v>
      </c>
      <c r="AC13" s="19">
        <v>0</v>
      </c>
      <c r="AD13" s="19">
        <v>0</v>
      </c>
      <c r="AE13" s="19" t="s">
        <v>76</v>
      </c>
      <c r="AF13" s="19" t="s">
        <v>43</v>
      </c>
      <c r="AG13" s="19" t="s">
        <v>38</v>
      </c>
      <c r="AH13" s="19" t="s">
        <v>39</v>
      </c>
    </row>
    <row r="14" spans="1:34" ht="15" thickTop="1" x14ac:dyDescent="0.3">
      <c r="A14" s="76"/>
      <c r="B14" s="37"/>
      <c r="C14" s="37"/>
      <c r="D14" s="38" t="s">
        <v>2876</v>
      </c>
      <c r="E14" s="39">
        <f>+SUM(E2:E13)</f>
        <v>1635900</v>
      </c>
      <c r="F14" s="37"/>
      <c r="G14" s="37"/>
      <c r="H14" s="39">
        <f>+SUM(H2:H13)</f>
        <v>1635900</v>
      </c>
      <c r="I14" s="39">
        <f>+SUM(I2:I13)</f>
        <v>559200</v>
      </c>
      <c r="J14" s="40"/>
      <c r="K14" s="39">
        <f>+SUM(K2:K13)</f>
        <v>1418147</v>
      </c>
      <c r="L14" s="39">
        <f>+SUM(L2:L13)</f>
        <v>314847</v>
      </c>
      <c r="M14" s="39">
        <f>+SUM(M2:M13)</f>
        <v>97094</v>
      </c>
      <c r="N14" s="81">
        <f>AVERAGE(N2:N13)</f>
        <v>6.0689406985224022E-2</v>
      </c>
      <c r="O14" s="41">
        <f>+SUM(O2:O13)</f>
        <v>524.77</v>
      </c>
      <c r="P14" s="42"/>
      <c r="Q14" s="43">
        <f>+SUM(Q2:Q13)</f>
        <v>1.5129999999999999</v>
      </c>
      <c r="R14" s="43">
        <f>+SUM(R2:R13)</f>
        <v>1.5129999999999999</v>
      </c>
      <c r="S14" s="39"/>
      <c r="T14" s="39"/>
      <c r="U14" s="44"/>
      <c r="V14" s="43"/>
      <c r="W14" s="82">
        <f>AVERAGE(W2:W13)</f>
        <v>27265</v>
      </c>
      <c r="X14" s="83">
        <f>AVERAGE(X2:X13)</f>
        <v>630.52044025157227</v>
      </c>
      <c r="Y14" s="45"/>
      <c r="Z14" s="37"/>
      <c r="AA14" s="37"/>
      <c r="AB14" s="37"/>
      <c r="AC14" s="37"/>
      <c r="AD14" s="37"/>
      <c r="AE14" s="37"/>
      <c r="AF14" s="37"/>
      <c r="AG14" s="37"/>
      <c r="AH14" s="37"/>
    </row>
    <row r="15" spans="1:34" x14ac:dyDescent="0.3">
      <c r="A15" s="77"/>
      <c r="B15" s="28"/>
      <c r="C15" s="28"/>
      <c r="D15" s="29"/>
      <c r="E15" s="30"/>
      <c r="F15" s="28"/>
      <c r="G15" s="28"/>
      <c r="H15" s="30"/>
      <c r="I15" s="30" t="s">
        <v>2877</v>
      </c>
      <c r="J15" s="31">
        <f>I14/H14*100</f>
        <v>34.183018521914541</v>
      </c>
      <c r="K15" s="30"/>
      <c r="L15" s="30"/>
      <c r="M15" s="30" t="s">
        <v>2879</v>
      </c>
      <c r="N15" s="79"/>
      <c r="O15" s="32"/>
      <c r="P15" s="33"/>
      <c r="Q15" s="34" t="s">
        <v>2879</v>
      </c>
      <c r="R15" s="34"/>
      <c r="S15" s="30"/>
      <c r="T15" s="30" t="s">
        <v>2879</v>
      </c>
      <c r="U15" s="35"/>
      <c r="V15" s="34"/>
      <c r="W15" s="63"/>
      <c r="X15" s="68"/>
      <c r="Y15" s="36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x14ac:dyDescent="0.3">
      <c r="A16" s="78"/>
      <c r="B16" s="46"/>
      <c r="C16" s="46"/>
      <c r="D16" s="47"/>
      <c r="E16" s="48"/>
      <c r="F16" s="46"/>
      <c r="G16" s="46"/>
      <c r="H16" s="48"/>
      <c r="I16" s="48" t="s">
        <v>2878</v>
      </c>
      <c r="J16" s="49">
        <f>STDEV(J2:J13)</f>
        <v>3.7586523902987388</v>
      </c>
      <c r="K16" s="48"/>
      <c r="L16" s="48"/>
      <c r="M16" s="48" t="s">
        <v>2880</v>
      </c>
      <c r="N16" s="80"/>
      <c r="O16" s="54">
        <f>L14/O14</f>
        <v>599.97141604893579</v>
      </c>
      <c r="P16" s="50"/>
      <c r="Q16" s="51" t="s">
        <v>2881</v>
      </c>
      <c r="R16" s="51">
        <f>L14/Q14</f>
        <v>208094.51421017846</v>
      </c>
      <c r="S16" s="48"/>
      <c r="T16" s="48" t="s">
        <v>2882</v>
      </c>
      <c r="U16" s="52">
        <f>L14/Q14/43560</f>
        <v>4.7771927045495515</v>
      </c>
      <c r="V16" s="51"/>
      <c r="W16" s="64"/>
      <c r="X16" s="69"/>
      <c r="Y16" s="53"/>
      <c r="Z16" s="46"/>
      <c r="AA16" s="46"/>
      <c r="AB16" s="46"/>
      <c r="AC16" s="46"/>
      <c r="AD16" s="46"/>
      <c r="AE16" s="46"/>
      <c r="AF16" s="46"/>
      <c r="AG16" s="46"/>
      <c r="AH16" s="46"/>
    </row>
    <row r="17" spans="1:34" x14ac:dyDescent="0.3">
      <c r="E17" s="94" t="s">
        <v>3099</v>
      </c>
      <c r="L17" s="95"/>
    </row>
    <row r="18" spans="1:34" x14ac:dyDescent="0.3">
      <c r="E18" s="383" t="s">
        <v>3163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3164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3165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3166</v>
      </c>
      <c r="F21" s="383"/>
      <c r="G21" s="383"/>
      <c r="H21" s="383"/>
      <c r="I21" s="383"/>
      <c r="J21" s="96"/>
      <c r="K21" s="96"/>
      <c r="L21" s="96"/>
    </row>
    <row r="22" spans="1:34" x14ac:dyDescent="0.3">
      <c r="E22" s="383" t="s">
        <v>3167</v>
      </c>
      <c r="F22" s="383"/>
      <c r="G22" s="383"/>
      <c r="H22" s="383"/>
      <c r="I22" s="383"/>
      <c r="L22" s="95"/>
    </row>
    <row r="23" spans="1:34" x14ac:dyDescent="0.3">
      <c r="E23" s="383" t="s">
        <v>3100</v>
      </c>
      <c r="F23" s="383"/>
      <c r="G23" s="383"/>
      <c r="H23" s="383"/>
      <c r="I23" s="383"/>
      <c r="L23" s="95"/>
    </row>
    <row r="24" spans="1:34" x14ac:dyDescent="0.3">
      <c r="E24" s="96"/>
      <c r="F24" s="96"/>
      <c r="G24" s="96"/>
      <c r="H24" s="96"/>
      <c r="I24" s="96"/>
      <c r="L24" s="95"/>
    </row>
    <row r="25" spans="1:34" x14ac:dyDescent="0.3">
      <c r="A25" s="55" t="s">
        <v>3092</v>
      </c>
      <c r="E25" s="96"/>
      <c r="F25" s="96"/>
      <c r="G25" s="96"/>
      <c r="H25" s="96"/>
      <c r="I25" s="96"/>
      <c r="L25" s="95"/>
    </row>
    <row r="26" spans="1:34" x14ac:dyDescent="0.3">
      <c r="A26" s="74" t="s">
        <v>36</v>
      </c>
      <c r="B26" s="10" t="s">
        <v>30</v>
      </c>
      <c r="C26" s="10" t="s">
        <v>31</v>
      </c>
      <c r="D26" s="11">
        <v>45709</v>
      </c>
      <c r="E26" s="12">
        <v>125000</v>
      </c>
      <c r="F26" s="10" t="s">
        <v>32</v>
      </c>
      <c r="G26" s="10" t="s">
        <v>33</v>
      </c>
      <c r="H26" s="12">
        <v>125000</v>
      </c>
      <c r="I26" s="12">
        <v>61200</v>
      </c>
      <c r="J26" s="13">
        <f t="shared" ref="J26:J38" si="7">I26/H26*100</f>
        <v>48.96</v>
      </c>
      <c r="K26" s="12">
        <v>148689</v>
      </c>
      <c r="L26" s="12">
        <f>H26-128105</f>
        <v>-3105</v>
      </c>
      <c r="M26" s="12">
        <v>20584</v>
      </c>
      <c r="N26" s="66">
        <f t="shared" ref="N26:N38" si="8">M26/E26</f>
        <v>0.16467200000000001</v>
      </c>
      <c r="O26" s="14">
        <v>111.26</v>
      </c>
      <c r="P26" s="15">
        <v>116</v>
      </c>
      <c r="Q26" s="16">
        <v>0.308</v>
      </c>
      <c r="R26" s="16">
        <v>0.308</v>
      </c>
      <c r="S26" s="12">
        <f t="shared" ref="S26:S38" si="9">L26/O26</f>
        <v>-27.907603810893402</v>
      </c>
      <c r="T26" s="12">
        <f t="shared" ref="T26:T38" si="10">L26/Q26</f>
        <v>-10081.168831168832</v>
      </c>
      <c r="U26" s="17">
        <f t="shared" ref="U26:U38" si="11">L26/Q26/43560</f>
        <v>-0.23143179134914674</v>
      </c>
      <c r="V26" s="16">
        <v>115.5</v>
      </c>
      <c r="W26" s="16">
        <f t="shared" ref="W26:W38" si="12">0.2*E26</f>
        <v>25000</v>
      </c>
      <c r="X26" s="16">
        <f t="shared" ref="X26:X38" si="13">W26/V26</f>
        <v>216.45021645021646</v>
      </c>
      <c r="Y26" s="18" t="s">
        <v>34</v>
      </c>
      <c r="Z26" s="10" t="s">
        <v>35</v>
      </c>
      <c r="AA26" s="10" t="s">
        <v>35</v>
      </c>
      <c r="AB26" s="10" t="s">
        <v>36</v>
      </c>
      <c r="AC26" s="10">
        <v>0</v>
      </c>
      <c r="AD26" s="10">
        <v>0</v>
      </c>
      <c r="AE26" s="10" t="s">
        <v>37</v>
      </c>
      <c r="AF26" s="10" t="s">
        <v>35</v>
      </c>
      <c r="AG26" s="10" t="s">
        <v>38</v>
      </c>
      <c r="AH26" s="10" t="s">
        <v>39</v>
      </c>
    </row>
    <row r="27" spans="1:34" x14ac:dyDescent="0.3">
      <c r="A27" s="74" t="s">
        <v>36</v>
      </c>
      <c r="B27" s="10" t="s">
        <v>48</v>
      </c>
      <c r="C27" s="10" t="s">
        <v>49</v>
      </c>
      <c r="D27" s="11">
        <v>45215</v>
      </c>
      <c r="E27" s="12">
        <v>145000</v>
      </c>
      <c r="F27" s="10" t="s">
        <v>32</v>
      </c>
      <c r="G27" s="10" t="s">
        <v>33</v>
      </c>
      <c r="H27" s="12">
        <v>145000</v>
      </c>
      <c r="I27" s="12">
        <v>55300</v>
      </c>
      <c r="J27" s="13">
        <f t="shared" si="7"/>
        <v>38.137931034482762</v>
      </c>
      <c r="K27" s="12">
        <v>150369</v>
      </c>
      <c r="L27" s="12">
        <f>H27-135569</f>
        <v>9431</v>
      </c>
      <c r="M27" s="12">
        <v>14800</v>
      </c>
      <c r="N27" s="66">
        <f t="shared" si="8"/>
        <v>0.10206896551724139</v>
      </c>
      <c r="O27" s="14">
        <v>80</v>
      </c>
      <c r="P27" s="15">
        <v>125</v>
      </c>
      <c r="Q27" s="16">
        <v>0.23</v>
      </c>
      <c r="R27" s="16">
        <v>0.23</v>
      </c>
      <c r="S27" s="12">
        <f t="shared" si="9"/>
        <v>117.8875</v>
      </c>
      <c r="T27" s="12">
        <f t="shared" si="10"/>
        <v>41004.347826086952</v>
      </c>
      <c r="U27" s="17">
        <f t="shared" si="11"/>
        <v>0.94133029903780885</v>
      </c>
      <c r="V27" s="16">
        <v>80</v>
      </c>
      <c r="W27" s="16">
        <f t="shared" si="12"/>
        <v>29000</v>
      </c>
      <c r="X27" s="16">
        <f t="shared" si="13"/>
        <v>362.5</v>
      </c>
      <c r="Y27" s="18" t="s">
        <v>34</v>
      </c>
      <c r="Z27" s="10" t="s">
        <v>35</v>
      </c>
      <c r="AA27" s="10" t="s">
        <v>35</v>
      </c>
      <c r="AB27" s="10" t="s">
        <v>36</v>
      </c>
      <c r="AC27" s="10">
        <v>0</v>
      </c>
      <c r="AD27" s="10">
        <v>1</v>
      </c>
      <c r="AE27" s="10" t="s">
        <v>50</v>
      </c>
      <c r="AF27" s="10" t="s">
        <v>43</v>
      </c>
      <c r="AG27" s="10" t="s">
        <v>38</v>
      </c>
      <c r="AH27" s="10" t="s">
        <v>39</v>
      </c>
    </row>
    <row r="28" spans="1:34" x14ac:dyDescent="0.3">
      <c r="A28" s="75" t="s">
        <v>36</v>
      </c>
      <c r="B28" s="19" t="s">
        <v>54</v>
      </c>
      <c r="C28" s="19" t="s">
        <v>55</v>
      </c>
      <c r="D28" s="20">
        <v>45411</v>
      </c>
      <c r="E28" s="21">
        <v>134000</v>
      </c>
      <c r="F28" s="19" t="s">
        <v>32</v>
      </c>
      <c r="G28" s="19" t="s">
        <v>33</v>
      </c>
      <c r="H28" s="21">
        <v>134000</v>
      </c>
      <c r="I28" s="21">
        <v>69300</v>
      </c>
      <c r="J28" s="22">
        <f t="shared" si="7"/>
        <v>51.716417910447767</v>
      </c>
      <c r="K28" s="21">
        <v>168842</v>
      </c>
      <c r="L28" s="21">
        <f>H28-149769</f>
        <v>-15769</v>
      </c>
      <c r="M28" s="21">
        <v>19073</v>
      </c>
      <c r="N28" s="67">
        <f t="shared" si="8"/>
        <v>0.14233582089552238</v>
      </c>
      <c r="O28" s="23">
        <v>103.09</v>
      </c>
      <c r="P28" s="24">
        <v>116.44</v>
      </c>
      <c r="Q28" s="25">
        <v>0.28599999999999998</v>
      </c>
      <c r="R28" s="25">
        <v>0.28599999999999998</v>
      </c>
      <c r="S28" s="21">
        <f t="shared" si="9"/>
        <v>-152.96343001261033</v>
      </c>
      <c r="T28" s="21">
        <f t="shared" si="10"/>
        <v>-55136.36363636364</v>
      </c>
      <c r="U28" s="26">
        <f t="shared" si="11"/>
        <v>-1.2657567409633526</v>
      </c>
      <c r="V28" s="25">
        <v>106.8</v>
      </c>
      <c r="W28" s="25">
        <f t="shared" si="12"/>
        <v>26800</v>
      </c>
      <c r="X28" s="25">
        <f t="shared" si="13"/>
        <v>250.93632958801498</v>
      </c>
      <c r="Y28" s="27" t="s">
        <v>34</v>
      </c>
      <c r="Z28" s="19" t="s">
        <v>35</v>
      </c>
      <c r="AA28" s="19" t="s">
        <v>35</v>
      </c>
      <c r="AB28" s="19" t="s">
        <v>36</v>
      </c>
      <c r="AC28" s="19">
        <v>0</v>
      </c>
      <c r="AD28" s="19">
        <v>1</v>
      </c>
      <c r="AE28" s="19" t="s">
        <v>42</v>
      </c>
      <c r="AF28" s="19" t="s">
        <v>43</v>
      </c>
      <c r="AG28" s="19" t="s">
        <v>38</v>
      </c>
      <c r="AH28" s="19" t="s">
        <v>39</v>
      </c>
    </row>
    <row r="29" spans="1:34" x14ac:dyDescent="0.3">
      <c r="A29" s="74" t="s">
        <v>36</v>
      </c>
      <c r="B29" s="10" t="s">
        <v>59</v>
      </c>
      <c r="C29" s="10" t="s">
        <v>60</v>
      </c>
      <c r="D29" s="11">
        <v>45569</v>
      </c>
      <c r="E29" s="12">
        <v>11900</v>
      </c>
      <c r="F29" s="10" t="s">
        <v>32</v>
      </c>
      <c r="G29" s="10" t="s">
        <v>33</v>
      </c>
      <c r="H29" s="12">
        <v>11900</v>
      </c>
      <c r="I29" s="12">
        <v>5000</v>
      </c>
      <c r="J29" s="13">
        <f t="shared" si="7"/>
        <v>42.016806722689076</v>
      </c>
      <c r="K29" s="12">
        <v>11100</v>
      </c>
      <c r="L29" s="12">
        <f>H29-0</f>
        <v>11900</v>
      </c>
      <c r="M29" s="12">
        <v>11100</v>
      </c>
      <c r="N29" s="66">
        <f t="shared" si="8"/>
        <v>0.9327731092436975</v>
      </c>
      <c r="O29" s="14">
        <v>60</v>
      </c>
      <c r="P29" s="15">
        <v>125</v>
      </c>
      <c r="Q29" s="16">
        <v>0.17199999999999999</v>
      </c>
      <c r="R29" s="16">
        <v>0.17199999999999999</v>
      </c>
      <c r="S29" s="12">
        <f t="shared" si="9"/>
        <v>198.33333333333334</v>
      </c>
      <c r="T29" s="12">
        <f t="shared" si="10"/>
        <v>69186.046511627908</v>
      </c>
      <c r="U29" s="17">
        <f t="shared" si="11"/>
        <v>1.5882930787793368</v>
      </c>
      <c r="V29" s="16">
        <v>60</v>
      </c>
      <c r="W29" s="16">
        <f t="shared" si="12"/>
        <v>2380</v>
      </c>
      <c r="X29" s="16">
        <f t="shared" si="13"/>
        <v>39.666666666666664</v>
      </c>
      <c r="Y29" s="18" t="s">
        <v>34</v>
      </c>
      <c r="Z29" s="10" t="s">
        <v>35</v>
      </c>
      <c r="AA29" s="10" t="s">
        <v>35</v>
      </c>
      <c r="AB29" s="10" t="s">
        <v>36</v>
      </c>
      <c r="AC29" s="10">
        <v>0</v>
      </c>
      <c r="AD29" s="10">
        <v>0</v>
      </c>
      <c r="AE29" s="10" t="s">
        <v>37</v>
      </c>
      <c r="AF29" s="10" t="s">
        <v>35</v>
      </c>
      <c r="AG29" s="10" t="s">
        <v>61</v>
      </c>
      <c r="AH29" s="10" t="s">
        <v>39</v>
      </c>
    </row>
    <row r="30" spans="1:34" x14ac:dyDescent="0.3">
      <c r="A30" s="75" t="s">
        <v>36</v>
      </c>
      <c r="B30" s="19" t="s">
        <v>64</v>
      </c>
      <c r="C30" s="19" t="s">
        <v>65</v>
      </c>
      <c r="D30" s="20">
        <v>45327</v>
      </c>
      <c r="E30" s="21">
        <v>111000</v>
      </c>
      <c r="F30" s="19" t="s">
        <v>32</v>
      </c>
      <c r="G30" s="19" t="s">
        <v>66</v>
      </c>
      <c r="H30" s="21">
        <v>111000</v>
      </c>
      <c r="I30" s="21">
        <v>48600</v>
      </c>
      <c r="J30" s="22">
        <f t="shared" si="7"/>
        <v>43.78378378378379</v>
      </c>
      <c r="K30" s="21">
        <v>140261</v>
      </c>
      <c r="L30" s="21">
        <f>H30-125461</f>
        <v>-14461</v>
      </c>
      <c r="M30" s="21">
        <v>14800</v>
      </c>
      <c r="N30" s="67">
        <f t="shared" si="8"/>
        <v>0.13333333333333333</v>
      </c>
      <c r="O30" s="23">
        <v>80</v>
      </c>
      <c r="P30" s="24">
        <v>250</v>
      </c>
      <c r="Q30" s="25">
        <v>0.23</v>
      </c>
      <c r="R30" s="25">
        <v>0.115</v>
      </c>
      <c r="S30" s="21">
        <f t="shared" si="9"/>
        <v>-180.76249999999999</v>
      </c>
      <c r="T30" s="21">
        <f t="shared" si="10"/>
        <v>-62873.913043478256</v>
      </c>
      <c r="U30" s="26">
        <f t="shared" si="11"/>
        <v>-1.4433864335050104</v>
      </c>
      <c r="V30" s="25">
        <v>80</v>
      </c>
      <c r="W30" s="25">
        <f t="shared" si="12"/>
        <v>22200</v>
      </c>
      <c r="X30" s="25">
        <f t="shared" si="13"/>
        <v>277.5</v>
      </c>
      <c r="Y30" s="27" t="s">
        <v>34</v>
      </c>
      <c r="Z30" s="19" t="s">
        <v>35</v>
      </c>
      <c r="AA30" s="19" t="s">
        <v>67</v>
      </c>
      <c r="AB30" s="19" t="s">
        <v>36</v>
      </c>
      <c r="AC30" s="19">
        <v>0</v>
      </c>
      <c r="AD30" s="19">
        <v>1</v>
      </c>
      <c r="AE30" s="19" t="s">
        <v>58</v>
      </c>
      <c r="AF30" s="19" t="s">
        <v>43</v>
      </c>
      <c r="AG30" s="19" t="s">
        <v>38</v>
      </c>
      <c r="AH30" s="19" t="s">
        <v>39</v>
      </c>
    </row>
    <row r="31" spans="1:34" x14ac:dyDescent="0.3">
      <c r="A31" s="74" t="s">
        <v>36</v>
      </c>
      <c r="B31" s="10" t="s">
        <v>72</v>
      </c>
      <c r="C31" s="10" t="s">
        <v>73</v>
      </c>
      <c r="D31" s="11">
        <v>45552</v>
      </c>
      <c r="E31" s="12">
        <v>79900</v>
      </c>
      <c r="F31" s="10" t="s">
        <v>32</v>
      </c>
      <c r="G31" s="10" t="s">
        <v>33</v>
      </c>
      <c r="H31" s="12">
        <v>79900</v>
      </c>
      <c r="I31" s="12">
        <v>48900</v>
      </c>
      <c r="J31" s="13">
        <f t="shared" si="7"/>
        <v>61.201501877346686</v>
      </c>
      <c r="K31" s="12">
        <v>119243</v>
      </c>
      <c r="L31" s="12">
        <f>H31-111696</f>
        <v>-31796</v>
      </c>
      <c r="M31" s="12">
        <v>7547</v>
      </c>
      <c r="N31" s="66">
        <f t="shared" si="8"/>
        <v>9.4455569461827288E-2</v>
      </c>
      <c r="O31" s="14">
        <v>40.79</v>
      </c>
      <c r="P31" s="15">
        <v>130</v>
      </c>
      <c r="Q31" s="16">
        <v>0.11899999999999999</v>
      </c>
      <c r="R31" s="16">
        <v>0.11899999999999999</v>
      </c>
      <c r="S31" s="12">
        <f t="shared" si="9"/>
        <v>-779.5047805834763</v>
      </c>
      <c r="T31" s="12">
        <f t="shared" si="10"/>
        <v>-267193.27731092437</v>
      </c>
      <c r="U31" s="17">
        <f t="shared" si="11"/>
        <v>-6.1339136205446367</v>
      </c>
      <c r="V31" s="16">
        <v>40</v>
      </c>
      <c r="W31" s="16">
        <f t="shared" si="12"/>
        <v>15980</v>
      </c>
      <c r="X31" s="16">
        <f t="shared" si="13"/>
        <v>399.5</v>
      </c>
      <c r="Y31" s="18" t="s">
        <v>34</v>
      </c>
      <c r="Z31" s="10" t="s">
        <v>35</v>
      </c>
      <c r="AA31" s="10" t="s">
        <v>35</v>
      </c>
      <c r="AB31" s="10" t="s">
        <v>36</v>
      </c>
      <c r="AC31" s="10">
        <v>0</v>
      </c>
      <c r="AD31" s="10">
        <v>0</v>
      </c>
      <c r="AE31" s="10" t="s">
        <v>37</v>
      </c>
      <c r="AF31" s="10" t="s">
        <v>43</v>
      </c>
      <c r="AG31" s="10" t="s">
        <v>38</v>
      </c>
      <c r="AH31" s="10" t="s">
        <v>39</v>
      </c>
    </row>
    <row r="32" spans="1:34" x14ac:dyDescent="0.3">
      <c r="A32" s="74" t="s">
        <v>36</v>
      </c>
      <c r="B32" s="10" t="s">
        <v>79</v>
      </c>
      <c r="C32" s="10" t="s">
        <v>80</v>
      </c>
      <c r="D32" s="11">
        <v>45665</v>
      </c>
      <c r="E32" s="12">
        <v>114000</v>
      </c>
      <c r="F32" s="10" t="s">
        <v>81</v>
      </c>
      <c r="G32" s="10" t="s">
        <v>33</v>
      </c>
      <c r="H32" s="12">
        <v>114000</v>
      </c>
      <c r="I32" s="12">
        <v>46700</v>
      </c>
      <c r="J32" s="13">
        <f t="shared" si="7"/>
        <v>40.964912280701753</v>
      </c>
      <c r="K32" s="12">
        <v>113765</v>
      </c>
      <c r="L32" s="12">
        <f>H32-106075</f>
        <v>7925</v>
      </c>
      <c r="M32" s="12">
        <v>7690</v>
      </c>
      <c r="N32" s="66">
        <f t="shared" si="8"/>
        <v>6.7456140350877186E-2</v>
      </c>
      <c r="O32" s="14">
        <v>41.56</v>
      </c>
      <c r="P32" s="15">
        <v>135</v>
      </c>
      <c r="Q32" s="16">
        <v>0.124</v>
      </c>
      <c r="R32" s="16">
        <v>0.124</v>
      </c>
      <c r="S32" s="12">
        <f t="shared" si="9"/>
        <v>190.68816169393648</v>
      </c>
      <c r="T32" s="12">
        <f t="shared" si="10"/>
        <v>63911.290322580644</v>
      </c>
      <c r="U32" s="17">
        <f t="shared" si="11"/>
        <v>1.4672013389022187</v>
      </c>
      <c r="V32" s="16">
        <v>40</v>
      </c>
      <c r="W32" s="16">
        <f t="shared" si="12"/>
        <v>22800</v>
      </c>
      <c r="X32" s="16">
        <f t="shared" si="13"/>
        <v>570</v>
      </c>
      <c r="Y32" s="18" t="s">
        <v>34</v>
      </c>
      <c r="Z32" s="10" t="s">
        <v>35</v>
      </c>
      <c r="AA32" s="10" t="s">
        <v>35</v>
      </c>
      <c r="AB32" s="10" t="s">
        <v>36</v>
      </c>
      <c r="AC32" s="10">
        <v>0</v>
      </c>
      <c r="AD32" s="10">
        <v>0</v>
      </c>
      <c r="AE32" s="10" t="s">
        <v>37</v>
      </c>
      <c r="AF32" s="10" t="s">
        <v>35</v>
      </c>
      <c r="AG32" s="10" t="s">
        <v>38</v>
      </c>
      <c r="AH32" s="10" t="s">
        <v>39</v>
      </c>
    </row>
    <row r="33" spans="1:34" x14ac:dyDescent="0.3">
      <c r="A33" s="75" t="s">
        <v>36</v>
      </c>
      <c r="B33" s="19" t="s">
        <v>163</v>
      </c>
      <c r="C33" s="19" t="s">
        <v>164</v>
      </c>
      <c r="D33" s="20">
        <v>45622</v>
      </c>
      <c r="E33" s="21">
        <v>80000</v>
      </c>
      <c r="F33" s="19" t="s">
        <v>32</v>
      </c>
      <c r="G33" s="19" t="s">
        <v>33</v>
      </c>
      <c r="H33" s="21">
        <v>80000</v>
      </c>
      <c r="I33" s="21">
        <v>52800</v>
      </c>
      <c r="J33" s="22">
        <f t="shared" si="7"/>
        <v>66</v>
      </c>
      <c r="K33" s="21">
        <v>128968</v>
      </c>
      <c r="L33" s="21">
        <f>H33-121179</f>
        <v>-41179</v>
      </c>
      <c r="M33" s="21">
        <v>7789</v>
      </c>
      <c r="N33" s="67">
        <f t="shared" si="8"/>
        <v>9.7362500000000005E-2</v>
      </c>
      <c r="O33" s="23">
        <v>42.1</v>
      </c>
      <c r="P33" s="24">
        <v>138.5</v>
      </c>
      <c r="Q33" s="25">
        <v>0.127</v>
      </c>
      <c r="R33" s="25">
        <v>0.127</v>
      </c>
      <c r="S33" s="21">
        <f t="shared" si="9"/>
        <v>-978.12351543942987</v>
      </c>
      <c r="T33" s="21">
        <f t="shared" si="10"/>
        <v>-324244.09448818897</v>
      </c>
      <c r="U33" s="26">
        <f t="shared" si="11"/>
        <v>-7.4436201673137967</v>
      </c>
      <c r="V33" s="25">
        <v>40</v>
      </c>
      <c r="W33" s="25">
        <f t="shared" si="12"/>
        <v>16000</v>
      </c>
      <c r="X33" s="25">
        <f t="shared" si="13"/>
        <v>400</v>
      </c>
      <c r="Y33" s="27" t="s">
        <v>34</v>
      </c>
      <c r="Z33" s="19" t="s">
        <v>35</v>
      </c>
      <c r="AA33" s="19" t="s">
        <v>35</v>
      </c>
      <c r="AB33" s="19" t="s">
        <v>36</v>
      </c>
      <c r="AC33" s="19">
        <v>0</v>
      </c>
      <c r="AD33" s="19">
        <v>0</v>
      </c>
      <c r="AE33" s="19" t="s">
        <v>37</v>
      </c>
      <c r="AF33" s="19" t="s">
        <v>35</v>
      </c>
      <c r="AG33" s="19" t="s">
        <v>38</v>
      </c>
      <c r="AH33" s="19" t="s">
        <v>39</v>
      </c>
    </row>
    <row r="34" spans="1:34" x14ac:dyDescent="0.3">
      <c r="A34" s="74" t="s">
        <v>36</v>
      </c>
      <c r="B34" s="10" t="s">
        <v>163</v>
      </c>
      <c r="C34" s="10" t="s">
        <v>164</v>
      </c>
      <c r="D34" s="11">
        <v>45572</v>
      </c>
      <c r="E34" s="12">
        <v>55000</v>
      </c>
      <c r="F34" s="10" t="s">
        <v>32</v>
      </c>
      <c r="G34" s="10" t="s">
        <v>33</v>
      </c>
      <c r="H34" s="12">
        <v>55000</v>
      </c>
      <c r="I34" s="12">
        <v>52800</v>
      </c>
      <c r="J34" s="13">
        <f t="shared" si="7"/>
        <v>96</v>
      </c>
      <c r="K34" s="12">
        <v>128968</v>
      </c>
      <c r="L34" s="12">
        <f>H34-121179</f>
        <v>-66179</v>
      </c>
      <c r="M34" s="12">
        <v>7789</v>
      </c>
      <c r="N34" s="66">
        <f t="shared" si="8"/>
        <v>0.14161818181818181</v>
      </c>
      <c r="O34" s="14">
        <v>42.1</v>
      </c>
      <c r="P34" s="15">
        <v>138.5</v>
      </c>
      <c r="Q34" s="16">
        <v>0.127</v>
      </c>
      <c r="R34" s="16">
        <v>0.127</v>
      </c>
      <c r="S34" s="12">
        <f t="shared" si="9"/>
        <v>-1571.9477434679334</v>
      </c>
      <c r="T34" s="12">
        <f t="shared" si="10"/>
        <v>-521094.48818897636</v>
      </c>
      <c r="U34" s="17">
        <f t="shared" si="11"/>
        <v>-11.962683383585317</v>
      </c>
      <c r="V34" s="16">
        <v>40</v>
      </c>
      <c r="W34" s="16">
        <f t="shared" si="12"/>
        <v>11000</v>
      </c>
      <c r="X34" s="16">
        <f t="shared" si="13"/>
        <v>275</v>
      </c>
      <c r="Y34" s="18" t="s">
        <v>34</v>
      </c>
      <c r="Z34" s="10" t="s">
        <v>35</v>
      </c>
      <c r="AA34" s="10" t="s">
        <v>35</v>
      </c>
      <c r="AB34" s="10" t="s">
        <v>36</v>
      </c>
      <c r="AC34" s="10">
        <v>0</v>
      </c>
      <c r="AD34" s="10">
        <v>0</v>
      </c>
      <c r="AE34" s="10" t="s">
        <v>37</v>
      </c>
      <c r="AF34" s="10" t="s">
        <v>35</v>
      </c>
      <c r="AG34" s="10" t="s">
        <v>38</v>
      </c>
      <c r="AH34" s="10" t="s">
        <v>39</v>
      </c>
    </row>
    <row r="35" spans="1:34" x14ac:dyDescent="0.3">
      <c r="A35" s="74" t="s">
        <v>36</v>
      </c>
      <c r="B35" s="10" t="s">
        <v>169</v>
      </c>
      <c r="C35" s="10" t="s">
        <v>170</v>
      </c>
      <c r="D35" s="11">
        <v>45104</v>
      </c>
      <c r="E35" s="12">
        <v>115000</v>
      </c>
      <c r="F35" s="10" t="s">
        <v>32</v>
      </c>
      <c r="G35" s="10" t="s">
        <v>33</v>
      </c>
      <c r="H35" s="12">
        <v>115000</v>
      </c>
      <c r="I35" s="12">
        <v>48700</v>
      </c>
      <c r="J35" s="13">
        <f t="shared" si="7"/>
        <v>42.347826086956516</v>
      </c>
      <c r="K35" s="12">
        <v>134111</v>
      </c>
      <c r="L35" s="12">
        <f>H35-124525</f>
        <v>-9525</v>
      </c>
      <c r="M35" s="12">
        <v>9586</v>
      </c>
      <c r="N35" s="66">
        <f t="shared" si="8"/>
        <v>8.335652173913044E-2</v>
      </c>
      <c r="O35" s="14">
        <v>51.81</v>
      </c>
      <c r="P35" s="15">
        <v>134.25</v>
      </c>
      <c r="Q35" s="16">
        <v>0.154</v>
      </c>
      <c r="R35" s="16">
        <v>0.154</v>
      </c>
      <c r="S35" s="12">
        <f t="shared" si="9"/>
        <v>-183.84481760277939</v>
      </c>
      <c r="T35" s="12">
        <f t="shared" si="10"/>
        <v>-61850.64935064935</v>
      </c>
      <c r="U35" s="17">
        <f t="shared" si="11"/>
        <v>-1.4198955314657793</v>
      </c>
      <c r="V35" s="16">
        <v>50</v>
      </c>
      <c r="W35" s="16">
        <f t="shared" si="12"/>
        <v>23000</v>
      </c>
      <c r="X35" s="16">
        <f t="shared" si="13"/>
        <v>460</v>
      </c>
      <c r="Y35" s="18" t="s">
        <v>34</v>
      </c>
      <c r="Z35" s="10" t="s">
        <v>35</v>
      </c>
      <c r="AA35" s="10" t="s">
        <v>35</v>
      </c>
      <c r="AB35" s="10" t="s">
        <v>36</v>
      </c>
      <c r="AC35" s="10">
        <v>0</v>
      </c>
      <c r="AD35" s="10">
        <v>0</v>
      </c>
      <c r="AE35" s="10" t="s">
        <v>58</v>
      </c>
      <c r="AF35" s="10" t="s">
        <v>43</v>
      </c>
      <c r="AG35" s="10" t="s">
        <v>38</v>
      </c>
      <c r="AH35" s="10" t="s">
        <v>39</v>
      </c>
    </row>
    <row r="36" spans="1:34" x14ac:dyDescent="0.3">
      <c r="A36" s="75" t="s">
        <v>36</v>
      </c>
      <c r="B36" s="19" t="s">
        <v>46</v>
      </c>
      <c r="C36" s="19" t="s">
        <v>47</v>
      </c>
      <c r="D36" s="20">
        <v>45062</v>
      </c>
      <c r="E36" s="21">
        <v>140000</v>
      </c>
      <c r="F36" s="19" t="s">
        <v>32</v>
      </c>
      <c r="G36" s="19" t="s">
        <v>33</v>
      </c>
      <c r="H36" s="21">
        <v>140000</v>
      </c>
      <c r="I36" s="21">
        <v>49400</v>
      </c>
      <c r="J36" s="22">
        <f t="shared" si="7"/>
        <v>35.285714285714285</v>
      </c>
      <c r="K36" s="21">
        <v>137264</v>
      </c>
      <c r="L36" s="21">
        <f>H36-129864</f>
        <v>10136</v>
      </c>
      <c r="M36" s="21">
        <v>7400</v>
      </c>
      <c r="N36" s="67">
        <f t="shared" si="8"/>
        <v>5.2857142857142859E-2</v>
      </c>
      <c r="O36" s="23">
        <v>40</v>
      </c>
      <c r="P36" s="24">
        <v>125</v>
      </c>
      <c r="Q36" s="25">
        <v>0.115</v>
      </c>
      <c r="R36" s="25">
        <v>0.115</v>
      </c>
      <c r="S36" s="21">
        <f t="shared" si="9"/>
        <v>253.4</v>
      </c>
      <c r="T36" s="21">
        <f t="shared" si="10"/>
        <v>88139.130434782608</v>
      </c>
      <c r="U36" s="26">
        <f t="shared" si="11"/>
        <v>2.023396015490877</v>
      </c>
      <c r="V36" s="25">
        <v>40</v>
      </c>
      <c r="W36" s="25">
        <f t="shared" si="12"/>
        <v>28000</v>
      </c>
      <c r="X36" s="25">
        <f t="shared" si="13"/>
        <v>700</v>
      </c>
      <c r="Y36" s="27" t="s">
        <v>34</v>
      </c>
      <c r="Z36" s="19" t="s">
        <v>35</v>
      </c>
      <c r="AA36" s="19" t="s">
        <v>35</v>
      </c>
      <c r="AB36" s="19" t="s">
        <v>36</v>
      </c>
      <c r="AC36" s="19">
        <v>0</v>
      </c>
      <c r="AD36" s="19">
        <v>1</v>
      </c>
      <c r="AE36" s="19" t="s">
        <v>37</v>
      </c>
      <c r="AF36" s="19" t="s">
        <v>43</v>
      </c>
      <c r="AG36" s="19" t="s">
        <v>38</v>
      </c>
      <c r="AH36" s="19" t="s">
        <v>39</v>
      </c>
    </row>
    <row r="37" spans="1:34" x14ac:dyDescent="0.3">
      <c r="A37" s="74" t="s">
        <v>36</v>
      </c>
      <c r="B37" s="10" t="s">
        <v>62</v>
      </c>
      <c r="C37" s="10" t="s">
        <v>63</v>
      </c>
      <c r="D37" s="11">
        <v>45155</v>
      </c>
      <c r="E37" s="12">
        <v>150000</v>
      </c>
      <c r="F37" s="10" t="s">
        <v>32</v>
      </c>
      <c r="G37" s="10" t="s">
        <v>33</v>
      </c>
      <c r="H37" s="12">
        <v>150000</v>
      </c>
      <c r="I37" s="12">
        <v>47500</v>
      </c>
      <c r="J37" s="13">
        <f t="shared" si="7"/>
        <v>31.666666666666664</v>
      </c>
      <c r="K37" s="12">
        <v>142123</v>
      </c>
      <c r="L37" s="12">
        <f>H37-127323</f>
        <v>22677</v>
      </c>
      <c r="M37" s="12">
        <v>14800</v>
      </c>
      <c r="N37" s="66">
        <f t="shared" si="8"/>
        <v>9.8666666666666666E-2</v>
      </c>
      <c r="O37" s="14">
        <v>80</v>
      </c>
      <c r="P37" s="15">
        <v>125</v>
      </c>
      <c r="Q37" s="16">
        <v>0.23</v>
      </c>
      <c r="R37" s="16">
        <v>0.23</v>
      </c>
      <c r="S37" s="12">
        <f t="shared" si="9"/>
        <v>283.46249999999998</v>
      </c>
      <c r="T37" s="12">
        <f t="shared" si="10"/>
        <v>98595.65217391304</v>
      </c>
      <c r="U37" s="17">
        <f t="shared" si="11"/>
        <v>2.2634447239190321</v>
      </c>
      <c r="V37" s="16">
        <v>80</v>
      </c>
      <c r="W37" s="16">
        <f t="shared" si="12"/>
        <v>30000</v>
      </c>
      <c r="X37" s="16">
        <f t="shared" si="13"/>
        <v>375</v>
      </c>
      <c r="Y37" s="18" t="s">
        <v>34</v>
      </c>
      <c r="Z37" s="10" t="s">
        <v>35</v>
      </c>
      <c r="AA37" s="10" t="s">
        <v>35</v>
      </c>
      <c r="AB37" s="10" t="s">
        <v>36</v>
      </c>
      <c r="AC37" s="10">
        <v>0</v>
      </c>
      <c r="AD37" s="10">
        <v>1</v>
      </c>
      <c r="AE37" s="10" t="s">
        <v>58</v>
      </c>
      <c r="AF37" s="10" t="s">
        <v>43</v>
      </c>
      <c r="AG37" s="10" t="s">
        <v>38</v>
      </c>
      <c r="AH37" s="10" t="s">
        <v>39</v>
      </c>
    </row>
    <row r="38" spans="1:34" x14ac:dyDescent="0.3">
      <c r="A38" s="74" t="s">
        <v>36</v>
      </c>
      <c r="B38" s="10" t="s">
        <v>51</v>
      </c>
      <c r="C38" s="10" t="s">
        <v>52</v>
      </c>
      <c r="D38" s="11">
        <v>45259</v>
      </c>
      <c r="E38" s="12">
        <v>130000</v>
      </c>
      <c r="F38" s="10" t="s">
        <v>32</v>
      </c>
      <c r="G38" s="10" t="s">
        <v>33</v>
      </c>
      <c r="H38" s="12">
        <v>130000</v>
      </c>
      <c r="I38" s="12">
        <v>42000</v>
      </c>
      <c r="J38" s="13">
        <f t="shared" si="7"/>
        <v>32.307692307692307</v>
      </c>
      <c r="K38" s="12">
        <v>120942</v>
      </c>
      <c r="L38" s="12">
        <f>H38-106142</f>
        <v>23858</v>
      </c>
      <c r="M38" s="12">
        <v>14800</v>
      </c>
      <c r="N38" s="66">
        <f t="shared" si="8"/>
        <v>0.11384615384615385</v>
      </c>
      <c r="O38" s="14">
        <v>80</v>
      </c>
      <c r="P38" s="15">
        <v>125</v>
      </c>
      <c r="Q38" s="16">
        <v>0.23</v>
      </c>
      <c r="R38" s="16">
        <v>0.23</v>
      </c>
      <c r="S38" s="12">
        <f t="shared" si="9"/>
        <v>298.22500000000002</v>
      </c>
      <c r="T38" s="12">
        <f t="shared" si="10"/>
        <v>103730.43478260869</v>
      </c>
      <c r="U38" s="17">
        <f t="shared" si="11"/>
        <v>2.3813231125484089</v>
      </c>
      <c r="V38" s="16">
        <v>80</v>
      </c>
      <c r="W38" s="16">
        <f t="shared" si="12"/>
        <v>26000</v>
      </c>
      <c r="X38" s="16">
        <f t="shared" si="13"/>
        <v>325</v>
      </c>
      <c r="Y38" s="18" t="s">
        <v>34</v>
      </c>
      <c r="Z38" s="10" t="s">
        <v>35</v>
      </c>
      <c r="AA38" s="10" t="s">
        <v>35</v>
      </c>
      <c r="AB38" s="10" t="s">
        <v>36</v>
      </c>
      <c r="AC38" s="10">
        <v>0</v>
      </c>
      <c r="AD38" s="10">
        <v>1</v>
      </c>
      <c r="AE38" s="10" t="s">
        <v>53</v>
      </c>
      <c r="AF38" s="10" t="s">
        <v>43</v>
      </c>
      <c r="AG38" s="10" t="s">
        <v>38</v>
      </c>
      <c r="AH38" s="10" t="s">
        <v>39</v>
      </c>
    </row>
  </sheetData>
  <sortState xmlns:xlrd2="http://schemas.microsoft.com/office/spreadsheetml/2017/richdata2" ref="A29:AH38">
    <sortCondition ref="B29:B38"/>
  </sortState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5">
    <tabColor rgb="FFFF0000"/>
  </sheetPr>
  <dimension ref="A1:AH14"/>
  <sheetViews>
    <sheetView workbookViewId="0">
      <selection activeCell="E6" sqref="E6:L1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2462</v>
      </c>
      <c r="B2" s="10" t="s">
        <v>2460</v>
      </c>
      <c r="C2" s="10" t="s">
        <v>2461</v>
      </c>
      <c r="D2" s="11">
        <v>45230</v>
      </c>
      <c r="E2" s="12">
        <v>140000</v>
      </c>
      <c r="F2" s="10" t="s">
        <v>32</v>
      </c>
      <c r="G2" s="10" t="s">
        <v>33</v>
      </c>
      <c r="H2" s="12">
        <v>140000</v>
      </c>
      <c r="I2" s="12">
        <v>46200</v>
      </c>
      <c r="J2" s="13">
        <f>I2/H2*100</f>
        <v>33</v>
      </c>
      <c r="K2" s="12">
        <v>118727</v>
      </c>
      <c r="L2" s="12">
        <f>H2-105407</f>
        <v>34593</v>
      </c>
      <c r="M2" s="12">
        <v>13320</v>
      </c>
      <c r="N2" s="66">
        <f>M2/E2</f>
        <v>9.514285714285714E-2</v>
      </c>
      <c r="O2" s="14">
        <v>69.010000000000005</v>
      </c>
      <c r="P2" s="15">
        <v>270</v>
      </c>
      <c r="Q2" s="16">
        <v>0.39</v>
      </c>
      <c r="R2" s="16">
        <v>0.39</v>
      </c>
      <c r="S2" s="12">
        <f>L2/O2</f>
        <v>501.27517751050567</v>
      </c>
      <c r="T2" s="12">
        <f>L2/Q2</f>
        <v>88700</v>
      </c>
      <c r="U2" s="17">
        <f>L2/Q2/43560</f>
        <v>2.0362718089990817</v>
      </c>
      <c r="V2" s="16">
        <v>63</v>
      </c>
      <c r="W2" s="16">
        <f>0.2*E2</f>
        <v>28000</v>
      </c>
      <c r="X2" s="16">
        <f>W2/V2</f>
        <v>444.44444444444446</v>
      </c>
      <c r="Y2" s="18" t="s">
        <v>2434</v>
      </c>
      <c r="Z2" s="10" t="s">
        <v>35</v>
      </c>
      <c r="AA2" s="10" t="s">
        <v>35</v>
      </c>
      <c r="AB2" s="10" t="s">
        <v>2462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140000</v>
      </c>
      <c r="F3" s="37"/>
      <c r="G3" s="37"/>
      <c r="H3" s="39">
        <f>+SUM(H2:H2)</f>
        <v>140000</v>
      </c>
      <c r="I3" s="39">
        <f>+SUM(I2:I2)</f>
        <v>46200</v>
      </c>
      <c r="J3" s="40"/>
      <c r="K3" s="39">
        <f>+SUM(K2:K2)</f>
        <v>118727</v>
      </c>
      <c r="L3" s="39">
        <f>+SUM(L2:L2)</f>
        <v>34593</v>
      </c>
      <c r="M3" s="39">
        <f>+SUM(M2:M2)</f>
        <v>13320</v>
      </c>
      <c r="N3" s="81">
        <f>AVERAGE(N2:N2)</f>
        <v>9.514285714285714E-2</v>
      </c>
      <c r="O3" s="41">
        <f>+SUM(O2:O2)</f>
        <v>69.010000000000005</v>
      </c>
      <c r="P3" s="42"/>
      <c r="Q3" s="43">
        <f>+SUM(Q2:Q2)</f>
        <v>0.39</v>
      </c>
      <c r="R3" s="43">
        <f>+SUM(R2:R2)</f>
        <v>0.39</v>
      </c>
      <c r="S3" s="39"/>
      <c r="T3" s="39"/>
      <c r="U3" s="44"/>
      <c r="V3" s="43"/>
      <c r="W3" s="82">
        <f>AVERAGE(W2:W2)</f>
        <v>28000</v>
      </c>
      <c r="X3" s="83">
        <f>AVERAGE(X2:X2)</f>
        <v>444.44444444444446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33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>
        <f>L3/O3</f>
        <v>501.27517751050567</v>
      </c>
      <c r="P5" s="50"/>
      <c r="Q5" s="51" t="s">
        <v>2881</v>
      </c>
      <c r="R5" s="51">
        <f>L3/Q3</f>
        <v>88700</v>
      </c>
      <c r="S5" s="48"/>
      <c r="T5" s="48" t="s">
        <v>2882</v>
      </c>
      <c r="U5" s="52">
        <f>L3/Q3/43560</f>
        <v>2.0362718089990817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6">
    <tabColor rgb="FF00B050"/>
  </sheetPr>
  <dimension ref="A1:AH16"/>
  <sheetViews>
    <sheetView workbookViewId="0">
      <selection activeCell="D7" sqref="D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0.55468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8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2703</v>
      </c>
      <c r="B2" s="19" t="s">
        <v>2704</v>
      </c>
      <c r="C2" s="19" t="s">
        <v>2705</v>
      </c>
      <c r="D2" s="20">
        <v>45023</v>
      </c>
      <c r="E2" s="21">
        <v>259900</v>
      </c>
      <c r="F2" s="19" t="s">
        <v>32</v>
      </c>
      <c r="G2" s="19" t="s">
        <v>33</v>
      </c>
      <c r="H2" s="21">
        <v>259900</v>
      </c>
      <c r="I2" s="21">
        <v>67500</v>
      </c>
      <c r="J2" s="22">
        <f>I2/H2*100</f>
        <v>25.971527510580994</v>
      </c>
      <c r="K2" s="21">
        <v>165607</v>
      </c>
      <c r="L2" s="21">
        <f>H2-107407</f>
        <v>152493</v>
      </c>
      <c r="M2" s="21">
        <v>58200</v>
      </c>
      <c r="N2" s="67">
        <f>M2/E2</f>
        <v>0.22393228164678722</v>
      </c>
      <c r="O2" s="23">
        <v>0</v>
      </c>
      <c r="P2" s="24">
        <v>0</v>
      </c>
      <c r="Q2" s="25">
        <v>3.88</v>
      </c>
      <c r="R2" s="25">
        <v>3.88</v>
      </c>
      <c r="S2" s="21" t="e">
        <f>L2/O2</f>
        <v>#DIV/0!</v>
      </c>
      <c r="T2" s="21">
        <f>L2/Q2</f>
        <v>39302.319587628866</v>
      </c>
      <c r="U2" s="26">
        <f>L2/Q2/43560</f>
        <v>0.90225710715401441</v>
      </c>
      <c r="V2" s="25">
        <v>0</v>
      </c>
      <c r="W2" s="25">
        <f>0.2*E2</f>
        <v>51980</v>
      </c>
      <c r="X2" s="25"/>
      <c r="Y2" s="27" t="s">
        <v>2702</v>
      </c>
      <c r="Z2" s="19" t="s">
        <v>35</v>
      </c>
      <c r="AA2" s="19" t="s">
        <v>35</v>
      </c>
      <c r="AB2" s="19" t="s">
        <v>2703</v>
      </c>
      <c r="AC2" s="19">
        <v>0</v>
      </c>
      <c r="AD2" s="19">
        <v>0</v>
      </c>
      <c r="AE2" s="19" t="s">
        <v>42</v>
      </c>
      <c r="AF2" s="19" t="s">
        <v>43</v>
      </c>
      <c r="AG2" s="19" t="s">
        <v>38</v>
      </c>
      <c r="AH2" s="19"/>
    </row>
    <row r="3" spans="1:34" ht="15" thickBot="1" x14ac:dyDescent="0.35">
      <c r="A3" s="75" t="s">
        <v>2703</v>
      </c>
      <c r="B3" s="19" t="s">
        <v>2700</v>
      </c>
      <c r="C3" s="19" t="s">
        <v>2701</v>
      </c>
      <c r="D3" s="20">
        <v>45686</v>
      </c>
      <c r="E3" s="21">
        <v>110000</v>
      </c>
      <c r="F3" s="19" t="s">
        <v>32</v>
      </c>
      <c r="G3" s="19" t="s">
        <v>33</v>
      </c>
      <c r="H3" s="21">
        <v>110000</v>
      </c>
      <c r="I3" s="21">
        <v>94000</v>
      </c>
      <c r="J3" s="22">
        <f>I3/H3*100</f>
        <v>85.454545454545453</v>
      </c>
      <c r="K3" s="21">
        <v>217349</v>
      </c>
      <c r="L3" s="21">
        <f>H3-191249</f>
        <v>-81249</v>
      </c>
      <c r="M3" s="21">
        <v>26100</v>
      </c>
      <c r="N3" s="67">
        <f>M3/E3</f>
        <v>0.23727272727272727</v>
      </c>
      <c r="O3" s="23">
        <v>0</v>
      </c>
      <c r="P3" s="24">
        <v>0</v>
      </c>
      <c r="Q3" s="25">
        <v>1.74</v>
      </c>
      <c r="R3" s="25">
        <v>1.74</v>
      </c>
      <c r="S3" s="21" t="e">
        <f>L3/O3</f>
        <v>#DIV/0!</v>
      </c>
      <c r="T3" s="21">
        <f>L3/Q3</f>
        <v>-46694.827586206899</v>
      </c>
      <c r="U3" s="26">
        <f>L3/Q3/43560</f>
        <v>-1.0719657388936386</v>
      </c>
      <c r="V3" s="25">
        <v>0</v>
      </c>
      <c r="W3" s="25">
        <f>0.2*E3</f>
        <v>22000</v>
      </c>
      <c r="X3" s="25"/>
      <c r="Y3" s="27" t="s">
        <v>2702</v>
      </c>
      <c r="Z3" s="19" t="s">
        <v>35</v>
      </c>
      <c r="AA3" s="19" t="s">
        <v>35</v>
      </c>
      <c r="AB3" s="19" t="s">
        <v>2703</v>
      </c>
      <c r="AC3" s="19">
        <v>0</v>
      </c>
      <c r="AD3" s="19">
        <v>0</v>
      </c>
      <c r="AE3" s="19" t="s">
        <v>42</v>
      </c>
      <c r="AF3" s="19" t="s">
        <v>35</v>
      </c>
      <c r="AG3" s="19" t="s">
        <v>38</v>
      </c>
      <c r="AH3" s="19"/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369900</v>
      </c>
      <c r="F4" s="37"/>
      <c r="G4" s="37"/>
      <c r="H4" s="39">
        <f>+SUM(H2:H3)</f>
        <v>369900</v>
      </c>
      <c r="I4" s="39">
        <f>+SUM(I2:I3)</f>
        <v>161500</v>
      </c>
      <c r="J4" s="40"/>
      <c r="K4" s="39">
        <f>+SUM(K2:K3)</f>
        <v>382956</v>
      </c>
      <c r="L4" s="39">
        <f>+SUM(L2:L3)</f>
        <v>71244</v>
      </c>
      <c r="M4" s="39">
        <f>+SUM(M2:M3)</f>
        <v>84300</v>
      </c>
      <c r="N4" s="81">
        <f>AVERAGE(N2:N3)</f>
        <v>0.23060250445975725</v>
      </c>
      <c r="O4" s="41">
        <f>+SUM(O2:O3)</f>
        <v>0</v>
      </c>
      <c r="P4" s="42"/>
      <c r="Q4" s="43">
        <f>+SUM(Q2:Q3)</f>
        <v>5.62</v>
      </c>
      <c r="R4" s="43">
        <f>+SUM(R2:R3)</f>
        <v>5.62</v>
      </c>
      <c r="S4" s="39"/>
      <c r="T4" s="39"/>
      <c r="U4" s="44"/>
      <c r="V4" s="43"/>
      <c r="W4" s="82">
        <f>AVERAGE(W2:W3)</f>
        <v>36990</v>
      </c>
      <c r="X4" s="83" t="e">
        <f>AVERAGE(X2:X3)</f>
        <v>#DIV/0!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43.660448769937823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42.060845353618355</v>
      </c>
      <c r="K6" s="48"/>
      <c r="L6" s="48"/>
      <c r="M6" s="48" t="s">
        <v>2880</v>
      </c>
      <c r="N6" s="80"/>
      <c r="O6" s="54" t="e">
        <f>L4/O4</f>
        <v>#DIV/0!</v>
      </c>
      <c r="P6" s="50"/>
      <c r="Q6" s="51" t="s">
        <v>2881</v>
      </c>
      <c r="R6" s="51">
        <f>L4/Q4</f>
        <v>12676.868327402135</v>
      </c>
      <c r="S6" s="48"/>
      <c r="T6" s="48" t="s">
        <v>2882</v>
      </c>
      <c r="U6" s="52">
        <f>L4/Q4/43560</f>
        <v>0.29102085232787273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  <row r="16" spans="1:34" x14ac:dyDescent="0.3">
      <c r="A16" s="74" t="s">
        <v>2703</v>
      </c>
      <c r="B16" s="10" t="s">
        <v>2782</v>
      </c>
      <c r="C16" s="10" t="s">
        <v>2783</v>
      </c>
      <c r="D16" s="11">
        <v>45042</v>
      </c>
      <c r="E16" s="12">
        <v>3000</v>
      </c>
      <c r="F16" s="10" t="s">
        <v>81</v>
      </c>
      <c r="G16" s="10" t="s">
        <v>33</v>
      </c>
      <c r="H16" s="12">
        <v>3000</v>
      </c>
      <c r="I16" s="12">
        <v>900</v>
      </c>
      <c r="J16" s="13">
        <f>I16/H16*100</f>
        <v>30</v>
      </c>
      <c r="K16" s="12">
        <v>1800</v>
      </c>
      <c r="L16" s="12">
        <f>H16-0</f>
        <v>3000</v>
      </c>
      <c r="M16" s="12">
        <v>1800</v>
      </c>
      <c r="N16" s="66"/>
      <c r="O16" s="14">
        <v>48.14</v>
      </c>
      <c r="P16" s="15">
        <v>110</v>
      </c>
      <c r="Q16" s="16">
        <v>0.12</v>
      </c>
      <c r="R16" s="16">
        <v>0.12</v>
      </c>
      <c r="S16" s="12">
        <f>L16/O16</f>
        <v>62.318238471125881</v>
      </c>
      <c r="T16" s="12">
        <f>L16/Q16</f>
        <v>25000</v>
      </c>
      <c r="U16" s="17">
        <f>L16/Q16/43560</f>
        <v>0.57392102846648296</v>
      </c>
      <c r="V16" s="16">
        <v>49.72</v>
      </c>
      <c r="W16" s="16">
        <f>0.2*E16</f>
        <v>600</v>
      </c>
      <c r="X16" s="16">
        <f>W16/V16</f>
        <v>12.067578439259856</v>
      </c>
      <c r="Y16" s="18" t="s">
        <v>2726</v>
      </c>
      <c r="Z16" s="10" t="s">
        <v>35</v>
      </c>
      <c r="AA16" s="10" t="s">
        <v>35</v>
      </c>
      <c r="AB16" s="10" t="s">
        <v>2703</v>
      </c>
      <c r="AC16" s="10">
        <v>0</v>
      </c>
      <c r="AD16" s="10">
        <v>0</v>
      </c>
      <c r="AE16" s="10" t="s">
        <v>37</v>
      </c>
      <c r="AF16" s="10" t="s">
        <v>43</v>
      </c>
      <c r="AG16" s="10" t="s">
        <v>61</v>
      </c>
      <c r="AH16" s="10" t="s">
        <v>1830</v>
      </c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7">
    <tabColor rgb="FF00B050"/>
  </sheetPr>
  <dimension ref="A1:AH22"/>
  <sheetViews>
    <sheetView workbookViewId="0">
      <selection activeCell="E10" sqref="E10:L16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2709</v>
      </c>
      <c r="B2" s="19" t="s">
        <v>2712</v>
      </c>
      <c r="C2" s="19" t="s">
        <v>2713</v>
      </c>
      <c r="D2" s="20">
        <v>45303</v>
      </c>
      <c r="E2" s="21">
        <v>300000</v>
      </c>
      <c r="F2" s="19" t="s">
        <v>32</v>
      </c>
      <c r="G2" s="19" t="s">
        <v>33</v>
      </c>
      <c r="H2" s="21">
        <v>300000</v>
      </c>
      <c r="I2" s="21">
        <v>106600</v>
      </c>
      <c r="J2" s="22">
        <f t="shared" ref="J2:J6" si="0">I2/H2*100</f>
        <v>35.533333333333331</v>
      </c>
      <c r="K2" s="21">
        <v>275537</v>
      </c>
      <c r="L2" s="21">
        <f>H2-251777</f>
        <v>48223</v>
      </c>
      <c r="M2" s="21">
        <v>23760</v>
      </c>
      <c r="N2" s="67">
        <f t="shared" ref="N2:N6" si="1">M2/E2</f>
        <v>7.9200000000000007E-2</v>
      </c>
      <c r="O2" s="23">
        <v>120</v>
      </c>
      <c r="P2" s="24">
        <v>135</v>
      </c>
      <c r="Q2" s="25">
        <v>0.372</v>
      </c>
      <c r="R2" s="25">
        <v>0.372</v>
      </c>
      <c r="S2" s="21">
        <f t="shared" ref="S2:S6" si="2">L2/O2</f>
        <v>401.85833333333335</v>
      </c>
      <c r="T2" s="21">
        <f t="shared" ref="T2:T6" si="3">L2/Q2</f>
        <v>129631.72043010753</v>
      </c>
      <c r="U2" s="26">
        <f t="shared" ref="U2:U6" si="4">L2/Q2/43560</f>
        <v>2.9759348124450762</v>
      </c>
      <c r="V2" s="25">
        <v>120</v>
      </c>
      <c r="W2" s="25">
        <f t="shared" ref="W2:W6" si="5">0.2*E2</f>
        <v>60000</v>
      </c>
      <c r="X2" s="25">
        <f t="shared" ref="X2:X6" si="6">W2/V2</f>
        <v>500</v>
      </c>
      <c r="Y2" s="27" t="s">
        <v>2708</v>
      </c>
      <c r="Z2" s="19" t="s">
        <v>35</v>
      </c>
      <c r="AA2" s="19" t="s">
        <v>35</v>
      </c>
      <c r="AB2" s="19" t="s">
        <v>2709</v>
      </c>
      <c r="AC2" s="19">
        <v>0</v>
      </c>
      <c r="AD2" s="19">
        <v>1</v>
      </c>
      <c r="AE2" s="19" t="s">
        <v>412</v>
      </c>
      <c r="AF2" s="19" t="s">
        <v>43</v>
      </c>
      <c r="AG2" s="19" t="s">
        <v>38</v>
      </c>
      <c r="AH2" s="19" t="s">
        <v>92</v>
      </c>
    </row>
    <row r="3" spans="1:34" x14ac:dyDescent="0.3">
      <c r="A3" s="74" t="s">
        <v>2709</v>
      </c>
      <c r="B3" s="10" t="s">
        <v>2710</v>
      </c>
      <c r="C3" s="10" t="s">
        <v>2711</v>
      </c>
      <c r="D3" s="11">
        <v>45470</v>
      </c>
      <c r="E3" s="12">
        <v>99900</v>
      </c>
      <c r="F3" s="10" t="s">
        <v>32</v>
      </c>
      <c r="G3" s="10" t="s">
        <v>33</v>
      </c>
      <c r="H3" s="12">
        <v>99900</v>
      </c>
      <c r="I3" s="12">
        <v>36900</v>
      </c>
      <c r="J3" s="13">
        <f t="shared" si="0"/>
        <v>36.936936936936938</v>
      </c>
      <c r="K3" s="12">
        <v>90519</v>
      </c>
      <c r="L3" s="12">
        <f>H3-82599</f>
        <v>17301</v>
      </c>
      <c r="M3" s="12">
        <v>7920</v>
      </c>
      <c r="N3" s="66">
        <f t="shared" si="1"/>
        <v>7.9279279279279274E-2</v>
      </c>
      <c r="O3" s="14">
        <v>40</v>
      </c>
      <c r="P3" s="15">
        <v>135</v>
      </c>
      <c r="Q3" s="16">
        <v>0.124</v>
      </c>
      <c r="R3" s="16">
        <v>0.124</v>
      </c>
      <c r="S3" s="12">
        <f t="shared" si="2"/>
        <v>432.52499999999998</v>
      </c>
      <c r="T3" s="12">
        <f t="shared" si="3"/>
        <v>139524.19354838709</v>
      </c>
      <c r="U3" s="17">
        <f t="shared" si="4"/>
        <v>3.2030347462898781</v>
      </c>
      <c r="V3" s="16">
        <v>40</v>
      </c>
      <c r="W3" s="16">
        <f t="shared" si="5"/>
        <v>19980</v>
      </c>
      <c r="X3" s="16">
        <f t="shared" si="6"/>
        <v>499.5</v>
      </c>
      <c r="Y3" s="18" t="s">
        <v>2708</v>
      </c>
      <c r="Z3" s="10" t="s">
        <v>35</v>
      </c>
      <c r="AA3" s="10" t="s">
        <v>35</v>
      </c>
      <c r="AB3" s="10" t="s">
        <v>2709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2709</v>
      </c>
      <c r="B4" s="10" t="s">
        <v>2718</v>
      </c>
      <c r="C4" s="10" t="s">
        <v>2719</v>
      </c>
      <c r="D4" s="11">
        <v>45041</v>
      </c>
      <c r="E4" s="12">
        <v>126000</v>
      </c>
      <c r="F4" s="10" t="s">
        <v>32</v>
      </c>
      <c r="G4" s="10" t="s">
        <v>33</v>
      </c>
      <c r="H4" s="12">
        <v>126000</v>
      </c>
      <c r="I4" s="12">
        <v>40800</v>
      </c>
      <c r="J4" s="13">
        <f t="shared" si="0"/>
        <v>32.38095238095238</v>
      </c>
      <c r="K4" s="12">
        <v>111186</v>
      </c>
      <c r="L4" s="12">
        <f>H4-99306</f>
        <v>26694</v>
      </c>
      <c r="M4" s="12">
        <v>11880</v>
      </c>
      <c r="N4" s="66">
        <f t="shared" si="1"/>
        <v>9.4285714285714292E-2</v>
      </c>
      <c r="O4" s="14">
        <v>60</v>
      </c>
      <c r="P4" s="15">
        <v>135</v>
      </c>
      <c r="Q4" s="16">
        <v>0.186</v>
      </c>
      <c r="R4" s="16">
        <v>0.186</v>
      </c>
      <c r="S4" s="12">
        <f t="shared" si="2"/>
        <v>444.9</v>
      </c>
      <c r="T4" s="12">
        <f t="shared" si="3"/>
        <v>143516.12903225806</v>
      </c>
      <c r="U4" s="17">
        <f t="shared" si="4"/>
        <v>3.2946769750288811</v>
      </c>
      <c r="V4" s="16">
        <v>60</v>
      </c>
      <c r="W4" s="16">
        <f t="shared" si="5"/>
        <v>25200</v>
      </c>
      <c r="X4" s="16">
        <f t="shared" si="6"/>
        <v>420</v>
      </c>
      <c r="Y4" s="18" t="s">
        <v>2708</v>
      </c>
      <c r="Z4" s="10" t="s">
        <v>35</v>
      </c>
      <c r="AA4" s="10" t="s">
        <v>35</v>
      </c>
      <c r="AB4" s="10" t="s">
        <v>2709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2709</v>
      </c>
      <c r="B5" s="10" t="s">
        <v>2706</v>
      </c>
      <c r="C5" s="10" t="s">
        <v>2707</v>
      </c>
      <c r="D5" s="11">
        <v>45491</v>
      </c>
      <c r="E5" s="12">
        <v>140000</v>
      </c>
      <c r="F5" s="10" t="s">
        <v>32</v>
      </c>
      <c r="G5" s="10" t="s">
        <v>33</v>
      </c>
      <c r="H5" s="12">
        <v>140000</v>
      </c>
      <c r="I5" s="12">
        <v>46100</v>
      </c>
      <c r="J5" s="13">
        <f t="shared" si="0"/>
        <v>32.928571428571431</v>
      </c>
      <c r="K5" s="12">
        <v>112044</v>
      </c>
      <c r="L5" s="12">
        <f>H5-96204</f>
        <v>43796</v>
      </c>
      <c r="M5" s="12">
        <v>15840</v>
      </c>
      <c r="N5" s="66">
        <f t="shared" si="1"/>
        <v>0.11314285714285714</v>
      </c>
      <c r="O5" s="14">
        <v>80</v>
      </c>
      <c r="P5" s="15">
        <v>135</v>
      </c>
      <c r="Q5" s="16">
        <v>0.248</v>
      </c>
      <c r="R5" s="16">
        <v>0.248</v>
      </c>
      <c r="S5" s="12">
        <f t="shared" si="2"/>
        <v>547.45000000000005</v>
      </c>
      <c r="T5" s="12">
        <f t="shared" si="3"/>
        <v>176596.77419354839</v>
      </c>
      <c r="U5" s="17">
        <f t="shared" si="4"/>
        <v>4.0541040907609824</v>
      </c>
      <c r="V5" s="16">
        <v>80</v>
      </c>
      <c r="W5" s="16">
        <f t="shared" si="5"/>
        <v>28000</v>
      </c>
      <c r="X5" s="16">
        <f t="shared" si="6"/>
        <v>350</v>
      </c>
      <c r="Y5" s="18" t="s">
        <v>2708</v>
      </c>
      <c r="Z5" s="10" t="s">
        <v>35</v>
      </c>
      <c r="AA5" s="10" t="s">
        <v>35</v>
      </c>
      <c r="AB5" s="10" t="s">
        <v>2709</v>
      </c>
      <c r="AC5" s="10">
        <v>0</v>
      </c>
      <c r="AD5" s="10">
        <v>1</v>
      </c>
      <c r="AE5" s="10" t="s">
        <v>42</v>
      </c>
      <c r="AF5" s="10" t="s">
        <v>43</v>
      </c>
      <c r="AG5" s="10" t="s">
        <v>38</v>
      </c>
      <c r="AH5" s="10" t="s">
        <v>92</v>
      </c>
    </row>
    <row r="6" spans="1:34" ht="15" thickBot="1" x14ac:dyDescent="0.35">
      <c r="A6" s="75" t="s">
        <v>2709</v>
      </c>
      <c r="B6" s="19" t="s">
        <v>2718</v>
      </c>
      <c r="C6" s="19" t="s">
        <v>2719</v>
      </c>
      <c r="D6" s="20">
        <v>45663</v>
      </c>
      <c r="E6" s="21">
        <v>139800</v>
      </c>
      <c r="F6" s="19" t="s">
        <v>32</v>
      </c>
      <c r="G6" s="19" t="s">
        <v>33</v>
      </c>
      <c r="H6" s="21">
        <v>139800</v>
      </c>
      <c r="I6" s="21">
        <v>45900</v>
      </c>
      <c r="J6" s="22">
        <f t="shared" si="0"/>
        <v>32.832618025751067</v>
      </c>
      <c r="K6" s="21">
        <v>111186</v>
      </c>
      <c r="L6" s="21">
        <f>H6-99306</f>
        <v>40494</v>
      </c>
      <c r="M6" s="21">
        <v>11880</v>
      </c>
      <c r="N6" s="67">
        <f t="shared" si="1"/>
        <v>8.4978540772532182E-2</v>
      </c>
      <c r="O6" s="23">
        <v>60</v>
      </c>
      <c r="P6" s="24">
        <v>135</v>
      </c>
      <c r="Q6" s="25">
        <v>0.186</v>
      </c>
      <c r="R6" s="25">
        <v>0.186</v>
      </c>
      <c r="S6" s="21">
        <f t="shared" si="2"/>
        <v>674.9</v>
      </c>
      <c r="T6" s="21">
        <f t="shared" si="3"/>
        <v>217709.67741935485</v>
      </c>
      <c r="U6" s="26">
        <f t="shared" si="4"/>
        <v>4.9979264788648958</v>
      </c>
      <c r="V6" s="25">
        <v>60</v>
      </c>
      <c r="W6" s="25">
        <f t="shared" si="5"/>
        <v>27960</v>
      </c>
      <c r="X6" s="25">
        <f t="shared" si="6"/>
        <v>466</v>
      </c>
      <c r="Y6" s="27" t="s">
        <v>2708</v>
      </c>
      <c r="Z6" s="19" t="s">
        <v>35</v>
      </c>
      <c r="AA6" s="19" t="s">
        <v>35</v>
      </c>
      <c r="AB6" s="19" t="s">
        <v>2709</v>
      </c>
      <c r="AC6" s="19">
        <v>0</v>
      </c>
      <c r="AD6" s="19">
        <v>1</v>
      </c>
      <c r="AE6" s="19" t="s">
        <v>42</v>
      </c>
      <c r="AF6" s="19" t="s">
        <v>35</v>
      </c>
      <c r="AG6" s="19" t="s">
        <v>38</v>
      </c>
      <c r="AH6" s="19" t="s">
        <v>92</v>
      </c>
    </row>
    <row r="7" spans="1:34" ht="15" thickTop="1" x14ac:dyDescent="0.3">
      <c r="A7" s="76"/>
      <c r="B7" s="37"/>
      <c r="C7" s="37"/>
      <c r="D7" s="38" t="s">
        <v>2876</v>
      </c>
      <c r="E7" s="39">
        <f>+SUM(E2:E6)</f>
        <v>805700</v>
      </c>
      <c r="F7" s="37"/>
      <c r="G7" s="37"/>
      <c r="H7" s="39">
        <f>+SUM(H2:H6)</f>
        <v>805700</v>
      </c>
      <c r="I7" s="39">
        <f>+SUM(I2:I6)</f>
        <v>276300</v>
      </c>
      <c r="J7" s="40"/>
      <c r="K7" s="39">
        <f>+SUM(K2:K6)</f>
        <v>700472</v>
      </c>
      <c r="L7" s="39">
        <f>+SUM(L2:L6)</f>
        <v>176508</v>
      </c>
      <c r="M7" s="39">
        <f>+SUM(M2:M6)</f>
        <v>71280</v>
      </c>
      <c r="N7" s="81">
        <f>AVERAGE(N2:N6)</f>
        <v>9.0177278296076593E-2</v>
      </c>
      <c r="O7" s="41">
        <f>+SUM(O2:O6)</f>
        <v>360</v>
      </c>
      <c r="P7" s="42"/>
      <c r="Q7" s="43">
        <f>+SUM(Q2:Q6)</f>
        <v>1.1159999999999999</v>
      </c>
      <c r="R7" s="43">
        <f>+SUM(R2:R6)</f>
        <v>1.1159999999999999</v>
      </c>
      <c r="S7" s="39"/>
      <c r="T7" s="39"/>
      <c r="U7" s="44"/>
      <c r="V7" s="43"/>
      <c r="W7" s="82">
        <f>AVERAGE(W2:W6)</f>
        <v>32228</v>
      </c>
      <c r="X7" s="83">
        <f>AVERAGE(X2:X6)</f>
        <v>447.1</v>
      </c>
      <c r="Y7" s="45"/>
      <c r="Z7" s="37"/>
      <c r="AA7" s="37"/>
      <c r="AB7" s="37"/>
      <c r="AC7" s="37"/>
      <c r="AD7" s="37"/>
      <c r="AE7" s="37"/>
      <c r="AF7" s="37"/>
      <c r="AG7" s="37"/>
      <c r="AH7" s="37"/>
    </row>
    <row r="8" spans="1:34" x14ac:dyDescent="0.3">
      <c r="A8" s="77"/>
      <c r="B8" s="28"/>
      <c r="C8" s="28"/>
      <c r="D8" s="29"/>
      <c r="E8" s="30"/>
      <c r="F8" s="28"/>
      <c r="G8" s="28"/>
      <c r="H8" s="30"/>
      <c r="I8" s="30" t="s">
        <v>2877</v>
      </c>
      <c r="J8" s="31">
        <f>I7/H7*100</f>
        <v>34.293161226262875</v>
      </c>
      <c r="K8" s="30"/>
      <c r="L8" s="30"/>
      <c r="M8" s="30" t="s">
        <v>2879</v>
      </c>
      <c r="N8" s="79"/>
      <c r="O8" s="32"/>
      <c r="P8" s="33"/>
      <c r="Q8" s="34" t="s">
        <v>2879</v>
      </c>
      <c r="R8" s="34"/>
      <c r="S8" s="30"/>
      <c r="T8" s="30" t="s">
        <v>2879</v>
      </c>
      <c r="U8" s="35"/>
      <c r="V8" s="34"/>
      <c r="W8" s="63"/>
      <c r="X8" s="68"/>
      <c r="Y8" s="36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3">
      <c r="A9" s="78"/>
      <c r="B9" s="46"/>
      <c r="C9" s="46"/>
      <c r="D9" s="47"/>
      <c r="E9" s="48"/>
      <c r="F9" s="46"/>
      <c r="G9" s="46"/>
      <c r="H9" s="48"/>
      <c r="I9" s="48" t="s">
        <v>2878</v>
      </c>
      <c r="J9" s="49">
        <f>STDEV(J2:J6)</f>
        <v>2.0021085769427289</v>
      </c>
      <c r="K9" s="48"/>
      <c r="L9" s="48"/>
      <c r="M9" s="48" t="s">
        <v>2880</v>
      </c>
      <c r="N9" s="80"/>
      <c r="O9" s="54">
        <f>L7/O7</f>
        <v>490.3</v>
      </c>
      <c r="P9" s="50"/>
      <c r="Q9" s="51" t="s">
        <v>2881</v>
      </c>
      <c r="R9" s="51">
        <f>L7/Q7</f>
        <v>158161.29032258067</v>
      </c>
      <c r="S9" s="48"/>
      <c r="T9" s="48" t="s">
        <v>2882</v>
      </c>
      <c r="U9" s="52">
        <f>L7/Q7/43560</f>
        <v>3.63088361622086</v>
      </c>
      <c r="V9" s="51"/>
      <c r="W9" s="64"/>
      <c r="X9" s="69"/>
      <c r="Y9" s="53"/>
      <c r="Z9" s="46"/>
      <c r="AA9" s="46"/>
      <c r="AB9" s="46"/>
      <c r="AC9" s="46"/>
      <c r="AD9" s="46"/>
      <c r="AE9" s="46"/>
      <c r="AF9" s="46"/>
      <c r="AG9" s="46"/>
      <c r="AH9" s="46"/>
    </row>
    <row r="10" spans="1:34" x14ac:dyDescent="0.3">
      <c r="E10" s="94" t="s">
        <v>3099</v>
      </c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L15" s="95"/>
    </row>
    <row r="16" spans="1:34" x14ac:dyDescent="0.3">
      <c r="E16" s="383" t="s">
        <v>3100</v>
      </c>
      <c r="F16" s="383"/>
      <c r="G16" s="383"/>
      <c r="H16" s="383"/>
      <c r="I16" s="383"/>
      <c r="L16" s="95"/>
    </row>
    <row r="17" spans="1:34" x14ac:dyDescent="0.3">
      <c r="E17" s="96"/>
      <c r="F17" s="96"/>
      <c r="G17" s="96"/>
      <c r="H17" s="96"/>
      <c r="I17" s="96"/>
      <c r="L17" s="95"/>
    </row>
    <row r="18" spans="1:34" x14ac:dyDescent="0.3">
      <c r="A18" s="55" t="s">
        <v>3092</v>
      </c>
      <c r="E18" s="96"/>
      <c r="F18" s="96"/>
      <c r="G18" s="96"/>
      <c r="H18" s="96"/>
      <c r="I18" s="96"/>
      <c r="L18" s="95"/>
    </row>
    <row r="19" spans="1:34" x14ac:dyDescent="0.3">
      <c r="A19" s="74" t="s">
        <v>2709</v>
      </c>
      <c r="B19" s="10" t="s">
        <v>2722</v>
      </c>
      <c r="C19" s="10" t="s">
        <v>2723</v>
      </c>
      <c r="D19" s="11">
        <v>45644</v>
      </c>
      <c r="E19" s="12">
        <v>75000</v>
      </c>
      <c r="F19" s="10" t="s">
        <v>81</v>
      </c>
      <c r="G19" s="10" t="s">
        <v>33</v>
      </c>
      <c r="H19" s="12">
        <v>75000</v>
      </c>
      <c r="I19" s="12">
        <v>49800</v>
      </c>
      <c r="J19" s="13">
        <f t="shared" ref="J19:J22" si="7">I19/H19*100</f>
        <v>66.400000000000006</v>
      </c>
      <c r="K19" s="12">
        <v>120973</v>
      </c>
      <c r="L19" s="12">
        <f>H19-109093</f>
        <v>-34093</v>
      </c>
      <c r="M19" s="12">
        <v>11880</v>
      </c>
      <c r="N19" s="66">
        <f t="shared" ref="N19:N22" si="8">M19/E19</f>
        <v>0.15840000000000001</v>
      </c>
      <c r="O19" s="14">
        <v>60</v>
      </c>
      <c r="P19" s="15">
        <v>135</v>
      </c>
      <c r="Q19" s="16">
        <v>0.186</v>
      </c>
      <c r="R19" s="16">
        <v>0.186</v>
      </c>
      <c r="S19" s="12">
        <f t="shared" ref="S19:S22" si="9">L19/O19</f>
        <v>-568.2166666666667</v>
      </c>
      <c r="T19" s="12">
        <f t="shared" ref="T19:T22" si="10">L19/Q19</f>
        <v>-183295.69892473117</v>
      </c>
      <c r="U19" s="17">
        <f t="shared" ref="U19:U22" si="11">L19/Q19/43560</f>
        <v>-4.2078902416145816</v>
      </c>
      <c r="V19" s="16">
        <v>60</v>
      </c>
      <c r="W19" s="16">
        <f t="shared" ref="W19:W22" si="12">0.2*E19</f>
        <v>15000</v>
      </c>
      <c r="X19" s="16">
        <f t="shared" ref="X19:X22" si="13">W19/V19</f>
        <v>250</v>
      </c>
      <c r="Y19" s="18" t="s">
        <v>2708</v>
      </c>
      <c r="Z19" s="10" t="s">
        <v>35</v>
      </c>
      <c r="AA19" s="10" t="s">
        <v>35</v>
      </c>
      <c r="AB19" s="10" t="s">
        <v>2709</v>
      </c>
      <c r="AC19" s="10">
        <v>0</v>
      </c>
      <c r="AD19" s="10">
        <v>1</v>
      </c>
      <c r="AE19" s="10" t="s">
        <v>42</v>
      </c>
      <c r="AF19" s="10" t="s">
        <v>35</v>
      </c>
      <c r="AG19" s="10" t="s">
        <v>38</v>
      </c>
      <c r="AH19" s="10" t="s">
        <v>92</v>
      </c>
    </row>
    <row r="20" spans="1:34" x14ac:dyDescent="0.3">
      <c r="A20" s="74" t="s">
        <v>2709</v>
      </c>
      <c r="B20" s="10" t="s">
        <v>2716</v>
      </c>
      <c r="C20" s="10" t="s">
        <v>2717</v>
      </c>
      <c r="D20" s="11">
        <v>45597</v>
      </c>
      <c r="E20" s="12">
        <v>107000</v>
      </c>
      <c r="F20" s="10" t="s">
        <v>32</v>
      </c>
      <c r="G20" s="10" t="s">
        <v>33</v>
      </c>
      <c r="H20" s="12">
        <v>107000</v>
      </c>
      <c r="I20" s="12">
        <v>46900</v>
      </c>
      <c r="J20" s="13">
        <f t="shared" si="7"/>
        <v>43.831775700934578</v>
      </c>
      <c r="K20" s="12">
        <v>115656</v>
      </c>
      <c r="L20" s="12">
        <f>H20-107736</f>
        <v>-736</v>
      </c>
      <c r="M20" s="12">
        <v>7920</v>
      </c>
      <c r="N20" s="66">
        <f t="shared" si="8"/>
        <v>7.4018691588785046E-2</v>
      </c>
      <c r="O20" s="14">
        <v>40</v>
      </c>
      <c r="P20" s="15">
        <v>135</v>
      </c>
      <c r="Q20" s="16">
        <v>0.124</v>
      </c>
      <c r="R20" s="16">
        <v>0.124</v>
      </c>
      <c r="S20" s="12">
        <f t="shared" si="9"/>
        <v>-18.399999999999999</v>
      </c>
      <c r="T20" s="12">
        <f t="shared" si="10"/>
        <v>-5935.4838709677424</v>
      </c>
      <c r="U20" s="17">
        <f t="shared" si="11"/>
        <v>-0.13625996030688114</v>
      </c>
      <c r="V20" s="16">
        <v>40</v>
      </c>
      <c r="W20" s="16">
        <f t="shared" si="12"/>
        <v>21400</v>
      </c>
      <c r="X20" s="16">
        <f t="shared" si="13"/>
        <v>535</v>
      </c>
      <c r="Y20" s="18" t="s">
        <v>2708</v>
      </c>
      <c r="Z20" s="10" t="s">
        <v>35</v>
      </c>
      <c r="AA20" s="10" t="s">
        <v>35</v>
      </c>
      <c r="AB20" s="10" t="s">
        <v>2709</v>
      </c>
      <c r="AC20" s="10">
        <v>0</v>
      </c>
      <c r="AD20" s="10">
        <v>1</v>
      </c>
      <c r="AE20" s="10" t="s">
        <v>42</v>
      </c>
      <c r="AF20" s="10" t="s">
        <v>35</v>
      </c>
      <c r="AG20" s="10" t="s">
        <v>38</v>
      </c>
      <c r="AH20" s="10" t="s">
        <v>92</v>
      </c>
    </row>
    <row r="21" spans="1:34" x14ac:dyDescent="0.3">
      <c r="A21" s="75" t="s">
        <v>2709</v>
      </c>
      <c r="B21" s="19" t="s">
        <v>2714</v>
      </c>
      <c r="C21" s="19" t="s">
        <v>2715</v>
      </c>
      <c r="D21" s="20">
        <v>45380</v>
      </c>
      <c r="E21" s="21">
        <v>150000</v>
      </c>
      <c r="F21" s="19" t="s">
        <v>32</v>
      </c>
      <c r="G21" s="19" t="s">
        <v>33</v>
      </c>
      <c r="H21" s="21">
        <v>150000</v>
      </c>
      <c r="I21" s="21">
        <v>60100</v>
      </c>
      <c r="J21" s="22">
        <f t="shared" si="7"/>
        <v>40.06666666666667</v>
      </c>
      <c r="K21" s="21">
        <v>157016</v>
      </c>
      <c r="L21" s="21">
        <f>H21-149096</f>
        <v>904</v>
      </c>
      <c r="M21" s="21">
        <v>7920</v>
      </c>
      <c r="N21" s="67">
        <f t="shared" si="8"/>
        <v>5.28E-2</v>
      </c>
      <c r="O21" s="23">
        <v>40</v>
      </c>
      <c r="P21" s="24">
        <v>135</v>
      </c>
      <c r="Q21" s="25">
        <v>0.124</v>
      </c>
      <c r="R21" s="25">
        <v>0.124</v>
      </c>
      <c r="S21" s="21">
        <f t="shared" si="9"/>
        <v>22.6</v>
      </c>
      <c r="T21" s="21">
        <f t="shared" si="10"/>
        <v>7290.322580645161</v>
      </c>
      <c r="U21" s="26">
        <f t="shared" si="11"/>
        <v>0.16736277733345181</v>
      </c>
      <c r="V21" s="25">
        <v>40</v>
      </c>
      <c r="W21" s="25">
        <f t="shared" si="12"/>
        <v>30000</v>
      </c>
      <c r="X21" s="25">
        <f t="shared" si="13"/>
        <v>750</v>
      </c>
      <c r="Y21" s="27" t="s">
        <v>2708</v>
      </c>
      <c r="Z21" s="19" t="s">
        <v>35</v>
      </c>
      <c r="AA21" s="19" t="s">
        <v>35</v>
      </c>
      <c r="AB21" s="19" t="s">
        <v>2709</v>
      </c>
      <c r="AC21" s="19">
        <v>0</v>
      </c>
      <c r="AD21" s="19">
        <v>1</v>
      </c>
      <c r="AE21" s="19" t="s">
        <v>37</v>
      </c>
      <c r="AF21" s="19" t="s">
        <v>43</v>
      </c>
      <c r="AG21" s="19" t="s">
        <v>38</v>
      </c>
      <c r="AH21" s="19" t="s">
        <v>92</v>
      </c>
    </row>
    <row r="22" spans="1:34" x14ac:dyDescent="0.3">
      <c r="A22" s="75" t="s">
        <v>2709</v>
      </c>
      <c r="B22" s="19" t="s">
        <v>2720</v>
      </c>
      <c r="C22" s="19" t="s">
        <v>2721</v>
      </c>
      <c r="D22" s="20">
        <v>45212</v>
      </c>
      <c r="E22" s="21">
        <v>155000</v>
      </c>
      <c r="F22" s="19" t="s">
        <v>32</v>
      </c>
      <c r="G22" s="19" t="s">
        <v>33</v>
      </c>
      <c r="H22" s="21">
        <v>155000</v>
      </c>
      <c r="I22" s="21">
        <v>57400</v>
      </c>
      <c r="J22" s="22">
        <f t="shared" si="7"/>
        <v>37.032258064516128</v>
      </c>
      <c r="K22" s="21">
        <v>150046</v>
      </c>
      <c r="L22" s="21">
        <f>H22-142126</f>
        <v>12874</v>
      </c>
      <c r="M22" s="21">
        <v>7920</v>
      </c>
      <c r="N22" s="67">
        <f t="shared" si="8"/>
        <v>5.109677419354839E-2</v>
      </c>
      <c r="O22" s="23">
        <v>40</v>
      </c>
      <c r="P22" s="24">
        <v>135</v>
      </c>
      <c r="Q22" s="25">
        <v>0.124</v>
      </c>
      <c r="R22" s="25">
        <v>0.124</v>
      </c>
      <c r="S22" s="21">
        <f t="shared" si="9"/>
        <v>321.85000000000002</v>
      </c>
      <c r="T22" s="21">
        <f t="shared" si="10"/>
        <v>103822.58064516129</v>
      </c>
      <c r="U22" s="26">
        <f t="shared" si="11"/>
        <v>2.3834384904766135</v>
      </c>
      <c r="V22" s="25">
        <v>40</v>
      </c>
      <c r="W22" s="25">
        <f t="shared" si="12"/>
        <v>31000</v>
      </c>
      <c r="X22" s="25">
        <f t="shared" si="13"/>
        <v>775</v>
      </c>
      <c r="Y22" s="27" t="s">
        <v>2708</v>
      </c>
      <c r="Z22" s="19" t="s">
        <v>35</v>
      </c>
      <c r="AA22" s="19" t="s">
        <v>35</v>
      </c>
      <c r="AB22" s="19" t="s">
        <v>2709</v>
      </c>
      <c r="AC22" s="19">
        <v>0</v>
      </c>
      <c r="AD22" s="19">
        <v>1</v>
      </c>
      <c r="AE22" s="19" t="s">
        <v>37</v>
      </c>
      <c r="AF22" s="19" t="s">
        <v>43</v>
      </c>
      <c r="AG22" s="19" t="s">
        <v>38</v>
      </c>
      <c r="AH22" s="19" t="s">
        <v>92</v>
      </c>
    </row>
  </sheetData>
  <sortState xmlns:xlrd2="http://schemas.microsoft.com/office/spreadsheetml/2017/richdata2" ref="A2:AH7">
    <sortCondition ref="S2:S7"/>
  </sortState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8">
    <tabColor rgb="FF00B050"/>
  </sheetPr>
  <dimension ref="A1:AH29"/>
  <sheetViews>
    <sheetView workbookViewId="0">
      <selection activeCell="E17" sqref="E17:L2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.4414062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38</v>
      </c>
      <c r="B2" s="10" t="s">
        <v>516</v>
      </c>
      <c r="C2" s="10" t="s">
        <v>517</v>
      </c>
      <c r="D2" s="11">
        <v>45470</v>
      </c>
      <c r="E2" s="12">
        <v>105000</v>
      </c>
      <c r="F2" s="10" t="s">
        <v>32</v>
      </c>
      <c r="G2" s="10" t="s">
        <v>33</v>
      </c>
      <c r="H2" s="12">
        <v>105000</v>
      </c>
      <c r="I2" s="12">
        <v>44300</v>
      </c>
      <c r="J2" s="13">
        <f t="shared" ref="J2:J13" si="0">I2/H2*100</f>
        <v>42.19047619047619</v>
      </c>
      <c r="K2" s="12">
        <v>106135</v>
      </c>
      <c r="L2" s="12">
        <f>H2-90389</f>
        <v>14611</v>
      </c>
      <c r="M2" s="12">
        <v>15746</v>
      </c>
      <c r="N2" s="66">
        <f t="shared" ref="N2:N13" si="1">M2/E2</f>
        <v>0.14996190476190477</v>
      </c>
      <c r="O2" s="14">
        <v>81.58</v>
      </c>
      <c r="P2" s="15">
        <v>130</v>
      </c>
      <c r="Q2" s="16">
        <v>0.23899999999999999</v>
      </c>
      <c r="R2" s="16">
        <v>0.23899999999999999</v>
      </c>
      <c r="S2" s="12">
        <f t="shared" ref="S2:S13" si="2">L2/O2</f>
        <v>179.10026967393969</v>
      </c>
      <c r="T2" s="12">
        <f t="shared" ref="T2:T13" si="3">L2/Q2</f>
        <v>61133.891213389121</v>
      </c>
      <c r="U2" s="17">
        <f t="shared" ref="U2:U13" si="4">L2/Q2/43560</f>
        <v>1.403441028773855</v>
      </c>
      <c r="V2" s="16">
        <v>80</v>
      </c>
      <c r="W2" s="16">
        <f t="shared" ref="W2:W13" si="5">0.2*E2</f>
        <v>21000</v>
      </c>
      <c r="X2" s="16">
        <f t="shared" ref="X2:X13" si="6">W2/V2</f>
        <v>262.5</v>
      </c>
      <c r="Y2" s="18" t="s">
        <v>503</v>
      </c>
      <c r="Z2" s="10" t="s">
        <v>35</v>
      </c>
      <c r="AA2" s="10" t="s">
        <v>35</v>
      </c>
      <c r="AB2" s="10" t="s">
        <v>38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38</v>
      </c>
      <c r="B3" s="10" t="s">
        <v>532</v>
      </c>
      <c r="C3" s="10" t="s">
        <v>533</v>
      </c>
      <c r="D3" s="11">
        <v>45252</v>
      </c>
      <c r="E3" s="12">
        <v>91000</v>
      </c>
      <c r="F3" s="10" t="s">
        <v>32</v>
      </c>
      <c r="G3" s="10" t="s">
        <v>33</v>
      </c>
      <c r="H3" s="12">
        <v>91000</v>
      </c>
      <c r="I3" s="12">
        <v>33800</v>
      </c>
      <c r="J3" s="13">
        <f t="shared" si="0"/>
        <v>37.142857142857146</v>
      </c>
      <c r="K3" s="12">
        <v>90918</v>
      </c>
      <c r="L3" s="12">
        <f>H3-82546</f>
        <v>8454</v>
      </c>
      <c r="M3" s="12">
        <v>8372</v>
      </c>
      <c r="N3" s="66">
        <f t="shared" si="1"/>
        <v>9.1999999999999998E-2</v>
      </c>
      <c r="O3" s="14">
        <v>43.37</v>
      </c>
      <c r="P3" s="15">
        <v>147</v>
      </c>
      <c r="Q3" s="16">
        <v>0.13500000000000001</v>
      </c>
      <c r="R3" s="16">
        <v>0.13500000000000001</v>
      </c>
      <c r="S3" s="12">
        <f t="shared" si="2"/>
        <v>194.92736914918149</v>
      </c>
      <c r="T3" s="12">
        <f t="shared" si="3"/>
        <v>62622.222222222219</v>
      </c>
      <c r="U3" s="17">
        <f t="shared" si="4"/>
        <v>1.437608407305377</v>
      </c>
      <c r="V3" s="16">
        <v>40</v>
      </c>
      <c r="W3" s="16">
        <f t="shared" si="5"/>
        <v>18200</v>
      </c>
      <c r="X3" s="16">
        <f t="shared" si="6"/>
        <v>455</v>
      </c>
      <c r="Y3" s="18" t="s">
        <v>503</v>
      </c>
      <c r="Z3" s="10" t="s">
        <v>35</v>
      </c>
      <c r="AA3" s="10" t="s">
        <v>35</v>
      </c>
      <c r="AB3" s="10" t="s">
        <v>38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38</v>
      </c>
      <c r="B4" s="10" t="s">
        <v>522</v>
      </c>
      <c r="C4" s="10" t="s">
        <v>523</v>
      </c>
      <c r="D4" s="11">
        <v>45720</v>
      </c>
      <c r="E4" s="12">
        <v>67500</v>
      </c>
      <c r="F4" s="10" t="s">
        <v>32</v>
      </c>
      <c r="G4" s="10" t="s">
        <v>33</v>
      </c>
      <c r="H4" s="12">
        <v>67500</v>
      </c>
      <c r="I4" s="12">
        <v>28000</v>
      </c>
      <c r="J4" s="13">
        <f t="shared" si="0"/>
        <v>41.481481481481481</v>
      </c>
      <c r="K4" s="12">
        <v>67412</v>
      </c>
      <c r="L4" s="12">
        <f>H4-59539</f>
        <v>7961</v>
      </c>
      <c r="M4" s="12">
        <v>7873</v>
      </c>
      <c r="N4" s="66">
        <f t="shared" si="1"/>
        <v>0.11663703703703704</v>
      </c>
      <c r="O4" s="14">
        <v>40.79</v>
      </c>
      <c r="P4" s="15">
        <v>130</v>
      </c>
      <c r="Q4" s="16">
        <v>0.11899999999999999</v>
      </c>
      <c r="R4" s="16">
        <v>0.11899999999999999</v>
      </c>
      <c r="S4" s="12">
        <f t="shared" si="2"/>
        <v>195.17038489825939</v>
      </c>
      <c r="T4" s="12">
        <f t="shared" si="3"/>
        <v>66899.159663865546</v>
      </c>
      <c r="U4" s="17">
        <f t="shared" si="4"/>
        <v>1.5357933807131667</v>
      </c>
      <c r="V4" s="16">
        <v>40</v>
      </c>
      <c r="W4" s="16">
        <f t="shared" si="5"/>
        <v>13500</v>
      </c>
      <c r="X4" s="16">
        <f t="shared" si="6"/>
        <v>337.5</v>
      </c>
      <c r="Y4" s="18" t="s">
        <v>503</v>
      </c>
      <c r="Z4" s="10" t="s">
        <v>35</v>
      </c>
      <c r="AA4" s="10" t="s">
        <v>35</v>
      </c>
      <c r="AB4" s="10" t="s">
        <v>38</v>
      </c>
      <c r="AC4" s="10">
        <v>0</v>
      </c>
      <c r="AD4" s="10">
        <v>1</v>
      </c>
      <c r="AE4" s="10" t="s">
        <v>42</v>
      </c>
      <c r="AF4" s="10" t="s">
        <v>35</v>
      </c>
      <c r="AG4" s="10" t="s">
        <v>38</v>
      </c>
      <c r="AH4" s="10" t="s">
        <v>92</v>
      </c>
    </row>
    <row r="5" spans="1:34" x14ac:dyDescent="0.3">
      <c r="A5" s="75" t="s">
        <v>38</v>
      </c>
      <c r="B5" s="19" t="s">
        <v>520</v>
      </c>
      <c r="C5" s="19" t="s">
        <v>521</v>
      </c>
      <c r="D5" s="20">
        <v>45183</v>
      </c>
      <c r="E5" s="21">
        <v>192000</v>
      </c>
      <c r="F5" s="19" t="s">
        <v>32</v>
      </c>
      <c r="G5" s="19" t="s">
        <v>33</v>
      </c>
      <c r="H5" s="21">
        <v>192000</v>
      </c>
      <c r="I5" s="21">
        <v>69700</v>
      </c>
      <c r="J5" s="22">
        <f t="shared" si="0"/>
        <v>36.302083333333336</v>
      </c>
      <c r="K5" s="21">
        <v>187058</v>
      </c>
      <c r="L5" s="21">
        <f>H5-167376</f>
        <v>24624</v>
      </c>
      <c r="M5" s="21">
        <v>19682</v>
      </c>
      <c r="N5" s="67">
        <f t="shared" si="1"/>
        <v>0.10251041666666667</v>
      </c>
      <c r="O5" s="23">
        <v>101.98</v>
      </c>
      <c r="P5" s="24">
        <v>130</v>
      </c>
      <c r="Q5" s="25">
        <v>0.29799999999999999</v>
      </c>
      <c r="R5" s="25">
        <v>0.29799999999999999</v>
      </c>
      <c r="S5" s="21">
        <f t="shared" si="2"/>
        <v>241.45910962933908</v>
      </c>
      <c r="T5" s="21">
        <f t="shared" si="3"/>
        <v>82630.872483221479</v>
      </c>
      <c r="U5" s="26">
        <f t="shared" si="4"/>
        <v>1.8969438127461313</v>
      </c>
      <c r="V5" s="25">
        <v>100</v>
      </c>
      <c r="W5" s="25">
        <f t="shared" si="5"/>
        <v>38400</v>
      </c>
      <c r="X5" s="25">
        <f t="shared" si="6"/>
        <v>384</v>
      </c>
      <c r="Y5" s="27" t="s">
        <v>503</v>
      </c>
      <c r="Z5" s="19" t="s">
        <v>35</v>
      </c>
      <c r="AA5" s="19" t="s">
        <v>35</v>
      </c>
      <c r="AB5" s="19" t="s">
        <v>38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38</v>
      </c>
      <c r="B6" s="19" t="s">
        <v>526</v>
      </c>
      <c r="C6" s="19" t="s">
        <v>527</v>
      </c>
      <c r="D6" s="20">
        <v>45142</v>
      </c>
      <c r="E6" s="21">
        <v>133900</v>
      </c>
      <c r="F6" s="19" t="s">
        <v>32</v>
      </c>
      <c r="G6" s="19" t="s">
        <v>33</v>
      </c>
      <c r="H6" s="21">
        <v>133900</v>
      </c>
      <c r="I6" s="21">
        <v>48100</v>
      </c>
      <c r="J6" s="22">
        <f t="shared" si="0"/>
        <v>35.922330097087382</v>
      </c>
      <c r="K6" s="21">
        <v>127332</v>
      </c>
      <c r="L6" s="21">
        <f>H6-118475</f>
        <v>15425</v>
      </c>
      <c r="M6" s="21">
        <v>8857</v>
      </c>
      <c r="N6" s="67">
        <f t="shared" si="1"/>
        <v>6.6146377893950711E-2</v>
      </c>
      <c r="O6" s="23">
        <v>45.89</v>
      </c>
      <c r="P6" s="24">
        <v>130</v>
      </c>
      <c r="Q6" s="25">
        <v>0.13400000000000001</v>
      </c>
      <c r="R6" s="25">
        <v>0.13400000000000001</v>
      </c>
      <c r="S6" s="21">
        <f t="shared" si="2"/>
        <v>336.12987578993244</v>
      </c>
      <c r="T6" s="21">
        <f t="shared" si="3"/>
        <v>115111.94029850746</v>
      </c>
      <c r="U6" s="26">
        <f t="shared" si="4"/>
        <v>2.6426065265956717</v>
      </c>
      <c r="V6" s="25">
        <v>45</v>
      </c>
      <c r="W6" s="25">
        <f t="shared" si="5"/>
        <v>26780</v>
      </c>
      <c r="X6" s="25">
        <f t="shared" si="6"/>
        <v>595.11111111111109</v>
      </c>
      <c r="Y6" s="27" t="s">
        <v>503</v>
      </c>
      <c r="Z6" s="19" t="s">
        <v>35</v>
      </c>
      <c r="AA6" s="19" t="s">
        <v>35</v>
      </c>
      <c r="AB6" s="19" t="s">
        <v>38</v>
      </c>
      <c r="AC6" s="19">
        <v>0</v>
      </c>
      <c r="AD6" s="19">
        <v>1</v>
      </c>
      <c r="AE6" s="19" t="s">
        <v>37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38</v>
      </c>
      <c r="B7" s="10" t="s">
        <v>506</v>
      </c>
      <c r="C7" s="10" t="s">
        <v>507</v>
      </c>
      <c r="D7" s="11">
        <v>45490</v>
      </c>
      <c r="E7" s="12">
        <v>151000</v>
      </c>
      <c r="F7" s="10" t="s">
        <v>32</v>
      </c>
      <c r="G7" s="10" t="s">
        <v>33</v>
      </c>
      <c r="H7" s="12">
        <v>151000</v>
      </c>
      <c r="I7" s="12">
        <v>58600</v>
      </c>
      <c r="J7" s="13">
        <f t="shared" si="0"/>
        <v>38.807947019867548</v>
      </c>
      <c r="K7" s="12">
        <v>141671</v>
      </c>
      <c r="L7" s="12">
        <f>H7-134802</f>
        <v>16198</v>
      </c>
      <c r="M7" s="12">
        <v>6869</v>
      </c>
      <c r="N7" s="66">
        <f t="shared" si="1"/>
        <v>4.5490066225165562E-2</v>
      </c>
      <c r="O7" s="14">
        <v>35.590000000000003</v>
      </c>
      <c r="P7" s="15">
        <v>129.26</v>
      </c>
      <c r="Q7" s="16">
        <v>0.104</v>
      </c>
      <c r="R7" s="16">
        <v>0.104</v>
      </c>
      <c r="S7" s="12">
        <f t="shared" si="2"/>
        <v>455.12784490025285</v>
      </c>
      <c r="T7" s="12">
        <f t="shared" si="3"/>
        <v>155750</v>
      </c>
      <c r="U7" s="17">
        <f t="shared" si="4"/>
        <v>3.5755280073461893</v>
      </c>
      <c r="V7" s="16">
        <v>35</v>
      </c>
      <c r="W7" s="16">
        <f t="shared" si="5"/>
        <v>30200</v>
      </c>
      <c r="X7" s="16">
        <f t="shared" si="6"/>
        <v>862.85714285714289</v>
      </c>
      <c r="Y7" s="18" t="s">
        <v>503</v>
      </c>
      <c r="Z7" s="10" t="s">
        <v>35</v>
      </c>
      <c r="AA7" s="10" t="s">
        <v>35</v>
      </c>
      <c r="AB7" s="10" t="s">
        <v>38</v>
      </c>
      <c r="AC7" s="10">
        <v>0</v>
      </c>
      <c r="AD7" s="10">
        <v>1</v>
      </c>
      <c r="AE7" s="10" t="s">
        <v>42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38</v>
      </c>
      <c r="B8" s="19" t="s">
        <v>518</v>
      </c>
      <c r="C8" s="19" t="s">
        <v>519</v>
      </c>
      <c r="D8" s="20">
        <v>45581</v>
      </c>
      <c r="E8" s="21">
        <v>165000</v>
      </c>
      <c r="F8" s="19" t="s">
        <v>32</v>
      </c>
      <c r="G8" s="19" t="s">
        <v>33</v>
      </c>
      <c r="H8" s="21">
        <v>165000</v>
      </c>
      <c r="I8" s="21">
        <v>65300</v>
      </c>
      <c r="J8" s="22">
        <f t="shared" si="0"/>
        <v>39.575757575757578</v>
      </c>
      <c r="K8" s="21">
        <v>147841</v>
      </c>
      <c r="L8" s="21">
        <f>H8-139968</f>
        <v>25032</v>
      </c>
      <c r="M8" s="21">
        <v>7873</v>
      </c>
      <c r="N8" s="67">
        <f t="shared" si="1"/>
        <v>4.7715151515151516E-2</v>
      </c>
      <c r="O8" s="23">
        <v>40.79</v>
      </c>
      <c r="P8" s="24">
        <v>130</v>
      </c>
      <c r="Q8" s="25">
        <v>0.11899999999999999</v>
      </c>
      <c r="R8" s="25">
        <v>0.11899999999999999</v>
      </c>
      <c r="S8" s="21">
        <f t="shared" si="2"/>
        <v>613.67982348614862</v>
      </c>
      <c r="T8" s="21">
        <f t="shared" si="3"/>
        <v>210352.9411764706</v>
      </c>
      <c r="U8" s="26">
        <f t="shared" si="4"/>
        <v>4.8290390536379846</v>
      </c>
      <c r="V8" s="25">
        <v>40</v>
      </c>
      <c r="W8" s="25">
        <f t="shared" si="5"/>
        <v>33000</v>
      </c>
      <c r="X8" s="25">
        <f t="shared" si="6"/>
        <v>825</v>
      </c>
      <c r="Y8" s="27" t="s">
        <v>503</v>
      </c>
      <c r="Z8" s="19" t="s">
        <v>35</v>
      </c>
      <c r="AA8" s="19" t="s">
        <v>35</v>
      </c>
      <c r="AB8" s="19" t="s">
        <v>38</v>
      </c>
      <c r="AC8" s="19">
        <v>0</v>
      </c>
      <c r="AD8" s="19">
        <v>1</v>
      </c>
      <c r="AE8" s="19" t="s">
        <v>42</v>
      </c>
      <c r="AF8" s="19" t="s">
        <v>35</v>
      </c>
      <c r="AG8" s="19" t="s">
        <v>38</v>
      </c>
      <c r="AH8" s="19" t="s">
        <v>92</v>
      </c>
    </row>
    <row r="9" spans="1:34" x14ac:dyDescent="0.3">
      <c r="A9" s="74" t="s">
        <v>38</v>
      </c>
      <c r="B9" s="10" t="s">
        <v>530</v>
      </c>
      <c r="C9" s="10" t="s">
        <v>531</v>
      </c>
      <c r="D9" s="11">
        <v>45426</v>
      </c>
      <c r="E9" s="12">
        <v>143000</v>
      </c>
      <c r="F9" s="10" t="s">
        <v>32</v>
      </c>
      <c r="G9" s="10" t="s">
        <v>33</v>
      </c>
      <c r="H9" s="12">
        <v>143000</v>
      </c>
      <c r="I9" s="12">
        <v>51300</v>
      </c>
      <c r="J9" s="13">
        <f t="shared" si="0"/>
        <v>35.874125874125873</v>
      </c>
      <c r="K9" s="12">
        <v>124119</v>
      </c>
      <c r="L9" s="12">
        <f>H9-116246</f>
        <v>26754</v>
      </c>
      <c r="M9" s="12">
        <v>7873</v>
      </c>
      <c r="N9" s="66">
        <f t="shared" si="1"/>
        <v>5.5055944055944057E-2</v>
      </c>
      <c r="O9" s="14">
        <v>40.79</v>
      </c>
      <c r="P9" s="15">
        <v>130</v>
      </c>
      <c r="Q9" s="16">
        <v>0.11899999999999999</v>
      </c>
      <c r="R9" s="16">
        <v>0.11899999999999999</v>
      </c>
      <c r="S9" s="12">
        <f t="shared" si="2"/>
        <v>655.89605295415549</v>
      </c>
      <c r="T9" s="12">
        <f t="shared" si="3"/>
        <v>224823.52941176473</v>
      </c>
      <c r="U9" s="17">
        <f t="shared" si="4"/>
        <v>5.1612380489385838</v>
      </c>
      <c r="V9" s="16">
        <v>40</v>
      </c>
      <c r="W9" s="16">
        <f t="shared" si="5"/>
        <v>28600</v>
      </c>
      <c r="X9" s="16">
        <f t="shared" si="6"/>
        <v>715</v>
      </c>
      <c r="Y9" s="18" t="s">
        <v>503</v>
      </c>
      <c r="Z9" s="10" t="s">
        <v>35</v>
      </c>
      <c r="AA9" s="10" t="s">
        <v>35</v>
      </c>
      <c r="AB9" s="10" t="s">
        <v>38</v>
      </c>
      <c r="AC9" s="10">
        <v>0</v>
      </c>
      <c r="AD9" s="10">
        <v>1</v>
      </c>
      <c r="AE9" s="10" t="s">
        <v>37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38</v>
      </c>
      <c r="B10" s="19" t="s">
        <v>512</v>
      </c>
      <c r="C10" s="19" t="s">
        <v>513</v>
      </c>
      <c r="D10" s="20">
        <v>45512</v>
      </c>
      <c r="E10" s="21">
        <v>150000</v>
      </c>
      <c r="F10" s="19" t="s">
        <v>32</v>
      </c>
      <c r="G10" s="19" t="s">
        <v>33</v>
      </c>
      <c r="H10" s="21">
        <v>150000</v>
      </c>
      <c r="I10" s="21">
        <v>54400</v>
      </c>
      <c r="J10" s="22">
        <f t="shared" si="0"/>
        <v>36.266666666666666</v>
      </c>
      <c r="K10" s="21">
        <v>126202</v>
      </c>
      <c r="L10" s="21">
        <f>H10-119167</f>
        <v>30833</v>
      </c>
      <c r="M10" s="21">
        <v>7035</v>
      </c>
      <c r="N10" s="67">
        <f t="shared" si="1"/>
        <v>4.6899999999999997E-2</v>
      </c>
      <c r="O10" s="23">
        <v>36.450000000000003</v>
      </c>
      <c r="P10" s="24">
        <v>135.59</v>
      </c>
      <c r="Q10" s="25">
        <v>0.109</v>
      </c>
      <c r="R10" s="25">
        <v>0.109</v>
      </c>
      <c r="S10" s="21">
        <f t="shared" si="2"/>
        <v>845.89849108367616</v>
      </c>
      <c r="T10" s="21">
        <f t="shared" si="3"/>
        <v>282871.55963302753</v>
      </c>
      <c r="U10" s="26">
        <f t="shared" si="4"/>
        <v>6.4938374571402093</v>
      </c>
      <c r="V10" s="25">
        <v>35</v>
      </c>
      <c r="W10" s="25">
        <f t="shared" si="5"/>
        <v>30000</v>
      </c>
      <c r="X10" s="25">
        <f t="shared" si="6"/>
        <v>857.14285714285711</v>
      </c>
      <c r="Y10" s="27" t="s">
        <v>503</v>
      </c>
      <c r="Z10" s="19" t="s">
        <v>35</v>
      </c>
      <c r="AA10" s="19" t="s">
        <v>35</v>
      </c>
      <c r="AB10" s="19" t="s">
        <v>38</v>
      </c>
      <c r="AC10" s="19">
        <v>0</v>
      </c>
      <c r="AD10" s="19">
        <v>1</v>
      </c>
      <c r="AE10" s="19" t="s">
        <v>37</v>
      </c>
      <c r="AF10" s="19" t="s">
        <v>43</v>
      </c>
      <c r="AG10" s="19" t="s">
        <v>38</v>
      </c>
      <c r="AH10" s="19" t="s">
        <v>92</v>
      </c>
    </row>
    <row r="11" spans="1:34" x14ac:dyDescent="0.3">
      <c r="A11" s="74" t="s">
        <v>38</v>
      </c>
      <c r="B11" s="10" t="s">
        <v>514</v>
      </c>
      <c r="C11" s="10" t="s">
        <v>515</v>
      </c>
      <c r="D11" s="11">
        <v>45079</v>
      </c>
      <c r="E11" s="12">
        <v>146000</v>
      </c>
      <c r="F11" s="10" t="s">
        <v>32</v>
      </c>
      <c r="G11" s="10" t="s">
        <v>33</v>
      </c>
      <c r="H11" s="12">
        <v>146000</v>
      </c>
      <c r="I11" s="12">
        <v>44900</v>
      </c>
      <c r="J11" s="13">
        <f t="shared" si="0"/>
        <v>30.753424657534246</v>
      </c>
      <c r="K11" s="12">
        <v>121725</v>
      </c>
      <c r="L11" s="12">
        <f>H11-114568</f>
        <v>31432</v>
      </c>
      <c r="M11" s="12">
        <v>7157</v>
      </c>
      <c r="N11" s="66">
        <f t="shared" si="1"/>
        <v>4.9020547945205481E-2</v>
      </c>
      <c r="O11" s="14">
        <v>37.08</v>
      </c>
      <c r="P11" s="15">
        <v>140.32</v>
      </c>
      <c r="Q11" s="16">
        <v>0.113</v>
      </c>
      <c r="R11" s="16">
        <v>0.113</v>
      </c>
      <c r="S11" s="12">
        <f t="shared" si="2"/>
        <v>847.68069039913701</v>
      </c>
      <c r="T11" s="12">
        <f t="shared" si="3"/>
        <v>278159.29203539825</v>
      </c>
      <c r="U11" s="17">
        <f t="shared" si="4"/>
        <v>6.385658678498582</v>
      </c>
      <c r="V11" s="16">
        <v>35</v>
      </c>
      <c r="W11" s="16">
        <f t="shared" si="5"/>
        <v>29200</v>
      </c>
      <c r="X11" s="16">
        <f t="shared" si="6"/>
        <v>834.28571428571433</v>
      </c>
      <c r="Y11" s="18" t="s">
        <v>503</v>
      </c>
      <c r="Z11" s="10" t="s">
        <v>35</v>
      </c>
      <c r="AA11" s="10" t="s">
        <v>35</v>
      </c>
      <c r="AB11" s="10" t="s">
        <v>38</v>
      </c>
      <c r="AC11" s="10">
        <v>0</v>
      </c>
      <c r="AD11" s="10">
        <v>1</v>
      </c>
      <c r="AE11" s="10" t="s">
        <v>37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4" t="s">
        <v>38</v>
      </c>
      <c r="B12" s="10" t="s">
        <v>524</v>
      </c>
      <c r="C12" s="10" t="s">
        <v>525</v>
      </c>
      <c r="D12" s="11">
        <v>45714</v>
      </c>
      <c r="E12" s="12">
        <v>165000</v>
      </c>
      <c r="F12" s="10" t="s">
        <v>32</v>
      </c>
      <c r="G12" s="10" t="s">
        <v>33</v>
      </c>
      <c r="H12" s="12">
        <v>165000</v>
      </c>
      <c r="I12" s="12">
        <v>54000</v>
      </c>
      <c r="J12" s="13">
        <f t="shared" si="0"/>
        <v>32.727272727272727</v>
      </c>
      <c r="K12" s="12">
        <v>119155</v>
      </c>
      <c r="L12" s="12">
        <f>H12-110298</f>
        <v>54702</v>
      </c>
      <c r="M12" s="12">
        <v>8857</v>
      </c>
      <c r="N12" s="66">
        <f t="shared" si="1"/>
        <v>5.3678787878787881E-2</v>
      </c>
      <c r="O12" s="14">
        <v>45.89</v>
      </c>
      <c r="P12" s="15">
        <v>130</v>
      </c>
      <c r="Q12" s="16">
        <v>0.13400000000000001</v>
      </c>
      <c r="R12" s="16">
        <v>0.13400000000000001</v>
      </c>
      <c r="S12" s="12">
        <f t="shared" si="2"/>
        <v>1192.0244061887122</v>
      </c>
      <c r="T12" s="12">
        <f t="shared" si="3"/>
        <v>408223.88059701491</v>
      </c>
      <c r="U12" s="17">
        <f t="shared" si="4"/>
        <v>9.3715307758727029</v>
      </c>
      <c r="V12" s="16">
        <v>45</v>
      </c>
      <c r="W12" s="16">
        <f t="shared" si="5"/>
        <v>33000</v>
      </c>
      <c r="X12" s="16">
        <f t="shared" si="6"/>
        <v>733.33333333333337</v>
      </c>
      <c r="Y12" s="18" t="s">
        <v>503</v>
      </c>
      <c r="Z12" s="10" t="s">
        <v>35</v>
      </c>
      <c r="AA12" s="10" t="s">
        <v>35</v>
      </c>
      <c r="AB12" s="10" t="s">
        <v>38</v>
      </c>
      <c r="AC12" s="10">
        <v>0</v>
      </c>
      <c r="AD12" s="10">
        <v>1</v>
      </c>
      <c r="AE12" s="10" t="s">
        <v>42</v>
      </c>
      <c r="AF12" s="10" t="s">
        <v>35</v>
      </c>
      <c r="AG12" s="10" t="s">
        <v>38</v>
      </c>
      <c r="AH12" s="10" t="s">
        <v>92</v>
      </c>
    </row>
    <row r="13" spans="1:34" ht="15" thickBot="1" x14ac:dyDescent="0.35">
      <c r="A13" s="75" t="s">
        <v>38</v>
      </c>
      <c r="B13" s="19" t="s">
        <v>510</v>
      </c>
      <c r="C13" s="19" t="s">
        <v>511</v>
      </c>
      <c r="D13" s="20">
        <v>45366</v>
      </c>
      <c r="E13" s="21">
        <v>157000</v>
      </c>
      <c r="F13" s="19" t="s">
        <v>32</v>
      </c>
      <c r="G13" s="19" t="s">
        <v>33</v>
      </c>
      <c r="H13" s="21">
        <v>157000</v>
      </c>
      <c r="I13" s="21">
        <v>46300</v>
      </c>
      <c r="J13" s="22">
        <f t="shared" si="0"/>
        <v>29.490445859872612</v>
      </c>
      <c r="K13" s="21">
        <v>119678</v>
      </c>
      <c r="L13" s="21">
        <f>H13-112729</f>
        <v>44271</v>
      </c>
      <c r="M13" s="21">
        <v>6949</v>
      </c>
      <c r="N13" s="67">
        <f t="shared" si="1"/>
        <v>4.4261146496815285E-2</v>
      </c>
      <c r="O13" s="23">
        <v>36</v>
      </c>
      <c r="P13" s="24">
        <v>132.29</v>
      </c>
      <c r="Q13" s="25">
        <v>0.106</v>
      </c>
      <c r="R13" s="25">
        <v>0.106</v>
      </c>
      <c r="S13" s="21">
        <f t="shared" si="2"/>
        <v>1229.75</v>
      </c>
      <c r="T13" s="21">
        <f t="shared" si="3"/>
        <v>417650.94339622644</v>
      </c>
      <c r="U13" s="26">
        <f t="shared" si="4"/>
        <v>9.5879463589583658</v>
      </c>
      <c r="V13" s="25">
        <v>35</v>
      </c>
      <c r="W13" s="25">
        <f t="shared" si="5"/>
        <v>31400</v>
      </c>
      <c r="X13" s="25">
        <f t="shared" si="6"/>
        <v>897.14285714285711</v>
      </c>
      <c r="Y13" s="27" t="s">
        <v>503</v>
      </c>
      <c r="Z13" s="19" t="s">
        <v>35</v>
      </c>
      <c r="AA13" s="19" t="s">
        <v>35</v>
      </c>
      <c r="AB13" s="19" t="s">
        <v>38</v>
      </c>
      <c r="AC13" s="19">
        <v>0</v>
      </c>
      <c r="AD13" s="19">
        <v>1</v>
      </c>
      <c r="AE13" s="19" t="s">
        <v>37</v>
      </c>
      <c r="AF13" s="19" t="s">
        <v>43</v>
      </c>
      <c r="AG13" s="19" t="s">
        <v>38</v>
      </c>
      <c r="AH13" s="19" t="s">
        <v>92</v>
      </c>
    </row>
    <row r="14" spans="1:34" ht="15" thickTop="1" x14ac:dyDescent="0.3">
      <c r="A14" s="76"/>
      <c r="B14" s="37"/>
      <c r="C14" s="37"/>
      <c r="D14" s="38" t="s">
        <v>2876</v>
      </c>
      <c r="E14" s="39">
        <f>+SUM(E2:E13)</f>
        <v>1666400</v>
      </c>
      <c r="F14" s="37"/>
      <c r="G14" s="37"/>
      <c r="H14" s="39">
        <f>+SUM(H2:H13)</f>
        <v>1666400</v>
      </c>
      <c r="I14" s="39">
        <f>+SUM(I2:I13)</f>
        <v>598700</v>
      </c>
      <c r="J14" s="40"/>
      <c r="K14" s="39">
        <f>+SUM(K2:K13)</f>
        <v>1479246</v>
      </c>
      <c r="L14" s="39">
        <f>+SUM(L2:L13)</f>
        <v>300297</v>
      </c>
      <c r="M14" s="39">
        <f>+SUM(M2:M13)</f>
        <v>113143</v>
      </c>
      <c r="N14" s="81">
        <f>AVERAGE(N2:N13)</f>
        <v>7.2448115039719083E-2</v>
      </c>
      <c r="O14" s="41">
        <f>+SUM(O2:O13)</f>
        <v>586.19999999999993</v>
      </c>
      <c r="P14" s="42"/>
      <c r="Q14" s="43">
        <f>+SUM(Q2:Q13)</f>
        <v>1.7289999999999999</v>
      </c>
      <c r="R14" s="43">
        <f>+SUM(R2:R13)</f>
        <v>1.7289999999999999</v>
      </c>
      <c r="S14" s="39"/>
      <c r="T14" s="39"/>
      <c r="U14" s="44"/>
      <c r="V14" s="43"/>
      <c r="W14" s="82">
        <f>AVERAGE(W2:W13)</f>
        <v>27773.333333333332</v>
      </c>
      <c r="X14" s="83">
        <f>AVERAGE(X2:X13)</f>
        <v>646.57275132275129</v>
      </c>
      <c r="Y14" s="45"/>
      <c r="Z14" s="37"/>
      <c r="AA14" s="37"/>
      <c r="AB14" s="37"/>
      <c r="AC14" s="37"/>
      <c r="AD14" s="37"/>
      <c r="AE14" s="37"/>
      <c r="AF14" s="37"/>
      <c r="AG14" s="37"/>
      <c r="AH14" s="37"/>
    </row>
    <row r="15" spans="1:34" x14ac:dyDescent="0.3">
      <c r="A15" s="77"/>
      <c r="B15" s="28"/>
      <c r="C15" s="28"/>
      <c r="D15" s="29"/>
      <c r="E15" s="30"/>
      <c r="F15" s="28"/>
      <c r="G15" s="28"/>
      <c r="H15" s="30"/>
      <c r="I15" s="30" t="s">
        <v>2877</v>
      </c>
      <c r="J15" s="31">
        <f>I14/H14*100</f>
        <v>35.92774843975036</v>
      </c>
      <c r="K15" s="30"/>
      <c r="L15" s="30"/>
      <c r="M15" s="30" t="s">
        <v>2879</v>
      </c>
      <c r="N15" s="79"/>
      <c r="O15" s="32"/>
      <c r="P15" s="33"/>
      <c r="Q15" s="34" t="s">
        <v>2879</v>
      </c>
      <c r="R15" s="34"/>
      <c r="S15" s="30"/>
      <c r="T15" s="30" t="s">
        <v>2879</v>
      </c>
      <c r="U15" s="35"/>
      <c r="V15" s="34"/>
      <c r="W15" s="63"/>
      <c r="X15" s="68"/>
      <c r="Y15" s="36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x14ac:dyDescent="0.3">
      <c r="A16" s="78"/>
      <c r="B16" s="46"/>
      <c r="C16" s="46"/>
      <c r="D16" s="47"/>
      <c r="E16" s="48"/>
      <c r="F16" s="46"/>
      <c r="G16" s="46"/>
      <c r="H16" s="48"/>
      <c r="I16" s="48" t="s">
        <v>2878</v>
      </c>
      <c r="J16" s="49">
        <f>STDEV(J2:J13)</f>
        <v>3.9246012785817159</v>
      </c>
      <c r="K16" s="48"/>
      <c r="L16" s="48"/>
      <c r="M16" s="48" t="s">
        <v>2880</v>
      </c>
      <c r="N16" s="80"/>
      <c r="O16" s="54">
        <f>L14/O14</f>
        <v>512.27737973387923</v>
      </c>
      <c r="P16" s="50"/>
      <c r="Q16" s="51" t="s">
        <v>2881</v>
      </c>
      <c r="R16" s="51">
        <f>L14/Q14</f>
        <v>173682.47541931755</v>
      </c>
      <c r="S16" s="48"/>
      <c r="T16" s="48" t="s">
        <v>2882</v>
      </c>
      <c r="U16" s="52">
        <f>L14/Q14/43560</f>
        <v>3.9872009967703752</v>
      </c>
      <c r="V16" s="51"/>
      <c r="W16" s="64"/>
      <c r="X16" s="69"/>
      <c r="Y16" s="53"/>
      <c r="Z16" s="46"/>
      <c r="AA16" s="46"/>
      <c r="AB16" s="46"/>
      <c r="AC16" s="46"/>
      <c r="AD16" s="46"/>
      <c r="AE16" s="46"/>
      <c r="AF16" s="46"/>
      <c r="AG16" s="46"/>
      <c r="AH16" s="46"/>
    </row>
    <row r="17" spans="1:34" x14ac:dyDescent="0.3">
      <c r="E17" s="94" t="s">
        <v>3099</v>
      </c>
      <c r="L17" s="95"/>
    </row>
    <row r="18" spans="1:34" x14ac:dyDescent="0.3">
      <c r="E18" s="383" t="s">
        <v>3163</v>
      </c>
      <c r="F18" s="383"/>
      <c r="G18" s="383"/>
      <c r="H18" s="383"/>
      <c r="I18" s="383"/>
      <c r="J18" s="383"/>
      <c r="K18" s="383"/>
      <c r="L18" s="383"/>
    </row>
    <row r="19" spans="1:34" x14ac:dyDescent="0.3">
      <c r="E19" s="383" t="s">
        <v>3164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3165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3166</v>
      </c>
      <c r="F21" s="383"/>
      <c r="G21" s="383"/>
      <c r="H21" s="383"/>
      <c r="I21" s="383"/>
      <c r="J21" s="96"/>
      <c r="K21" s="96"/>
      <c r="L21" s="96"/>
    </row>
    <row r="22" spans="1:34" x14ac:dyDescent="0.3">
      <c r="E22" s="383" t="s">
        <v>3167</v>
      </c>
      <c r="F22" s="383"/>
      <c r="G22" s="383"/>
      <c r="H22" s="383"/>
      <c r="I22" s="383"/>
      <c r="L22" s="95"/>
    </row>
    <row r="23" spans="1:34" x14ac:dyDescent="0.3">
      <c r="E23" s="383" t="s">
        <v>3100</v>
      </c>
      <c r="F23" s="383"/>
      <c r="G23" s="383"/>
      <c r="H23" s="383"/>
      <c r="I23" s="383"/>
      <c r="L23" s="95"/>
    </row>
    <row r="24" spans="1:34" x14ac:dyDescent="0.3">
      <c r="E24" s="96"/>
      <c r="F24" s="96"/>
      <c r="G24" s="96"/>
      <c r="H24" s="96"/>
      <c r="I24" s="96"/>
      <c r="L24" s="95"/>
    </row>
    <row r="25" spans="1:34" x14ac:dyDescent="0.3">
      <c r="A25" s="55" t="s">
        <v>3092</v>
      </c>
      <c r="E25" s="96"/>
      <c r="F25" s="96"/>
      <c r="G25" s="96"/>
      <c r="H25" s="96"/>
      <c r="I25" s="96"/>
      <c r="L25" s="95"/>
    </row>
    <row r="26" spans="1:34" x14ac:dyDescent="0.3">
      <c r="A26" s="74" t="s">
        <v>38</v>
      </c>
      <c r="B26" s="10" t="s">
        <v>508</v>
      </c>
      <c r="C26" s="10" t="s">
        <v>509</v>
      </c>
      <c r="D26" s="11">
        <v>45412</v>
      </c>
      <c r="E26" s="12">
        <v>10500</v>
      </c>
      <c r="F26" s="10" t="s">
        <v>32</v>
      </c>
      <c r="G26" s="10" t="s">
        <v>33</v>
      </c>
      <c r="H26" s="12">
        <v>10500</v>
      </c>
      <c r="I26" s="12">
        <v>50300</v>
      </c>
      <c r="J26" s="13">
        <f t="shared" ref="J26:J29" si="7">I26/H26*100</f>
        <v>479.04761904761904</v>
      </c>
      <c r="K26" s="12">
        <v>121528</v>
      </c>
      <c r="L26" s="12">
        <f>H26-113645</f>
        <v>-103145</v>
      </c>
      <c r="M26" s="12">
        <v>7883</v>
      </c>
      <c r="N26" s="66">
        <f t="shared" ref="N26:N29" si="8">M26/E26</f>
        <v>0.75076190476190474</v>
      </c>
      <c r="O26" s="14">
        <v>40.840000000000003</v>
      </c>
      <c r="P26" s="15">
        <v>130.35</v>
      </c>
      <c r="Q26" s="16">
        <v>0.12</v>
      </c>
      <c r="R26" s="16">
        <v>0.12</v>
      </c>
      <c r="S26" s="12">
        <f t="shared" ref="S26:S29" si="9">L26/O26</f>
        <v>-2525.5876591576884</v>
      </c>
      <c r="T26" s="12">
        <f t="shared" ref="T26:T29" si="10">L26/Q26</f>
        <v>-859541.66666666674</v>
      </c>
      <c r="U26" s="17">
        <f t="shared" ref="U26:U29" si="11">L26/Q26/43560</f>
        <v>-19.732361493725133</v>
      </c>
      <c r="V26" s="16">
        <v>40</v>
      </c>
      <c r="W26" s="16">
        <f t="shared" ref="W26:W29" si="12">0.2*E26</f>
        <v>2100</v>
      </c>
      <c r="X26" s="16">
        <f t="shared" ref="X26:X29" si="13">W26/V26</f>
        <v>52.5</v>
      </c>
      <c r="Y26" s="18" t="s">
        <v>503</v>
      </c>
      <c r="Z26" s="10" t="s">
        <v>35</v>
      </c>
      <c r="AA26" s="10" t="s">
        <v>35</v>
      </c>
      <c r="AB26" s="10" t="s">
        <v>38</v>
      </c>
      <c r="AC26" s="10">
        <v>0</v>
      </c>
      <c r="AD26" s="10">
        <v>1</v>
      </c>
      <c r="AE26" s="10" t="s">
        <v>42</v>
      </c>
      <c r="AF26" s="10" t="s">
        <v>43</v>
      </c>
      <c r="AG26" s="10" t="s">
        <v>38</v>
      </c>
      <c r="AH26" s="10" t="s">
        <v>92</v>
      </c>
    </row>
    <row r="27" spans="1:34" x14ac:dyDescent="0.3">
      <c r="A27" s="75" t="s">
        <v>38</v>
      </c>
      <c r="B27" s="19" t="s">
        <v>528</v>
      </c>
      <c r="C27" s="19" t="s">
        <v>529</v>
      </c>
      <c r="D27" s="20">
        <v>45588</v>
      </c>
      <c r="E27" s="21">
        <v>38034</v>
      </c>
      <c r="F27" s="19" t="s">
        <v>32</v>
      </c>
      <c r="G27" s="19" t="s">
        <v>33</v>
      </c>
      <c r="H27" s="21">
        <v>38034</v>
      </c>
      <c r="I27" s="21">
        <v>49700</v>
      </c>
      <c r="J27" s="22">
        <f t="shared" si="7"/>
        <v>130.67255613398538</v>
      </c>
      <c r="K27" s="21">
        <v>120000</v>
      </c>
      <c r="L27" s="21">
        <f>H27-111455</f>
        <v>-73421</v>
      </c>
      <c r="M27" s="21">
        <v>8545</v>
      </c>
      <c r="N27" s="67">
        <f t="shared" si="8"/>
        <v>0.22466740285008149</v>
      </c>
      <c r="O27" s="23">
        <v>44.27</v>
      </c>
      <c r="P27" s="24">
        <v>121</v>
      </c>
      <c r="Q27" s="25">
        <v>0.125</v>
      </c>
      <c r="R27" s="25">
        <v>0.125</v>
      </c>
      <c r="S27" s="21">
        <f t="shared" si="9"/>
        <v>-1658.4820420149083</v>
      </c>
      <c r="T27" s="21">
        <f t="shared" si="10"/>
        <v>-587368</v>
      </c>
      <c r="U27" s="26">
        <f t="shared" si="11"/>
        <v>-13.484113865932049</v>
      </c>
      <c r="V27" s="25">
        <v>45</v>
      </c>
      <c r="W27" s="25">
        <f t="shared" si="12"/>
        <v>7606.8</v>
      </c>
      <c r="X27" s="25">
        <f t="shared" si="13"/>
        <v>169.04</v>
      </c>
      <c r="Y27" s="27" t="s">
        <v>503</v>
      </c>
      <c r="Z27" s="19" t="s">
        <v>35</v>
      </c>
      <c r="AA27" s="19" t="s">
        <v>35</v>
      </c>
      <c r="AB27" s="19" t="s">
        <v>38</v>
      </c>
      <c r="AC27" s="19">
        <v>0</v>
      </c>
      <c r="AD27" s="19">
        <v>1</v>
      </c>
      <c r="AE27" s="19" t="s">
        <v>42</v>
      </c>
      <c r="AF27" s="19" t="s">
        <v>35</v>
      </c>
      <c r="AG27" s="19" t="s">
        <v>38</v>
      </c>
      <c r="AH27" s="19" t="s">
        <v>92</v>
      </c>
    </row>
    <row r="28" spans="1:34" x14ac:dyDescent="0.3">
      <c r="A28" s="75" t="s">
        <v>38</v>
      </c>
      <c r="B28" s="19" t="s">
        <v>504</v>
      </c>
      <c r="C28" s="19" t="s">
        <v>505</v>
      </c>
      <c r="D28" s="20">
        <v>45436</v>
      </c>
      <c r="E28" s="21">
        <v>62000</v>
      </c>
      <c r="F28" s="19" t="s">
        <v>32</v>
      </c>
      <c r="G28" s="19" t="s">
        <v>33</v>
      </c>
      <c r="H28" s="21">
        <v>62000</v>
      </c>
      <c r="I28" s="21">
        <v>34400</v>
      </c>
      <c r="J28" s="22">
        <f t="shared" si="7"/>
        <v>55.483870967741936</v>
      </c>
      <c r="K28" s="21">
        <v>82903</v>
      </c>
      <c r="L28" s="21">
        <f>H28-75652</f>
        <v>-13652</v>
      </c>
      <c r="M28" s="21">
        <v>7251</v>
      </c>
      <c r="N28" s="67">
        <f t="shared" si="8"/>
        <v>0.11695161290322581</v>
      </c>
      <c r="O28" s="23">
        <v>37.56</v>
      </c>
      <c r="P28" s="24">
        <v>110.26</v>
      </c>
      <c r="Q28" s="25">
        <v>0.10100000000000001</v>
      </c>
      <c r="R28" s="25">
        <v>0.10100000000000001</v>
      </c>
      <c r="S28" s="21">
        <f t="shared" si="9"/>
        <v>-363.47177848775289</v>
      </c>
      <c r="T28" s="21">
        <f t="shared" si="10"/>
        <v>-135168.31683168316</v>
      </c>
      <c r="U28" s="26">
        <f t="shared" si="11"/>
        <v>-3.1030375764849212</v>
      </c>
      <c r="V28" s="25">
        <v>40</v>
      </c>
      <c r="W28" s="25">
        <f t="shared" si="12"/>
        <v>12400</v>
      </c>
      <c r="X28" s="25">
        <f t="shared" si="13"/>
        <v>310</v>
      </c>
      <c r="Y28" s="27" t="s">
        <v>503</v>
      </c>
      <c r="Z28" s="19" t="s">
        <v>35</v>
      </c>
      <c r="AA28" s="19" t="s">
        <v>35</v>
      </c>
      <c r="AB28" s="19" t="s">
        <v>38</v>
      </c>
      <c r="AC28" s="19">
        <v>0</v>
      </c>
      <c r="AD28" s="19">
        <v>1</v>
      </c>
      <c r="AE28" s="19" t="s">
        <v>205</v>
      </c>
      <c r="AF28" s="19" t="s">
        <v>43</v>
      </c>
      <c r="AG28" s="19" t="s">
        <v>38</v>
      </c>
      <c r="AH28" s="19" t="s">
        <v>92</v>
      </c>
    </row>
    <row r="29" spans="1:34" x14ac:dyDescent="0.3">
      <c r="A29" s="75" t="s">
        <v>38</v>
      </c>
      <c r="B29" s="19" t="s">
        <v>501</v>
      </c>
      <c r="C29" s="19" t="s">
        <v>502</v>
      </c>
      <c r="D29" s="20">
        <v>45470</v>
      </c>
      <c r="E29" s="21">
        <v>100000</v>
      </c>
      <c r="F29" s="19" t="s">
        <v>32</v>
      </c>
      <c r="G29" s="19" t="s">
        <v>33</v>
      </c>
      <c r="H29" s="21">
        <v>100000</v>
      </c>
      <c r="I29" s="21">
        <v>56500</v>
      </c>
      <c r="J29" s="22">
        <f t="shared" si="7"/>
        <v>56.499999999999993</v>
      </c>
      <c r="K29" s="21">
        <v>135672</v>
      </c>
      <c r="L29" s="21">
        <f>H29-117567</f>
        <v>-17567</v>
      </c>
      <c r="M29" s="21">
        <v>18105</v>
      </c>
      <c r="N29" s="67">
        <f t="shared" si="8"/>
        <v>0.18104999999999999</v>
      </c>
      <c r="O29" s="23">
        <v>93.8</v>
      </c>
      <c r="P29" s="24">
        <v>110</v>
      </c>
      <c r="Q29" s="25">
        <v>0.253</v>
      </c>
      <c r="R29" s="25">
        <v>0.253</v>
      </c>
      <c r="S29" s="21">
        <f t="shared" si="9"/>
        <v>-187.2814498933902</v>
      </c>
      <c r="T29" s="21">
        <f t="shared" si="10"/>
        <v>-69434.782608695648</v>
      </c>
      <c r="U29" s="26">
        <f t="shared" si="11"/>
        <v>-1.594003273845171</v>
      </c>
      <c r="V29" s="25">
        <v>100</v>
      </c>
      <c r="W29" s="25">
        <f t="shared" si="12"/>
        <v>20000</v>
      </c>
      <c r="X29" s="25">
        <f t="shared" si="13"/>
        <v>200</v>
      </c>
      <c r="Y29" s="27" t="s">
        <v>503</v>
      </c>
      <c r="Z29" s="19" t="s">
        <v>35</v>
      </c>
      <c r="AA29" s="19" t="s">
        <v>35</v>
      </c>
      <c r="AB29" s="19" t="s">
        <v>38</v>
      </c>
      <c r="AC29" s="19">
        <v>0</v>
      </c>
      <c r="AD29" s="19">
        <v>1</v>
      </c>
      <c r="AE29" s="19" t="s">
        <v>42</v>
      </c>
      <c r="AF29" s="19" t="s">
        <v>43</v>
      </c>
      <c r="AG29" s="19" t="s">
        <v>38</v>
      </c>
      <c r="AH29" s="19" t="s">
        <v>92</v>
      </c>
    </row>
  </sheetData>
  <sortState xmlns:xlrd2="http://schemas.microsoft.com/office/spreadsheetml/2017/richdata2" ref="A2:AH17">
    <sortCondition ref="S2:S17"/>
  </sortState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9">
    <tabColor rgb="FF00B050"/>
  </sheetPr>
  <dimension ref="A1:AH16"/>
  <sheetViews>
    <sheetView workbookViewId="0">
      <selection activeCell="E8" sqref="E8:L1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55468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2125</v>
      </c>
      <c r="B2" s="10" t="s">
        <v>2126</v>
      </c>
      <c r="C2" s="10" t="s">
        <v>2127</v>
      </c>
      <c r="D2" s="11">
        <v>45434</v>
      </c>
      <c r="E2" s="12">
        <v>80000</v>
      </c>
      <c r="F2" s="10" t="s">
        <v>81</v>
      </c>
      <c r="G2" s="10" t="s">
        <v>33</v>
      </c>
      <c r="H2" s="12">
        <v>80000</v>
      </c>
      <c r="I2" s="12">
        <v>80200</v>
      </c>
      <c r="J2" s="13">
        <f>I2/H2*100</f>
        <v>100.25</v>
      </c>
      <c r="K2" s="12">
        <v>180677</v>
      </c>
      <c r="L2" s="12">
        <f>H2-141124</f>
        <v>-61124</v>
      </c>
      <c r="M2" s="12">
        <v>39553</v>
      </c>
      <c r="N2" s="66">
        <f>M2/E2</f>
        <v>0.49441249999999998</v>
      </c>
      <c r="O2" s="14">
        <v>158.21</v>
      </c>
      <c r="P2" s="15">
        <v>264</v>
      </c>
      <c r="Q2" s="16">
        <v>0.97</v>
      </c>
      <c r="R2" s="16">
        <v>0.97</v>
      </c>
      <c r="S2" s="12">
        <f>L2/O2</f>
        <v>-386.34725997092471</v>
      </c>
      <c r="T2" s="12">
        <f>L2/Q2</f>
        <v>-63014.432989690722</v>
      </c>
      <c r="U2" s="17">
        <f>L2/Q2/43560</f>
        <v>-1.4466123275870231</v>
      </c>
      <c r="V2" s="16">
        <v>160</v>
      </c>
      <c r="W2" s="16">
        <f>0.2*E2</f>
        <v>16000</v>
      </c>
      <c r="X2" s="16">
        <f>W2/V2</f>
        <v>100</v>
      </c>
      <c r="Y2" s="18" t="s">
        <v>2124</v>
      </c>
      <c r="Z2" s="10" t="s">
        <v>35</v>
      </c>
      <c r="AA2" s="10" t="s">
        <v>35</v>
      </c>
      <c r="AB2" s="10" t="s">
        <v>2125</v>
      </c>
      <c r="AC2" s="10">
        <v>0</v>
      </c>
      <c r="AD2" s="10">
        <v>1</v>
      </c>
      <c r="AE2" s="10" t="s">
        <v>42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2125</v>
      </c>
      <c r="B3" s="19" t="s">
        <v>2126</v>
      </c>
      <c r="C3" s="19" t="s">
        <v>2127</v>
      </c>
      <c r="D3" s="20">
        <v>45684</v>
      </c>
      <c r="E3" s="21">
        <v>215000</v>
      </c>
      <c r="F3" s="19" t="s">
        <v>32</v>
      </c>
      <c r="G3" s="19" t="s">
        <v>33</v>
      </c>
      <c r="H3" s="21">
        <v>215000</v>
      </c>
      <c r="I3" s="21">
        <v>80200</v>
      </c>
      <c r="J3" s="22">
        <f>I3/H3*100</f>
        <v>37.302325581395351</v>
      </c>
      <c r="K3" s="21">
        <v>180677</v>
      </c>
      <c r="L3" s="21">
        <f>H3-141124</f>
        <v>73876</v>
      </c>
      <c r="M3" s="21">
        <v>39553</v>
      </c>
      <c r="N3" s="67">
        <f>M3/E3</f>
        <v>0.18396744186046513</v>
      </c>
      <c r="O3" s="23">
        <v>158.21</v>
      </c>
      <c r="P3" s="24">
        <v>264</v>
      </c>
      <c r="Q3" s="25">
        <v>0.97</v>
      </c>
      <c r="R3" s="25">
        <v>0.97</v>
      </c>
      <c r="S3" s="21">
        <f>L3/O3</f>
        <v>466.94899184628025</v>
      </c>
      <c r="T3" s="21">
        <f>L3/Q3</f>
        <v>76160.824742268043</v>
      </c>
      <c r="U3" s="26">
        <f>L3/Q3/43560</f>
        <v>1.7484119545975216</v>
      </c>
      <c r="V3" s="25">
        <v>160</v>
      </c>
      <c r="W3" s="25">
        <f>0.2*E3</f>
        <v>43000</v>
      </c>
      <c r="X3" s="25">
        <f>W3/V3</f>
        <v>268.75</v>
      </c>
      <c r="Y3" s="27" t="s">
        <v>2124</v>
      </c>
      <c r="Z3" s="19" t="s">
        <v>35</v>
      </c>
      <c r="AA3" s="19" t="s">
        <v>35</v>
      </c>
      <c r="AB3" s="19" t="s">
        <v>2125</v>
      </c>
      <c r="AC3" s="19">
        <v>0</v>
      </c>
      <c r="AD3" s="19">
        <v>1</v>
      </c>
      <c r="AE3" s="19" t="s">
        <v>42</v>
      </c>
      <c r="AF3" s="19" t="s">
        <v>35</v>
      </c>
      <c r="AG3" s="19" t="s">
        <v>38</v>
      </c>
      <c r="AH3" s="19" t="s">
        <v>92</v>
      </c>
    </row>
    <row r="4" spans="1:34" ht="15" thickBot="1" x14ac:dyDescent="0.35">
      <c r="A4" s="74" t="s">
        <v>2125</v>
      </c>
      <c r="B4" s="10" t="s">
        <v>2122</v>
      </c>
      <c r="C4" s="10" t="s">
        <v>2123</v>
      </c>
      <c r="D4" s="11">
        <v>45699</v>
      </c>
      <c r="E4" s="12">
        <v>230000</v>
      </c>
      <c r="F4" s="10" t="s">
        <v>32</v>
      </c>
      <c r="G4" s="10" t="s">
        <v>33</v>
      </c>
      <c r="H4" s="12">
        <v>230000</v>
      </c>
      <c r="I4" s="12">
        <v>69600</v>
      </c>
      <c r="J4" s="13">
        <f>I4/H4*100</f>
        <v>30.260869565217391</v>
      </c>
      <c r="K4" s="12">
        <v>159718</v>
      </c>
      <c r="L4" s="12">
        <f>H4-139941</f>
        <v>90059</v>
      </c>
      <c r="M4" s="12">
        <v>19777</v>
      </c>
      <c r="N4" s="66">
        <f>M4/E4</f>
        <v>8.5986956521739127E-2</v>
      </c>
      <c r="O4" s="14">
        <v>79.099999999999994</v>
      </c>
      <c r="P4" s="15">
        <v>264</v>
      </c>
      <c r="Q4" s="16">
        <v>0.48499999999999999</v>
      </c>
      <c r="R4" s="16">
        <v>0.48499999999999999</v>
      </c>
      <c r="S4" s="12">
        <f>L4/O4</f>
        <v>1138.5461441213654</v>
      </c>
      <c r="T4" s="12">
        <f>L4/Q4</f>
        <v>185688.65979381444</v>
      </c>
      <c r="U4" s="17">
        <f>L4/Q4/43560</f>
        <v>4.2628250641371546</v>
      </c>
      <c r="V4" s="16">
        <v>80</v>
      </c>
      <c r="W4" s="16">
        <f>0.2*E4</f>
        <v>46000</v>
      </c>
      <c r="X4" s="16">
        <f>W4/V4</f>
        <v>575</v>
      </c>
      <c r="Y4" s="18" t="s">
        <v>2124</v>
      </c>
      <c r="Z4" s="10" t="s">
        <v>35</v>
      </c>
      <c r="AA4" s="10" t="s">
        <v>35</v>
      </c>
      <c r="AB4" s="10" t="s">
        <v>2125</v>
      </c>
      <c r="AC4" s="10">
        <v>0</v>
      </c>
      <c r="AD4" s="10">
        <v>1</v>
      </c>
      <c r="AE4" s="10" t="s">
        <v>42</v>
      </c>
      <c r="AF4" s="10" t="s">
        <v>35</v>
      </c>
      <c r="AG4" s="10" t="s">
        <v>38</v>
      </c>
      <c r="AH4" s="10" t="s">
        <v>92</v>
      </c>
    </row>
    <row r="5" spans="1:34" ht="15" thickTop="1" x14ac:dyDescent="0.3">
      <c r="A5" s="76"/>
      <c r="B5" s="37"/>
      <c r="C5" s="37"/>
      <c r="D5" s="38" t="s">
        <v>2876</v>
      </c>
      <c r="E5" s="39">
        <f>+SUM(E2:E4)</f>
        <v>525000</v>
      </c>
      <c r="F5" s="37"/>
      <c r="G5" s="37"/>
      <c r="H5" s="39">
        <f>+SUM(H2:H4)</f>
        <v>525000</v>
      </c>
      <c r="I5" s="39">
        <f>+SUM(I2:I4)</f>
        <v>230000</v>
      </c>
      <c r="J5" s="40"/>
      <c r="K5" s="39">
        <f>+SUM(K2:K4)</f>
        <v>521072</v>
      </c>
      <c r="L5" s="39">
        <f>+SUM(L2:L4)</f>
        <v>102811</v>
      </c>
      <c r="M5" s="39">
        <f>+SUM(M2:M4)</f>
        <v>98883</v>
      </c>
      <c r="N5" s="81">
        <f>AVERAGE(N2:N4)</f>
        <v>0.25478896612740143</v>
      </c>
      <c r="O5" s="41">
        <f>+SUM(O2:O4)</f>
        <v>395.52</v>
      </c>
      <c r="P5" s="42"/>
      <c r="Q5" s="43">
        <f>+SUM(Q2:Q4)</f>
        <v>2.4249999999999998</v>
      </c>
      <c r="R5" s="43">
        <f>+SUM(R2:R4)</f>
        <v>2.4249999999999998</v>
      </c>
      <c r="S5" s="39"/>
      <c r="T5" s="39"/>
      <c r="U5" s="44"/>
      <c r="V5" s="43"/>
      <c r="W5" s="82">
        <f>AVERAGE(W2:W4)</f>
        <v>35000</v>
      </c>
      <c r="X5" s="83">
        <f>AVERAGE(X2:X4)</f>
        <v>314.58333333333331</v>
      </c>
      <c r="Y5" s="45"/>
      <c r="Z5" s="37"/>
      <c r="AA5" s="37"/>
      <c r="AB5" s="37"/>
      <c r="AC5" s="37"/>
      <c r="AD5" s="37"/>
      <c r="AE5" s="37"/>
      <c r="AF5" s="37"/>
      <c r="AG5" s="37"/>
      <c r="AH5" s="37"/>
    </row>
    <row r="6" spans="1:34" x14ac:dyDescent="0.3">
      <c r="A6" s="77"/>
      <c r="B6" s="28"/>
      <c r="C6" s="28"/>
      <c r="D6" s="29"/>
      <c r="E6" s="30"/>
      <c r="F6" s="28"/>
      <c r="G6" s="28"/>
      <c r="H6" s="30"/>
      <c r="I6" s="30" t="s">
        <v>2877</v>
      </c>
      <c r="J6" s="31">
        <f>I5/H5*100</f>
        <v>43.80952380952381</v>
      </c>
      <c r="K6" s="30"/>
      <c r="L6" s="30"/>
      <c r="M6" s="30" t="s">
        <v>2879</v>
      </c>
      <c r="N6" s="79"/>
      <c r="O6" s="32"/>
      <c r="P6" s="33"/>
      <c r="Q6" s="34" t="s">
        <v>2879</v>
      </c>
      <c r="R6" s="34"/>
      <c r="S6" s="30"/>
      <c r="T6" s="30" t="s">
        <v>2879</v>
      </c>
      <c r="U6" s="35"/>
      <c r="V6" s="34"/>
      <c r="W6" s="63"/>
      <c r="X6" s="68"/>
      <c r="Y6" s="36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3">
      <c r="A7" s="78"/>
      <c r="B7" s="46"/>
      <c r="C7" s="46"/>
      <c r="D7" s="47"/>
      <c r="E7" s="48"/>
      <c r="F7" s="46"/>
      <c r="G7" s="46"/>
      <c r="H7" s="48"/>
      <c r="I7" s="48" t="s">
        <v>2878</v>
      </c>
      <c r="J7" s="49">
        <f>STDEV(J2:J4)</f>
        <v>38.536714521253295</v>
      </c>
      <c r="K7" s="48"/>
      <c r="L7" s="48"/>
      <c r="M7" s="48" t="s">
        <v>2880</v>
      </c>
      <c r="N7" s="80"/>
      <c r="O7" s="54">
        <f>L5/O5</f>
        <v>259.9388147249191</v>
      </c>
      <c r="P7" s="50"/>
      <c r="Q7" s="51" t="s">
        <v>2881</v>
      </c>
      <c r="R7" s="51">
        <f>L5/Q5</f>
        <v>42396.28865979382</v>
      </c>
      <c r="S7" s="48"/>
      <c r="T7" s="48" t="s">
        <v>2882</v>
      </c>
      <c r="U7" s="52">
        <f>L5/Q5/43560</f>
        <v>0.97328486363163036</v>
      </c>
      <c r="V7" s="51"/>
      <c r="W7" s="64"/>
      <c r="X7" s="69"/>
      <c r="Y7" s="53"/>
      <c r="Z7" s="46"/>
      <c r="AA7" s="46"/>
      <c r="AB7" s="46"/>
      <c r="AC7" s="46"/>
      <c r="AD7" s="46"/>
      <c r="AE7" s="46"/>
      <c r="AF7" s="46"/>
      <c r="AG7" s="46"/>
      <c r="AH7" s="46"/>
    </row>
    <row r="8" spans="1:34" x14ac:dyDescent="0.3">
      <c r="E8" s="94" t="s">
        <v>3099</v>
      </c>
      <c r="L8" s="95"/>
    </row>
    <row r="9" spans="1:34" x14ac:dyDescent="0.3">
      <c r="E9" s="383" t="s">
        <v>3163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3164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3165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3166</v>
      </c>
      <c r="F12" s="383"/>
      <c r="G12" s="383"/>
      <c r="H12" s="383"/>
      <c r="I12" s="383"/>
      <c r="J12" s="96"/>
      <c r="K12" s="96"/>
      <c r="L12" s="96"/>
    </row>
    <row r="13" spans="1:34" x14ac:dyDescent="0.3">
      <c r="E13" s="383" t="s">
        <v>3167</v>
      </c>
      <c r="F13" s="383"/>
      <c r="G13" s="383"/>
      <c r="H13" s="383"/>
      <c r="I13" s="383"/>
      <c r="L13" s="95"/>
    </row>
    <row r="14" spans="1:34" x14ac:dyDescent="0.3">
      <c r="E14" s="383" t="s">
        <v>3100</v>
      </c>
      <c r="F14" s="383"/>
      <c r="G14" s="383"/>
      <c r="H14" s="383"/>
      <c r="I14" s="383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  <c r="E16" s="96"/>
      <c r="F16" s="96"/>
      <c r="G16" s="96"/>
      <c r="H16" s="96"/>
      <c r="I16" s="96"/>
      <c r="L16" s="95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0">
    <tabColor rgb="FF00B050"/>
  </sheetPr>
  <dimension ref="A1:AH28"/>
  <sheetViews>
    <sheetView workbookViewId="0">
      <selection activeCell="E18" sqref="E18:L24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1350</v>
      </c>
      <c r="B2" s="19" t="s">
        <v>1363</v>
      </c>
      <c r="C2" s="19" t="s">
        <v>1364</v>
      </c>
      <c r="D2" s="20">
        <v>45225</v>
      </c>
      <c r="E2" s="21">
        <v>178000</v>
      </c>
      <c r="F2" s="19" t="s">
        <v>32</v>
      </c>
      <c r="G2" s="19" t="s">
        <v>33</v>
      </c>
      <c r="H2" s="21">
        <v>178000</v>
      </c>
      <c r="I2" s="21">
        <v>84400</v>
      </c>
      <c r="J2" s="22">
        <f t="shared" ref="J2:J14" si="0">I2/H2*100</f>
        <v>47.415730337078656</v>
      </c>
      <c r="K2" s="21">
        <v>199418</v>
      </c>
      <c r="L2" s="21">
        <f>H2-180890</f>
        <v>-2890</v>
      </c>
      <c r="M2" s="21">
        <v>18528</v>
      </c>
      <c r="N2" s="67">
        <f t="shared" ref="N2:N14" si="1">M2/E2</f>
        <v>0.10408988764044944</v>
      </c>
      <c r="O2" s="23">
        <v>84.99</v>
      </c>
      <c r="P2" s="24">
        <v>119.98</v>
      </c>
      <c r="Q2" s="25">
        <v>0.23400000000000001</v>
      </c>
      <c r="R2" s="25">
        <v>0.23400000000000001</v>
      </c>
      <c r="S2" s="21">
        <f t="shared" ref="S2:S14" si="2">L2/O2</f>
        <v>-34.004000470643604</v>
      </c>
      <c r="T2" s="21">
        <f t="shared" ref="T2:T14" si="3">L2/Q2</f>
        <v>-12350.42735042735</v>
      </c>
      <c r="U2" s="26">
        <f t="shared" ref="U2:U14" si="4">L2/Q2/43560</f>
        <v>-0.28352679867831382</v>
      </c>
      <c r="V2" s="25">
        <v>85</v>
      </c>
      <c r="W2" s="25">
        <f t="shared" ref="W2:W14" si="5">0.2*E2</f>
        <v>35600</v>
      </c>
      <c r="X2" s="25">
        <f t="shared" ref="X2:X14" si="6">W2/V2</f>
        <v>418.8235294117647</v>
      </c>
      <c r="Y2" s="27" t="s">
        <v>1349</v>
      </c>
      <c r="Z2" s="19" t="s">
        <v>35</v>
      </c>
      <c r="AA2" s="19" t="s">
        <v>35</v>
      </c>
      <c r="AB2" s="19" t="s">
        <v>1350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x14ac:dyDescent="0.3">
      <c r="A3" s="75" t="s">
        <v>1350</v>
      </c>
      <c r="B3" s="19" t="s">
        <v>1357</v>
      </c>
      <c r="C3" s="19" t="s">
        <v>1358</v>
      </c>
      <c r="D3" s="20">
        <v>45065</v>
      </c>
      <c r="E3" s="21">
        <v>175000</v>
      </c>
      <c r="F3" s="19" t="s">
        <v>32</v>
      </c>
      <c r="G3" s="19" t="s">
        <v>33</v>
      </c>
      <c r="H3" s="21">
        <v>175000</v>
      </c>
      <c r="I3" s="21">
        <v>78700</v>
      </c>
      <c r="J3" s="22">
        <f t="shared" si="0"/>
        <v>44.971428571428575</v>
      </c>
      <c r="K3" s="21">
        <v>186688</v>
      </c>
      <c r="L3" s="21">
        <f>H3-176252</f>
        <v>-1252</v>
      </c>
      <c r="M3" s="21">
        <v>10436</v>
      </c>
      <c r="N3" s="67">
        <f t="shared" si="1"/>
        <v>5.9634285714285716E-2</v>
      </c>
      <c r="O3" s="23">
        <v>47.87</v>
      </c>
      <c r="P3" s="24">
        <v>135.81</v>
      </c>
      <c r="Q3" s="25">
        <v>0.14000000000000001</v>
      </c>
      <c r="R3" s="25">
        <v>0.14000000000000001</v>
      </c>
      <c r="S3" s="21">
        <f t="shared" si="2"/>
        <v>-26.154167537079591</v>
      </c>
      <c r="T3" s="21">
        <f t="shared" si="3"/>
        <v>-8942.8571428571413</v>
      </c>
      <c r="U3" s="26">
        <f t="shared" si="4"/>
        <v>-0.20529975075429618</v>
      </c>
      <c r="V3" s="25">
        <v>45</v>
      </c>
      <c r="W3" s="25">
        <f t="shared" si="5"/>
        <v>35000</v>
      </c>
      <c r="X3" s="25">
        <f t="shared" si="6"/>
        <v>777.77777777777783</v>
      </c>
      <c r="Y3" s="27" t="s">
        <v>1349</v>
      </c>
      <c r="Z3" s="19" t="s">
        <v>35</v>
      </c>
      <c r="AA3" s="19" t="s">
        <v>35</v>
      </c>
      <c r="AB3" s="19" t="s">
        <v>1350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4" t="s">
        <v>1350</v>
      </c>
      <c r="B4" s="10" t="s">
        <v>1380</v>
      </c>
      <c r="C4" s="10" t="s">
        <v>1381</v>
      </c>
      <c r="D4" s="11">
        <v>45365</v>
      </c>
      <c r="E4" s="12">
        <v>161000</v>
      </c>
      <c r="F4" s="10" t="s">
        <v>32</v>
      </c>
      <c r="G4" s="10" t="s">
        <v>33</v>
      </c>
      <c r="H4" s="12">
        <v>161000</v>
      </c>
      <c r="I4" s="12">
        <v>73700</v>
      </c>
      <c r="J4" s="13">
        <f t="shared" si="0"/>
        <v>45.776397515527947</v>
      </c>
      <c r="K4" s="12">
        <v>173016</v>
      </c>
      <c r="L4" s="12">
        <f>H4-159609</f>
        <v>1391</v>
      </c>
      <c r="M4" s="12">
        <v>13407</v>
      </c>
      <c r="N4" s="66">
        <f t="shared" si="1"/>
        <v>8.3273291925465842E-2</v>
      </c>
      <c r="O4" s="14">
        <v>61.5</v>
      </c>
      <c r="P4" s="15">
        <v>81.19</v>
      </c>
      <c r="Q4" s="16">
        <v>0.13300000000000001</v>
      </c>
      <c r="R4" s="16">
        <v>0.13300000000000001</v>
      </c>
      <c r="S4" s="12">
        <f t="shared" si="2"/>
        <v>22.617886178861788</v>
      </c>
      <c r="T4" s="12">
        <f t="shared" si="3"/>
        <v>10458.646616541353</v>
      </c>
      <c r="U4" s="17">
        <f t="shared" si="4"/>
        <v>0.24009748890131666</v>
      </c>
      <c r="V4" s="16">
        <v>81.3</v>
      </c>
      <c r="W4" s="16">
        <f t="shared" si="5"/>
        <v>32200</v>
      </c>
      <c r="X4" s="16">
        <f t="shared" si="6"/>
        <v>396.06396063960642</v>
      </c>
      <c r="Y4" s="18" t="s">
        <v>1349</v>
      </c>
      <c r="Z4" s="10" t="s">
        <v>35</v>
      </c>
      <c r="AA4" s="10" t="s">
        <v>35</v>
      </c>
      <c r="AB4" s="10" t="s">
        <v>1350</v>
      </c>
      <c r="AC4" s="10">
        <v>0</v>
      </c>
      <c r="AD4" s="10">
        <v>1</v>
      </c>
      <c r="AE4" s="10" t="s">
        <v>42</v>
      </c>
      <c r="AF4" s="10" t="s">
        <v>43</v>
      </c>
      <c r="AG4" s="10" t="s">
        <v>38</v>
      </c>
      <c r="AH4" s="10" t="s">
        <v>92</v>
      </c>
    </row>
    <row r="5" spans="1:34" x14ac:dyDescent="0.3">
      <c r="A5" s="75" t="s">
        <v>1350</v>
      </c>
      <c r="B5" s="19" t="s">
        <v>1347</v>
      </c>
      <c r="C5" s="19" t="s">
        <v>1348</v>
      </c>
      <c r="D5" s="20">
        <v>45051</v>
      </c>
      <c r="E5" s="21">
        <v>181000</v>
      </c>
      <c r="F5" s="19" t="s">
        <v>32</v>
      </c>
      <c r="G5" s="19" t="s">
        <v>33</v>
      </c>
      <c r="H5" s="21">
        <v>181000</v>
      </c>
      <c r="I5" s="21">
        <v>79400</v>
      </c>
      <c r="J5" s="22">
        <f t="shared" si="0"/>
        <v>43.867403314917127</v>
      </c>
      <c r="K5" s="21">
        <v>187994</v>
      </c>
      <c r="L5" s="21">
        <f>H5-178773</f>
        <v>2227</v>
      </c>
      <c r="M5" s="21">
        <v>9221</v>
      </c>
      <c r="N5" s="67">
        <f t="shared" si="1"/>
        <v>5.0944751381215472E-2</v>
      </c>
      <c r="O5" s="23">
        <v>42.29</v>
      </c>
      <c r="P5" s="24">
        <v>106.03</v>
      </c>
      <c r="Q5" s="25">
        <v>0.11</v>
      </c>
      <c r="R5" s="25">
        <v>0.11</v>
      </c>
      <c r="S5" s="21">
        <f t="shared" si="2"/>
        <v>52.660203357767791</v>
      </c>
      <c r="T5" s="21">
        <f t="shared" si="3"/>
        <v>20245.454545454544</v>
      </c>
      <c r="U5" s="26">
        <f t="shared" si="4"/>
        <v>0.46477168377994821</v>
      </c>
      <c r="V5" s="25">
        <v>45</v>
      </c>
      <c r="W5" s="25">
        <f t="shared" si="5"/>
        <v>36200</v>
      </c>
      <c r="X5" s="25">
        <f t="shared" si="6"/>
        <v>804.44444444444446</v>
      </c>
      <c r="Y5" s="27" t="s">
        <v>1349</v>
      </c>
      <c r="Z5" s="19" t="s">
        <v>35</v>
      </c>
      <c r="AA5" s="19" t="s">
        <v>35</v>
      </c>
      <c r="AB5" s="19" t="s">
        <v>1350</v>
      </c>
      <c r="AC5" s="19">
        <v>0</v>
      </c>
      <c r="AD5" s="19">
        <v>1</v>
      </c>
      <c r="AE5" s="19" t="s">
        <v>42</v>
      </c>
      <c r="AF5" s="19" t="s">
        <v>43</v>
      </c>
      <c r="AG5" s="19" t="s">
        <v>38</v>
      </c>
      <c r="AH5" s="19" t="s">
        <v>92</v>
      </c>
    </row>
    <row r="6" spans="1:34" x14ac:dyDescent="0.3">
      <c r="A6" s="74" t="s">
        <v>1350</v>
      </c>
      <c r="B6" s="10" t="s">
        <v>1361</v>
      </c>
      <c r="C6" s="10" t="s">
        <v>1362</v>
      </c>
      <c r="D6" s="11">
        <v>45524</v>
      </c>
      <c r="E6" s="12">
        <v>170000</v>
      </c>
      <c r="F6" s="10" t="s">
        <v>32</v>
      </c>
      <c r="G6" s="10" t="s">
        <v>33</v>
      </c>
      <c r="H6" s="12">
        <v>170000</v>
      </c>
      <c r="I6" s="12">
        <v>82900</v>
      </c>
      <c r="J6" s="13">
        <f t="shared" si="0"/>
        <v>48.764705882352942</v>
      </c>
      <c r="K6" s="12">
        <v>173299</v>
      </c>
      <c r="L6" s="12">
        <f>H6-165685</f>
        <v>4315</v>
      </c>
      <c r="M6" s="12">
        <v>7614</v>
      </c>
      <c r="N6" s="66">
        <f t="shared" si="1"/>
        <v>4.478823529411765E-2</v>
      </c>
      <c r="O6" s="14">
        <v>34.92</v>
      </c>
      <c r="P6" s="15">
        <v>119.49</v>
      </c>
      <c r="Q6" s="16">
        <v>9.6000000000000002E-2</v>
      </c>
      <c r="R6" s="16">
        <v>9.6000000000000002E-2</v>
      </c>
      <c r="S6" s="12">
        <f t="shared" si="2"/>
        <v>123.56815578465063</v>
      </c>
      <c r="T6" s="12">
        <f t="shared" si="3"/>
        <v>44947.916666666664</v>
      </c>
      <c r="U6" s="17">
        <f t="shared" si="4"/>
        <v>1.0318621824303642</v>
      </c>
      <c r="V6" s="16">
        <v>35</v>
      </c>
      <c r="W6" s="16">
        <f t="shared" si="5"/>
        <v>34000</v>
      </c>
      <c r="X6" s="16">
        <f t="shared" si="6"/>
        <v>971.42857142857144</v>
      </c>
      <c r="Y6" s="18" t="s">
        <v>1349</v>
      </c>
      <c r="Z6" s="10" t="s">
        <v>35</v>
      </c>
      <c r="AA6" s="10" t="s">
        <v>35</v>
      </c>
      <c r="AB6" s="10" t="s">
        <v>1350</v>
      </c>
      <c r="AC6" s="10">
        <v>0</v>
      </c>
      <c r="AD6" s="10">
        <v>1</v>
      </c>
      <c r="AE6" s="10" t="s">
        <v>37</v>
      </c>
      <c r="AF6" s="10" t="s">
        <v>43</v>
      </c>
      <c r="AG6" s="10" t="s">
        <v>38</v>
      </c>
      <c r="AH6" s="10" t="s">
        <v>92</v>
      </c>
    </row>
    <row r="7" spans="1:34" x14ac:dyDescent="0.3">
      <c r="A7" s="74" t="s">
        <v>1350</v>
      </c>
      <c r="B7" s="10" t="s">
        <v>1353</v>
      </c>
      <c r="C7" s="10" t="s">
        <v>1354</v>
      </c>
      <c r="D7" s="11">
        <v>45442</v>
      </c>
      <c r="E7" s="12">
        <v>185000</v>
      </c>
      <c r="F7" s="10" t="s">
        <v>32</v>
      </c>
      <c r="G7" s="10" t="s">
        <v>33</v>
      </c>
      <c r="H7" s="12">
        <v>185000</v>
      </c>
      <c r="I7" s="12">
        <v>87900</v>
      </c>
      <c r="J7" s="13">
        <f t="shared" si="0"/>
        <v>47.513513513513509</v>
      </c>
      <c r="K7" s="12">
        <v>183702</v>
      </c>
      <c r="L7" s="12">
        <f>H7-173466</f>
        <v>11534</v>
      </c>
      <c r="M7" s="12">
        <v>10236</v>
      </c>
      <c r="N7" s="66">
        <f t="shared" si="1"/>
        <v>5.5329729729729729E-2</v>
      </c>
      <c r="O7" s="14">
        <v>46.95</v>
      </c>
      <c r="P7" s="15">
        <v>130.63999999999999</v>
      </c>
      <c r="Q7" s="16">
        <v>0.13500000000000001</v>
      </c>
      <c r="R7" s="16">
        <v>0.13500000000000001</v>
      </c>
      <c r="S7" s="12">
        <f t="shared" si="2"/>
        <v>245.66560170394035</v>
      </c>
      <c r="T7" s="12">
        <f t="shared" si="3"/>
        <v>85437.037037037036</v>
      </c>
      <c r="U7" s="17">
        <f t="shared" si="4"/>
        <v>1.9613644866170119</v>
      </c>
      <c r="V7" s="16">
        <v>45</v>
      </c>
      <c r="W7" s="16">
        <f t="shared" si="5"/>
        <v>37000</v>
      </c>
      <c r="X7" s="16">
        <f t="shared" si="6"/>
        <v>822.22222222222217</v>
      </c>
      <c r="Y7" s="18" t="s">
        <v>1349</v>
      </c>
      <c r="Z7" s="10" t="s">
        <v>35</v>
      </c>
      <c r="AA7" s="10" t="s">
        <v>35</v>
      </c>
      <c r="AB7" s="10" t="s">
        <v>1350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x14ac:dyDescent="0.3">
      <c r="A8" s="75" t="s">
        <v>1350</v>
      </c>
      <c r="B8" s="19" t="s">
        <v>1382</v>
      </c>
      <c r="C8" s="19" t="s">
        <v>1383</v>
      </c>
      <c r="D8" s="20">
        <v>45440</v>
      </c>
      <c r="E8" s="21">
        <v>180000</v>
      </c>
      <c r="F8" s="19" t="s">
        <v>32</v>
      </c>
      <c r="G8" s="19" t="s">
        <v>33</v>
      </c>
      <c r="H8" s="21">
        <v>180000</v>
      </c>
      <c r="I8" s="21">
        <v>84500</v>
      </c>
      <c r="J8" s="22">
        <f t="shared" si="0"/>
        <v>46.944444444444443</v>
      </c>
      <c r="K8" s="21">
        <v>174999</v>
      </c>
      <c r="L8" s="21">
        <f>H8-163881</f>
        <v>16119</v>
      </c>
      <c r="M8" s="21">
        <v>11118</v>
      </c>
      <c r="N8" s="67">
        <f t="shared" si="1"/>
        <v>6.1766666666666664E-2</v>
      </c>
      <c r="O8" s="23">
        <v>51</v>
      </c>
      <c r="P8" s="24">
        <v>112.1</v>
      </c>
      <c r="Q8" s="25">
        <v>0.13500000000000001</v>
      </c>
      <c r="R8" s="25">
        <v>0.13500000000000001</v>
      </c>
      <c r="S8" s="21">
        <f t="shared" si="2"/>
        <v>316.05882352941177</v>
      </c>
      <c r="T8" s="21">
        <f t="shared" si="3"/>
        <v>119399.99999999999</v>
      </c>
      <c r="U8" s="26">
        <f t="shared" si="4"/>
        <v>2.7410468319559227</v>
      </c>
      <c r="V8" s="25">
        <v>53.55</v>
      </c>
      <c r="W8" s="25">
        <f t="shared" si="5"/>
        <v>36000</v>
      </c>
      <c r="X8" s="25">
        <f t="shared" si="6"/>
        <v>672.26890756302521</v>
      </c>
      <c r="Y8" s="27" t="s">
        <v>1349</v>
      </c>
      <c r="Z8" s="19" t="s">
        <v>35</v>
      </c>
      <c r="AA8" s="19" t="s">
        <v>35</v>
      </c>
      <c r="AB8" s="19" t="s">
        <v>1350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1350</v>
      </c>
      <c r="B9" s="10" t="s">
        <v>1359</v>
      </c>
      <c r="C9" s="10" t="s">
        <v>1360</v>
      </c>
      <c r="D9" s="11">
        <v>45499</v>
      </c>
      <c r="E9" s="12">
        <v>192000</v>
      </c>
      <c r="F9" s="10" t="s">
        <v>32</v>
      </c>
      <c r="G9" s="10" t="s">
        <v>33</v>
      </c>
      <c r="H9" s="12">
        <v>192000</v>
      </c>
      <c r="I9" s="12">
        <v>88500</v>
      </c>
      <c r="J9" s="13">
        <f t="shared" si="0"/>
        <v>46.09375</v>
      </c>
      <c r="K9" s="12">
        <v>184002</v>
      </c>
      <c r="L9" s="12">
        <f>H9-173692</f>
        <v>18308</v>
      </c>
      <c r="M9" s="12">
        <v>10310</v>
      </c>
      <c r="N9" s="66">
        <f t="shared" si="1"/>
        <v>5.3697916666666665E-2</v>
      </c>
      <c r="O9" s="14">
        <v>47.29</v>
      </c>
      <c r="P9" s="15">
        <v>129.5</v>
      </c>
      <c r="Q9" s="16">
        <v>0.13600000000000001</v>
      </c>
      <c r="R9" s="16">
        <v>0.13600000000000001</v>
      </c>
      <c r="S9" s="12">
        <f t="shared" si="2"/>
        <v>387.14315923028124</v>
      </c>
      <c r="T9" s="12">
        <f t="shared" si="3"/>
        <v>134617.64705882352</v>
      </c>
      <c r="U9" s="17">
        <f t="shared" si="4"/>
        <v>3.0903959379895207</v>
      </c>
      <c r="V9" s="16">
        <v>45</v>
      </c>
      <c r="W9" s="16">
        <f t="shared" si="5"/>
        <v>38400</v>
      </c>
      <c r="X9" s="16">
        <f t="shared" si="6"/>
        <v>853.33333333333337</v>
      </c>
      <c r="Y9" s="18" t="s">
        <v>1349</v>
      </c>
      <c r="Z9" s="10" t="s">
        <v>35</v>
      </c>
      <c r="AA9" s="10" t="s">
        <v>35</v>
      </c>
      <c r="AB9" s="10" t="s">
        <v>1350</v>
      </c>
      <c r="AC9" s="10">
        <v>0</v>
      </c>
      <c r="AD9" s="10">
        <v>1</v>
      </c>
      <c r="AE9" s="10" t="s">
        <v>37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4" t="s">
        <v>1350</v>
      </c>
      <c r="B10" s="10" t="s">
        <v>1351</v>
      </c>
      <c r="C10" s="10" t="s">
        <v>1352</v>
      </c>
      <c r="D10" s="11">
        <v>45386</v>
      </c>
      <c r="E10" s="12">
        <v>195000</v>
      </c>
      <c r="F10" s="10" t="s">
        <v>32</v>
      </c>
      <c r="G10" s="10" t="s">
        <v>33</v>
      </c>
      <c r="H10" s="12">
        <v>195000</v>
      </c>
      <c r="I10" s="12">
        <v>87700</v>
      </c>
      <c r="J10" s="13">
        <f t="shared" si="0"/>
        <v>44.974358974358978</v>
      </c>
      <c r="K10" s="12">
        <v>183140</v>
      </c>
      <c r="L10" s="12">
        <f>H10-173087</f>
        <v>21913</v>
      </c>
      <c r="M10" s="12">
        <v>10053</v>
      </c>
      <c r="N10" s="66">
        <f t="shared" si="1"/>
        <v>5.1553846153846151E-2</v>
      </c>
      <c r="O10" s="14">
        <v>46.11</v>
      </c>
      <c r="P10" s="15">
        <v>126.03</v>
      </c>
      <c r="Q10" s="16">
        <v>0.13</v>
      </c>
      <c r="R10" s="16">
        <v>0.13</v>
      </c>
      <c r="S10" s="12">
        <f t="shared" si="2"/>
        <v>475.2331381479072</v>
      </c>
      <c r="T10" s="12">
        <f t="shared" si="3"/>
        <v>168561.53846153847</v>
      </c>
      <c r="U10" s="17">
        <f t="shared" si="4"/>
        <v>3.8696404605495518</v>
      </c>
      <c r="V10" s="16">
        <v>45</v>
      </c>
      <c r="W10" s="16">
        <f t="shared" si="5"/>
        <v>39000</v>
      </c>
      <c r="X10" s="16">
        <f t="shared" si="6"/>
        <v>866.66666666666663</v>
      </c>
      <c r="Y10" s="18" t="s">
        <v>1349</v>
      </c>
      <c r="Z10" s="10" t="s">
        <v>35</v>
      </c>
      <c r="AA10" s="10" t="s">
        <v>35</v>
      </c>
      <c r="AB10" s="10" t="s">
        <v>1350</v>
      </c>
      <c r="AC10" s="10">
        <v>0</v>
      </c>
      <c r="AD10" s="10">
        <v>1</v>
      </c>
      <c r="AE10" s="10" t="s">
        <v>42</v>
      </c>
      <c r="AF10" s="10" t="s">
        <v>43</v>
      </c>
      <c r="AG10" s="10" t="s">
        <v>38</v>
      </c>
      <c r="AH10" s="10" t="s">
        <v>92</v>
      </c>
    </row>
    <row r="11" spans="1:34" x14ac:dyDescent="0.3">
      <c r="A11" s="74" t="s">
        <v>1350</v>
      </c>
      <c r="B11" s="10" t="s">
        <v>1378</v>
      </c>
      <c r="C11" s="10" t="s">
        <v>1379</v>
      </c>
      <c r="D11" s="11">
        <v>45496</v>
      </c>
      <c r="E11" s="12">
        <v>174000</v>
      </c>
      <c r="F11" s="10" t="s">
        <v>32</v>
      </c>
      <c r="G11" s="10" t="s">
        <v>33</v>
      </c>
      <c r="H11" s="12">
        <v>174000</v>
      </c>
      <c r="I11" s="12">
        <v>70200</v>
      </c>
      <c r="J11" s="13">
        <f t="shared" si="0"/>
        <v>40.344827586206897</v>
      </c>
      <c r="K11" s="12">
        <v>146085</v>
      </c>
      <c r="L11" s="12">
        <f>H11-135649</f>
        <v>38351</v>
      </c>
      <c r="M11" s="12">
        <v>10436</v>
      </c>
      <c r="N11" s="66">
        <f t="shared" si="1"/>
        <v>5.9977011494252871E-2</v>
      </c>
      <c r="O11" s="14">
        <v>47.87</v>
      </c>
      <c r="P11" s="15">
        <v>110</v>
      </c>
      <c r="Q11" s="16">
        <v>0.126</v>
      </c>
      <c r="R11" s="16">
        <v>0.126</v>
      </c>
      <c r="S11" s="12">
        <f t="shared" si="2"/>
        <v>801.14894505953623</v>
      </c>
      <c r="T11" s="12">
        <f t="shared" si="3"/>
        <v>304373.01587301586</v>
      </c>
      <c r="U11" s="17">
        <f t="shared" si="4"/>
        <v>6.9874429722914568</v>
      </c>
      <c r="V11" s="16">
        <v>50</v>
      </c>
      <c r="W11" s="16">
        <f t="shared" si="5"/>
        <v>34800</v>
      </c>
      <c r="X11" s="16">
        <f t="shared" si="6"/>
        <v>696</v>
      </c>
      <c r="Y11" s="18" t="s">
        <v>1349</v>
      </c>
      <c r="Z11" s="10" t="s">
        <v>35</v>
      </c>
      <c r="AA11" s="10" t="s">
        <v>35</v>
      </c>
      <c r="AB11" s="10" t="s">
        <v>1350</v>
      </c>
      <c r="AC11" s="10">
        <v>0</v>
      </c>
      <c r="AD11" s="10">
        <v>1</v>
      </c>
      <c r="AE11" s="10" t="s">
        <v>1070</v>
      </c>
      <c r="AF11" s="10" t="s">
        <v>43</v>
      </c>
      <c r="AG11" s="10" t="s">
        <v>38</v>
      </c>
      <c r="AH11" s="10" t="s">
        <v>92</v>
      </c>
    </row>
    <row r="12" spans="1:34" x14ac:dyDescent="0.3">
      <c r="A12" s="75" t="s">
        <v>1350</v>
      </c>
      <c r="B12" s="19" t="s">
        <v>1374</v>
      </c>
      <c r="C12" s="19" t="s">
        <v>1375</v>
      </c>
      <c r="D12" s="20">
        <v>45356</v>
      </c>
      <c r="E12" s="21">
        <v>207500</v>
      </c>
      <c r="F12" s="19" t="s">
        <v>32</v>
      </c>
      <c r="G12" s="19" t="s">
        <v>33</v>
      </c>
      <c r="H12" s="21">
        <v>207500</v>
      </c>
      <c r="I12" s="21">
        <v>72800</v>
      </c>
      <c r="J12" s="22">
        <f t="shared" si="0"/>
        <v>35.084337349397593</v>
      </c>
      <c r="K12" s="21">
        <v>172954</v>
      </c>
      <c r="L12" s="21">
        <f>H12-160963</f>
        <v>46537</v>
      </c>
      <c r="M12" s="21">
        <v>11991</v>
      </c>
      <c r="N12" s="67">
        <f t="shared" si="1"/>
        <v>5.7787951807228913E-2</v>
      </c>
      <c r="O12" s="23">
        <v>55</v>
      </c>
      <c r="P12" s="24">
        <v>135.82</v>
      </c>
      <c r="Q12" s="25">
        <v>0.161</v>
      </c>
      <c r="R12" s="25">
        <v>0.161</v>
      </c>
      <c r="S12" s="21">
        <f t="shared" si="2"/>
        <v>846.12727272727273</v>
      </c>
      <c r="T12" s="21">
        <f t="shared" si="3"/>
        <v>289049.68944099377</v>
      </c>
      <c r="U12" s="26">
        <f t="shared" si="4"/>
        <v>6.635667801675706</v>
      </c>
      <c r="V12" s="25">
        <v>51.7</v>
      </c>
      <c r="W12" s="25">
        <f t="shared" si="5"/>
        <v>41500</v>
      </c>
      <c r="X12" s="25">
        <f t="shared" si="6"/>
        <v>802.70793036750479</v>
      </c>
      <c r="Y12" s="27" t="s">
        <v>1349</v>
      </c>
      <c r="Z12" s="19" t="s">
        <v>35</v>
      </c>
      <c r="AA12" s="19" t="s">
        <v>35</v>
      </c>
      <c r="AB12" s="19" t="s">
        <v>1350</v>
      </c>
      <c r="AC12" s="19">
        <v>0</v>
      </c>
      <c r="AD12" s="19">
        <v>1</v>
      </c>
      <c r="AE12" s="19" t="s">
        <v>42</v>
      </c>
      <c r="AF12" s="19" t="s">
        <v>43</v>
      </c>
      <c r="AG12" s="19" t="s">
        <v>38</v>
      </c>
      <c r="AH12" s="19" t="s">
        <v>92</v>
      </c>
    </row>
    <row r="13" spans="1:34" x14ac:dyDescent="0.3">
      <c r="A13" s="75" t="s">
        <v>1350</v>
      </c>
      <c r="B13" s="19" t="s">
        <v>1384</v>
      </c>
      <c r="C13" s="19" t="s">
        <v>1385</v>
      </c>
      <c r="D13" s="20">
        <v>45174</v>
      </c>
      <c r="E13" s="21">
        <v>202000</v>
      </c>
      <c r="F13" s="19" t="s">
        <v>32</v>
      </c>
      <c r="G13" s="19" t="s">
        <v>33</v>
      </c>
      <c r="H13" s="21">
        <v>202000</v>
      </c>
      <c r="I13" s="21">
        <v>68500</v>
      </c>
      <c r="J13" s="22">
        <f t="shared" si="0"/>
        <v>33.910891089108915</v>
      </c>
      <c r="K13" s="21">
        <v>161828</v>
      </c>
      <c r="L13" s="21">
        <f>H13-150308</f>
        <v>51692</v>
      </c>
      <c r="M13" s="21">
        <v>11520</v>
      </c>
      <c r="N13" s="67">
        <f t="shared" si="1"/>
        <v>5.7029702970297032E-2</v>
      </c>
      <c r="O13" s="23">
        <v>52.84</v>
      </c>
      <c r="P13" s="24">
        <v>115.1</v>
      </c>
      <c r="Q13" s="25">
        <v>0.14199999999999999</v>
      </c>
      <c r="R13" s="25">
        <v>0.14199999999999999</v>
      </c>
      <c r="S13" s="21">
        <f t="shared" si="2"/>
        <v>978.27403482210445</v>
      </c>
      <c r="T13" s="21">
        <f t="shared" si="3"/>
        <v>364028.16901408456</v>
      </c>
      <c r="U13" s="26">
        <f t="shared" si="4"/>
        <v>8.3569368460533653</v>
      </c>
      <c r="V13" s="25">
        <v>54.57</v>
      </c>
      <c r="W13" s="25">
        <f t="shared" si="5"/>
        <v>40400</v>
      </c>
      <c r="X13" s="25">
        <f t="shared" si="6"/>
        <v>740.33351658420372</v>
      </c>
      <c r="Y13" s="27" t="s">
        <v>1349</v>
      </c>
      <c r="Z13" s="19" t="s">
        <v>35</v>
      </c>
      <c r="AA13" s="19" t="s">
        <v>35</v>
      </c>
      <c r="AB13" s="19" t="s">
        <v>1350</v>
      </c>
      <c r="AC13" s="19">
        <v>0</v>
      </c>
      <c r="AD13" s="19">
        <v>1</v>
      </c>
      <c r="AE13" s="19" t="s">
        <v>42</v>
      </c>
      <c r="AF13" s="19" t="s">
        <v>43</v>
      </c>
      <c r="AG13" s="19" t="s">
        <v>38</v>
      </c>
      <c r="AH13" s="19" t="s">
        <v>92</v>
      </c>
    </row>
    <row r="14" spans="1:34" ht="15" thickBot="1" x14ac:dyDescent="0.35">
      <c r="A14" s="74" t="s">
        <v>1350</v>
      </c>
      <c r="B14" s="10" t="s">
        <v>1372</v>
      </c>
      <c r="C14" s="10" t="s">
        <v>1373</v>
      </c>
      <c r="D14" s="11">
        <v>45365</v>
      </c>
      <c r="E14" s="12">
        <v>220000</v>
      </c>
      <c r="F14" s="10" t="s">
        <v>32</v>
      </c>
      <c r="G14" s="10" t="s">
        <v>33</v>
      </c>
      <c r="H14" s="12">
        <v>220000</v>
      </c>
      <c r="I14" s="12">
        <v>74800</v>
      </c>
      <c r="J14" s="13">
        <f t="shared" si="0"/>
        <v>34</v>
      </c>
      <c r="K14" s="12">
        <v>177078</v>
      </c>
      <c r="L14" s="12">
        <f>H14-165074</f>
        <v>54926</v>
      </c>
      <c r="M14" s="12">
        <v>12004</v>
      </c>
      <c r="N14" s="66">
        <f t="shared" si="1"/>
        <v>5.4563636363636363E-2</v>
      </c>
      <c r="O14" s="14">
        <v>55.06</v>
      </c>
      <c r="P14" s="15">
        <v>135.82</v>
      </c>
      <c r="Q14" s="16">
        <v>0.161</v>
      </c>
      <c r="R14" s="16">
        <v>0.161</v>
      </c>
      <c r="S14" s="12">
        <f t="shared" si="2"/>
        <v>997.56629131856153</v>
      </c>
      <c r="T14" s="12">
        <f t="shared" si="3"/>
        <v>341155.27950310556</v>
      </c>
      <c r="U14" s="17">
        <f t="shared" si="4"/>
        <v>7.8318475551677125</v>
      </c>
      <c r="V14" s="16">
        <v>51.76</v>
      </c>
      <c r="W14" s="16">
        <f t="shared" si="5"/>
        <v>44000</v>
      </c>
      <c r="X14" s="16">
        <f t="shared" si="6"/>
        <v>850.07727975270484</v>
      </c>
      <c r="Y14" s="18" t="s">
        <v>1349</v>
      </c>
      <c r="Z14" s="10" t="s">
        <v>35</v>
      </c>
      <c r="AA14" s="10" t="s">
        <v>35</v>
      </c>
      <c r="AB14" s="10" t="s">
        <v>1350</v>
      </c>
      <c r="AC14" s="10">
        <v>0</v>
      </c>
      <c r="AD14" s="10">
        <v>1</v>
      </c>
      <c r="AE14" s="10" t="s">
        <v>37</v>
      </c>
      <c r="AF14" s="10" t="s">
        <v>43</v>
      </c>
      <c r="AG14" s="10" t="s">
        <v>38</v>
      </c>
      <c r="AH14" s="10" t="s">
        <v>92</v>
      </c>
    </row>
    <row r="15" spans="1:34" ht="15" thickTop="1" x14ac:dyDescent="0.3">
      <c r="A15" s="76"/>
      <c r="B15" s="37"/>
      <c r="C15" s="37"/>
      <c r="D15" s="38" t="s">
        <v>2876</v>
      </c>
      <c r="E15" s="39">
        <f>+SUM(E2:E14)</f>
        <v>2420500</v>
      </c>
      <c r="F15" s="37"/>
      <c r="G15" s="37"/>
      <c r="H15" s="39">
        <f>+SUM(H2:H14)</f>
        <v>2420500</v>
      </c>
      <c r="I15" s="39">
        <f>+SUM(I2:I14)</f>
        <v>1034000</v>
      </c>
      <c r="J15" s="40"/>
      <c r="K15" s="39">
        <f>+SUM(K2:K14)</f>
        <v>2304203</v>
      </c>
      <c r="L15" s="39">
        <f>+SUM(L2:L14)</f>
        <v>263171</v>
      </c>
      <c r="M15" s="39">
        <f>+SUM(M2:M14)</f>
        <v>146874</v>
      </c>
      <c r="N15" s="81">
        <f>AVERAGE(N2:N14)</f>
        <v>6.1110531831373729E-2</v>
      </c>
      <c r="O15" s="41">
        <f>+SUM(O2:O14)</f>
        <v>673.69</v>
      </c>
      <c r="P15" s="42"/>
      <c r="Q15" s="43">
        <f>+SUM(Q2:Q14)</f>
        <v>1.839</v>
      </c>
      <c r="R15" s="43">
        <f>+SUM(R2:R14)</f>
        <v>1.839</v>
      </c>
      <c r="S15" s="39"/>
      <c r="T15" s="39"/>
      <c r="U15" s="44"/>
      <c r="V15" s="43"/>
      <c r="W15" s="82">
        <f>AVERAGE(W2:W14)</f>
        <v>37238.461538461539</v>
      </c>
      <c r="X15" s="83">
        <f>AVERAGE(X2:X14)</f>
        <v>744.01139539937117</v>
      </c>
      <c r="Y15" s="45"/>
      <c r="Z15" s="37"/>
      <c r="AA15" s="37"/>
      <c r="AB15" s="37"/>
      <c r="AC15" s="37"/>
      <c r="AD15" s="37"/>
      <c r="AE15" s="37"/>
      <c r="AF15" s="37"/>
      <c r="AG15" s="37"/>
      <c r="AH15" s="37"/>
    </row>
    <row r="16" spans="1:34" x14ac:dyDescent="0.3">
      <c r="A16" s="77"/>
      <c r="B16" s="28"/>
      <c r="C16" s="28"/>
      <c r="D16" s="29"/>
      <c r="E16" s="30"/>
      <c r="F16" s="28"/>
      <c r="G16" s="28"/>
      <c r="H16" s="30"/>
      <c r="I16" s="30" t="s">
        <v>2877</v>
      </c>
      <c r="J16" s="31">
        <f>I15/H15*100</f>
        <v>42.718446601941743</v>
      </c>
      <c r="K16" s="30"/>
      <c r="L16" s="30"/>
      <c r="M16" s="30" t="s">
        <v>2879</v>
      </c>
      <c r="N16" s="79"/>
      <c r="O16" s="32"/>
      <c r="P16" s="33"/>
      <c r="Q16" s="34" t="s">
        <v>2879</v>
      </c>
      <c r="R16" s="34"/>
      <c r="S16" s="30"/>
      <c r="T16" s="30" t="s">
        <v>2879</v>
      </c>
      <c r="U16" s="35"/>
      <c r="V16" s="34"/>
      <c r="W16" s="63"/>
      <c r="X16" s="68"/>
      <c r="Y16" s="36"/>
      <c r="Z16" s="28"/>
      <c r="AA16" s="28"/>
      <c r="AB16" s="28"/>
      <c r="AC16" s="28"/>
      <c r="AD16" s="28"/>
      <c r="AE16" s="28"/>
      <c r="AF16" s="28"/>
      <c r="AG16" s="28"/>
      <c r="AH16" s="28"/>
    </row>
    <row r="17" spans="1:34" x14ac:dyDescent="0.3">
      <c r="A17" s="78"/>
      <c r="B17" s="46"/>
      <c r="C17" s="46"/>
      <c r="D17" s="47"/>
      <c r="E17" s="48"/>
      <c r="F17" s="46"/>
      <c r="G17" s="46"/>
      <c r="H17" s="48"/>
      <c r="I17" s="48" t="s">
        <v>2878</v>
      </c>
      <c r="J17" s="49">
        <f>STDEV(J2:J14)</f>
        <v>5.383334671561383</v>
      </c>
      <c r="K17" s="48"/>
      <c r="L17" s="48"/>
      <c r="M17" s="48" t="s">
        <v>2880</v>
      </c>
      <c r="N17" s="80"/>
      <c r="O17" s="54">
        <f>L15/O15</f>
        <v>390.64109605308079</v>
      </c>
      <c r="P17" s="50"/>
      <c r="Q17" s="51" t="s">
        <v>2881</v>
      </c>
      <c r="R17" s="51">
        <f>L15/Q15</f>
        <v>143105.49211528004</v>
      </c>
      <c r="S17" s="48"/>
      <c r="T17" s="48" t="s">
        <v>2882</v>
      </c>
      <c r="U17" s="52">
        <f>L15/Q15/43560</f>
        <v>3.2852500485601479</v>
      </c>
      <c r="V17" s="51"/>
      <c r="W17" s="64"/>
      <c r="X17" s="69"/>
      <c r="Y17" s="53"/>
      <c r="Z17" s="46"/>
      <c r="AA17" s="46"/>
      <c r="AB17" s="46"/>
      <c r="AC17" s="46"/>
      <c r="AD17" s="46"/>
      <c r="AE17" s="46"/>
      <c r="AF17" s="46"/>
      <c r="AG17" s="46"/>
      <c r="AH17" s="46"/>
    </row>
    <row r="18" spans="1:34" x14ac:dyDescent="0.3">
      <c r="E18" s="94" t="s">
        <v>3099</v>
      </c>
      <c r="L18" s="95"/>
    </row>
    <row r="19" spans="1:34" x14ac:dyDescent="0.3">
      <c r="E19" s="383" t="s">
        <v>3163</v>
      </c>
      <c r="F19" s="383"/>
      <c r="G19" s="383"/>
      <c r="H19" s="383"/>
      <c r="I19" s="383"/>
      <c r="J19" s="383"/>
      <c r="K19" s="383"/>
      <c r="L19" s="383"/>
    </row>
    <row r="20" spans="1:34" x14ac:dyDescent="0.3">
      <c r="E20" s="383" t="s">
        <v>3164</v>
      </c>
      <c r="F20" s="383"/>
      <c r="G20" s="383"/>
      <c r="H20" s="383"/>
      <c r="I20" s="383"/>
      <c r="J20" s="383"/>
      <c r="K20" s="383"/>
      <c r="L20" s="383"/>
    </row>
    <row r="21" spans="1:34" x14ac:dyDescent="0.3">
      <c r="E21" s="383" t="s">
        <v>3165</v>
      </c>
      <c r="F21" s="383"/>
      <c r="G21" s="383"/>
      <c r="H21" s="383"/>
      <c r="I21" s="383"/>
      <c r="J21" s="383"/>
      <c r="K21" s="383"/>
      <c r="L21" s="383"/>
    </row>
    <row r="22" spans="1:34" x14ac:dyDescent="0.3">
      <c r="E22" s="383" t="s">
        <v>3166</v>
      </c>
      <c r="F22" s="383"/>
      <c r="G22" s="383"/>
      <c r="H22" s="383"/>
      <c r="I22" s="383"/>
      <c r="J22" s="96"/>
      <c r="K22" s="96"/>
      <c r="L22" s="96"/>
    </row>
    <row r="23" spans="1:34" x14ac:dyDescent="0.3">
      <c r="E23" s="383" t="s">
        <v>3167</v>
      </c>
      <c r="F23" s="383"/>
      <c r="G23" s="383"/>
      <c r="H23" s="383"/>
      <c r="I23" s="383"/>
      <c r="L23" s="95"/>
    </row>
    <row r="24" spans="1:34" x14ac:dyDescent="0.3">
      <c r="E24" s="383" t="s">
        <v>3100</v>
      </c>
      <c r="F24" s="383"/>
      <c r="G24" s="383"/>
      <c r="H24" s="383"/>
      <c r="I24" s="383"/>
      <c r="L24" s="95"/>
    </row>
    <row r="25" spans="1:34" x14ac:dyDescent="0.3">
      <c r="E25" s="96"/>
      <c r="F25" s="96"/>
      <c r="G25" s="96"/>
      <c r="H25" s="96"/>
      <c r="I25" s="96"/>
      <c r="L25" s="95"/>
    </row>
    <row r="26" spans="1:34" x14ac:dyDescent="0.3">
      <c r="A26" s="55" t="s">
        <v>3092</v>
      </c>
      <c r="E26" s="96"/>
      <c r="F26" s="96"/>
      <c r="G26" s="96"/>
      <c r="H26" s="96"/>
      <c r="I26" s="96"/>
      <c r="L26" s="95"/>
    </row>
    <row r="27" spans="1:34" x14ac:dyDescent="0.3">
      <c r="A27" s="75" t="s">
        <v>1350</v>
      </c>
      <c r="B27" s="19" t="s">
        <v>1355</v>
      </c>
      <c r="C27" s="19" t="s">
        <v>1356</v>
      </c>
      <c r="D27" s="20">
        <v>45621</v>
      </c>
      <c r="E27" s="21">
        <v>135000</v>
      </c>
      <c r="F27" s="19" t="s">
        <v>32</v>
      </c>
      <c r="G27" s="19" t="s">
        <v>33</v>
      </c>
      <c r="H27" s="21">
        <v>135000</v>
      </c>
      <c r="I27" s="21">
        <v>91600</v>
      </c>
      <c r="J27" s="22">
        <f t="shared" ref="J27:J28" si="7">I27/H27*100</f>
        <v>67.851851851851848</v>
      </c>
      <c r="K27" s="21">
        <v>190961</v>
      </c>
      <c r="L27" s="21">
        <f>H27-180725</f>
        <v>-45725</v>
      </c>
      <c r="M27" s="21">
        <v>10236</v>
      </c>
      <c r="N27" s="67">
        <f t="shared" ref="N27:N28" si="8">M27/E27</f>
        <v>7.5822222222222221E-2</v>
      </c>
      <c r="O27" s="23">
        <v>46.95</v>
      </c>
      <c r="P27" s="24">
        <v>130.63999999999999</v>
      </c>
      <c r="Q27" s="25">
        <v>0.13500000000000001</v>
      </c>
      <c r="R27" s="25">
        <v>0.13500000000000001</v>
      </c>
      <c r="S27" s="21">
        <f t="shared" ref="S27:S28" si="9">L27/O27</f>
        <v>-973.90841320553773</v>
      </c>
      <c r="T27" s="21">
        <f t="shared" ref="T27:T28" si="10">L27/Q27</f>
        <v>-338703.70370370371</v>
      </c>
      <c r="U27" s="26">
        <f t="shared" ref="U27:U28" si="11">L27/Q27/43560</f>
        <v>-7.7755671190014626</v>
      </c>
      <c r="V27" s="25">
        <v>45</v>
      </c>
      <c r="W27" s="25">
        <f t="shared" ref="W27:W28" si="12">0.2*E27</f>
        <v>27000</v>
      </c>
      <c r="X27" s="25">
        <f t="shared" ref="X27:X28" si="13">W27/V27</f>
        <v>600</v>
      </c>
      <c r="Y27" s="27" t="s">
        <v>1349</v>
      </c>
      <c r="Z27" s="19" t="s">
        <v>35</v>
      </c>
      <c r="AA27" s="19" t="s">
        <v>35</v>
      </c>
      <c r="AB27" s="19" t="s">
        <v>1350</v>
      </c>
      <c r="AC27" s="19">
        <v>0</v>
      </c>
      <c r="AD27" s="19">
        <v>1</v>
      </c>
      <c r="AE27" s="19" t="s">
        <v>37</v>
      </c>
      <c r="AF27" s="19" t="s">
        <v>35</v>
      </c>
      <c r="AG27" s="19" t="s">
        <v>38</v>
      </c>
      <c r="AH27" s="19" t="s">
        <v>92</v>
      </c>
    </row>
    <row r="28" spans="1:34" x14ac:dyDescent="0.3">
      <c r="A28" s="75" t="s">
        <v>1350</v>
      </c>
      <c r="B28" s="19" t="s">
        <v>1376</v>
      </c>
      <c r="C28" s="19" t="s">
        <v>1377</v>
      </c>
      <c r="D28" s="20">
        <v>45684</v>
      </c>
      <c r="E28" s="21">
        <v>165000</v>
      </c>
      <c r="F28" s="19" t="s">
        <v>32</v>
      </c>
      <c r="G28" s="19" t="s">
        <v>33</v>
      </c>
      <c r="H28" s="21">
        <v>165000</v>
      </c>
      <c r="I28" s="21">
        <v>96200</v>
      </c>
      <c r="J28" s="22">
        <f t="shared" si="7"/>
        <v>58.303030303030297</v>
      </c>
      <c r="K28" s="21">
        <v>201835</v>
      </c>
      <c r="L28" s="21">
        <f>H28-189844</f>
        <v>-24844</v>
      </c>
      <c r="M28" s="21">
        <v>11991</v>
      </c>
      <c r="N28" s="67">
        <f t="shared" si="8"/>
        <v>7.2672727272727278E-2</v>
      </c>
      <c r="O28" s="23">
        <v>55</v>
      </c>
      <c r="P28" s="24">
        <v>135.82</v>
      </c>
      <c r="Q28" s="25">
        <v>0.161</v>
      </c>
      <c r="R28" s="25">
        <v>0.161</v>
      </c>
      <c r="S28" s="21">
        <f t="shared" si="9"/>
        <v>-451.70909090909089</v>
      </c>
      <c r="T28" s="21">
        <f t="shared" si="10"/>
        <v>-154310.55900621117</v>
      </c>
      <c r="U28" s="26">
        <f t="shared" si="11"/>
        <v>-3.5424829891233052</v>
      </c>
      <c r="V28" s="25">
        <v>51.7</v>
      </c>
      <c r="W28" s="25">
        <f t="shared" si="12"/>
        <v>33000</v>
      </c>
      <c r="X28" s="25">
        <f t="shared" si="13"/>
        <v>638.29787234042544</v>
      </c>
      <c r="Y28" s="27" t="s">
        <v>1349</v>
      </c>
      <c r="Z28" s="19" t="s">
        <v>35</v>
      </c>
      <c r="AA28" s="19" t="s">
        <v>35</v>
      </c>
      <c r="AB28" s="19" t="s">
        <v>1350</v>
      </c>
      <c r="AC28" s="19">
        <v>0</v>
      </c>
      <c r="AD28" s="19">
        <v>1</v>
      </c>
      <c r="AE28" s="19" t="s">
        <v>42</v>
      </c>
      <c r="AF28" s="19" t="s">
        <v>35</v>
      </c>
      <c r="AG28" s="19" t="s">
        <v>38</v>
      </c>
      <c r="AH28" s="19" t="s">
        <v>92</v>
      </c>
    </row>
  </sheetData>
  <sortState xmlns:xlrd2="http://schemas.microsoft.com/office/spreadsheetml/2017/richdata2" ref="A2:AH16">
    <sortCondition ref="S2:S16"/>
  </sortState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1">
    <tabColor rgb="FF00B050"/>
  </sheetPr>
  <dimension ref="A3:AH3"/>
  <sheetViews>
    <sheetView workbookViewId="0">
      <selection activeCell="E13" sqref="E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" bestFit="1" customWidth="1" collapsed="1"/>
    <col min="4" max="4" width="10.6640625" bestFit="1" customWidth="1" collapsed="1"/>
    <col min="5" max="5" width="13.4414062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1.5546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3" spans="1:1" x14ac:dyDescent="0.3">
      <c r="A3" s="92" t="s">
        <v>3200</v>
      </c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2">
    <tabColor rgb="FF00B050"/>
  </sheetPr>
  <dimension ref="A1:AH16"/>
  <sheetViews>
    <sheetView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30.8867187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2163</v>
      </c>
      <c r="B2" s="19" t="s">
        <v>2160</v>
      </c>
      <c r="C2" s="19" t="s">
        <v>2161</v>
      </c>
      <c r="D2" s="20">
        <v>45490</v>
      </c>
      <c r="E2" s="21">
        <v>140000</v>
      </c>
      <c r="F2" s="19" t="s">
        <v>81</v>
      </c>
      <c r="G2" s="19" t="s">
        <v>33</v>
      </c>
      <c r="H2" s="21">
        <v>140000</v>
      </c>
      <c r="I2" s="21">
        <v>63000</v>
      </c>
      <c r="J2" s="22">
        <f>I2/H2*100</f>
        <v>45</v>
      </c>
      <c r="K2" s="21">
        <v>146030</v>
      </c>
      <c r="L2" s="21">
        <f>H2-130615</f>
        <v>9385</v>
      </c>
      <c r="M2" s="21">
        <v>15415</v>
      </c>
      <c r="N2" s="67">
        <f>M2/E2</f>
        <v>0.11010714285714286</v>
      </c>
      <c r="O2" s="23">
        <v>65.31</v>
      </c>
      <c r="P2" s="24">
        <v>200</v>
      </c>
      <c r="Q2" s="25">
        <v>0.36699999999999999</v>
      </c>
      <c r="R2" s="25">
        <v>0.36699999999999999</v>
      </c>
      <c r="S2" s="21">
        <f>L2/O2</f>
        <v>143.69928035522889</v>
      </c>
      <c r="T2" s="21">
        <f>L2/Q2</f>
        <v>25572.207084468664</v>
      </c>
      <c r="U2" s="26">
        <f>L2/Q2/43560</f>
        <v>0.58705709560304553</v>
      </c>
      <c r="V2" s="25">
        <v>80</v>
      </c>
      <c r="W2" s="25">
        <f>0.2*E2</f>
        <v>28000</v>
      </c>
      <c r="X2" s="25">
        <f>W2/V2</f>
        <v>350</v>
      </c>
      <c r="Y2" s="27" t="s">
        <v>2162</v>
      </c>
      <c r="Z2" s="19" t="s">
        <v>35</v>
      </c>
      <c r="AA2" s="19" t="s">
        <v>35</v>
      </c>
      <c r="AB2" s="19" t="s">
        <v>2163</v>
      </c>
      <c r="AC2" s="19">
        <v>0</v>
      </c>
      <c r="AD2" s="19">
        <v>1</v>
      </c>
      <c r="AE2" s="19" t="s">
        <v>1968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4" t="s">
        <v>2163</v>
      </c>
      <c r="B3" s="10" t="s">
        <v>2164</v>
      </c>
      <c r="C3" s="10" t="s">
        <v>2165</v>
      </c>
      <c r="D3" s="11">
        <v>45278</v>
      </c>
      <c r="E3" s="12">
        <v>260000</v>
      </c>
      <c r="F3" s="10" t="s">
        <v>32</v>
      </c>
      <c r="G3" s="10" t="s">
        <v>33</v>
      </c>
      <c r="H3" s="12">
        <v>260000</v>
      </c>
      <c r="I3" s="12">
        <v>67700</v>
      </c>
      <c r="J3" s="13">
        <f>I3/H3*100</f>
        <v>26.038461538461537</v>
      </c>
      <c r="K3" s="12">
        <v>204445</v>
      </c>
      <c r="L3" s="12">
        <f>H3-170475</f>
        <v>89525</v>
      </c>
      <c r="M3" s="12">
        <v>33970</v>
      </c>
      <c r="N3" s="66">
        <f>M3/E3</f>
        <v>0.13065384615384615</v>
      </c>
      <c r="O3" s="14">
        <v>143.93</v>
      </c>
      <c r="P3" s="15">
        <v>436.47</v>
      </c>
      <c r="Q3" s="16">
        <v>1.1970000000000001</v>
      </c>
      <c r="R3" s="16">
        <v>1.1970000000000001</v>
      </c>
      <c r="S3" s="12">
        <f>L3/O3</f>
        <v>622.00375182380321</v>
      </c>
      <c r="T3" s="12">
        <f>L3/Q3</f>
        <v>74791.144527986631</v>
      </c>
      <c r="U3" s="17">
        <f>L3/Q3/43560</f>
        <v>1.7169684235074985</v>
      </c>
      <c r="V3" s="16">
        <v>119</v>
      </c>
      <c r="W3" s="16">
        <f>0.2*E3</f>
        <v>52000</v>
      </c>
      <c r="X3" s="16">
        <f>W3/V3</f>
        <v>436.97478991596637</v>
      </c>
      <c r="Y3" s="18" t="s">
        <v>2162</v>
      </c>
      <c r="Z3" s="10" t="s">
        <v>35</v>
      </c>
      <c r="AA3" s="10" t="s">
        <v>35</v>
      </c>
      <c r="AB3" s="10" t="s">
        <v>2163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400000</v>
      </c>
      <c r="F4" s="37"/>
      <c r="G4" s="37"/>
      <c r="H4" s="39">
        <f>+SUM(H2:H3)</f>
        <v>400000</v>
      </c>
      <c r="I4" s="39">
        <f>+SUM(I2:I3)</f>
        <v>130700</v>
      </c>
      <c r="J4" s="40"/>
      <c r="K4" s="39">
        <f>+SUM(K2:K3)</f>
        <v>350475</v>
      </c>
      <c r="L4" s="39">
        <f>+SUM(L2:L3)</f>
        <v>98910</v>
      </c>
      <c r="M4" s="39">
        <f>+SUM(M2:M3)</f>
        <v>49385</v>
      </c>
      <c r="N4" s="81">
        <f>AVERAGE(N2:N3)</f>
        <v>0.12038049450549451</v>
      </c>
      <c r="O4" s="41">
        <f>+SUM(O2:O3)</f>
        <v>209.24</v>
      </c>
      <c r="P4" s="42"/>
      <c r="Q4" s="43">
        <f>+SUM(Q2:Q3)</f>
        <v>1.5640000000000001</v>
      </c>
      <c r="R4" s="43">
        <f>+SUM(R2:R3)</f>
        <v>1.5640000000000001</v>
      </c>
      <c r="S4" s="39"/>
      <c r="T4" s="39"/>
      <c r="U4" s="44"/>
      <c r="V4" s="43"/>
      <c r="W4" s="82">
        <f>AVERAGE(W2:W3)</f>
        <v>40000</v>
      </c>
      <c r="X4" s="83">
        <f>AVERAGE(X2:X3)</f>
        <v>393.48739495798316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32.674999999999997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13.407832427883392</v>
      </c>
      <c r="K6" s="48"/>
      <c r="L6" s="48"/>
      <c r="M6" s="48" t="s">
        <v>2880</v>
      </c>
      <c r="N6" s="80"/>
      <c r="O6" s="54">
        <f>L4/O4</f>
        <v>472.71076276046642</v>
      </c>
      <c r="P6" s="50"/>
      <c r="Q6" s="51" t="s">
        <v>2881</v>
      </c>
      <c r="R6" s="51">
        <f>L4/Q4</f>
        <v>63241.687979539638</v>
      </c>
      <c r="S6" s="48"/>
      <c r="T6" s="48" t="s">
        <v>2882</v>
      </c>
      <c r="U6" s="52">
        <f>L4/Q4/43560</f>
        <v>1.4518293842869523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  <row r="16" spans="1:34" x14ac:dyDescent="0.3">
      <c r="A16" s="75" t="s">
        <v>2163</v>
      </c>
      <c r="B16" s="19" t="s">
        <v>2312</v>
      </c>
      <c r="C16" s="19" t="s">
        <v>2313</v>
      </c>
      <c r="D16" s="20">
        <v>45559</v>
      </c>
      <c r="E16" s="21">
        <v>296500</v>
      </c>
      <c r="F16" s="19" t="s">
        <v>32</v>
      </c>
      <c r="G16" s="19" t="s">
        <v>66</v>
      </c>
      <c r="H16" s="21">
        <v>296500</v>
      </c>
      <c r="I16" s="21">
        <v>80100</v>
      </c>
      <c r="J16" s="22">
        <f>I16/H16*100</f>
        <v>27.015177065767286</v>
      </c>
      <c r="K16" s="21">
        <v>175537</v>
      </c>
      <c r="L16" s="21">
        <f>H16-139567</f>
        <v>156933</v>
      </c>
      <c r="M16" s="21">
        <v>35970</v>
      </c>
      <c r="N16" s="67">
        <f>M16/E16</f>
        <v>0.12131534569983136</v>
      </c>
      <c r="O16" s="23">
        <v>74.55</v>
      </c>
      <c r="P16" s="24">
        <v>230.79</v>
      </c>
      <c r="Q16" s="25">
        <v>1.5</v>
      </c>
      <c r="R16" s="25">
        <v>1.05</v>
      </c>
      <c r="S16" s="21">
        <f>L16/O16</f>
        <v>2105.0704225352115</v>
      </c>
      <c r="T16" s="21">
        <f>L16/Q16</f>
        <v>104622</v>
      </c>
      <c r="U16" s="26">
        <f>L16/Q16/43560</f>
        <v>2.4017906336088153</v>
      </c>
      <c r="V16" s="25">
        <v>85</v>
      </c>
      <c r="W16" s="25">
        <f>0.2*E16</f>
        <v>59300</v>
      </c>
      <c r="X16" s="25">
        <f>W16/V16</f>
        <v>697.64705882352939</v>
      </c>
      <c r="Y16" s="27" t="s">
        <v>2162</v>
      </c>
      <c r="Z16" s="19" t="s">
        <v>35</v>
      </c>
      <c r="AA16" s="19" t="s">
        <v>2314</v>
      </c>
      <c r="AB16" s="19" t="s">
        <v>2163</v>
      </c>
      <c r="AC16" s="19">
        <v>0</v>
      </c>
      <c r="AD16" s="19">
        <v>0</v>
      </c>
      <c r="AE16" s="19" t="s">
        <v>42</v>
      </c>
      <c r="AF16" s="19" t="s">
        <v>43</v>
      </c>
      <c r="AG16" s="19" t="s">
        <v>38</v>
      </c>
      <c r="AH16" s="19"/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3">
    <tabColor rgb="FFFF0000"/>
  </sheetPr>
  <dimension ref="A1:AH14"/>
  <sheetViews>
    <sheetView workbookViewId="0">
      <selection activeCell="E6" sqref="E6:L1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2.4414062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2567</v>
      </c>
      <c r="B2" s="10" t="s">
        <v>2564</v>
      </c>
      <c r="C2" s="10" t="s">
        <v>2565</v>
      </c>
      <c r="D2" s="11">
        <v>45499</v>
      </c>
      <c r="E2" s="12">
        <v>80000</v>
      </c>
      <c r="F2" s="10" t="s">
        <v>32</v>
      </c>
      <c r="G2" s="10" t="s">
        <v>33</v>
      </c>
      <c r="H2" s="12">
        <v>80000</v>
      </c>
      <c r="I2" s="12">
        <v>51200</v>
      </c>
      <c r="J2" s="13">
        <f>I2/H2*100</f>
        <v>64</v>
      </c>
      <c r="K2" s="12">
        <v>112076</v>
      </c>
      <c r="L2" s="12">
        <f>H2-94207</f>
        <v>-14207</v>
      </c>
      <c r="M2" s="12">
        <v>17869</v>
      </c>
      <c r="N2" s="66">
        <f>M2/E2</f>
        <v>0.22336249999999999</v>
      </c>
      <c r="O2" s="14">
        <v>81.22</v>
      </c>
      <c r="P2" s="15">
        <v>190</v>
      </c>
      <c r="Q2" s="16">
        <v>0.52</v>
      </c>
      <c r="R2" s="16">
        <v>0.32700000000000001</v>
      </c>
      <c r="S2" s="12">
        <f>L2/O2</f>
        <v>-174.91997045062791</v>
      </c>
      <c r="T2" s="12">
        <f>L2/Q2</f>
        <v>-27321.153846153844</v>
      </c>
      <c r="U2" s="17">
        <f>L2/Q2/43560</f>
        <v>-0.62720738857102487</v>
      </c>
      <c r="V2" s="16">
        <v>100</v>
      </c>
      <c r="W2" s="16">
        <f>0.2*E2</f>
        <v>16000</v>
      </c>
      <c r="X2" s="16">
        <f>W2/V2</f>
        <v>160</v>
      </c>
      <c r="Y2" s="18" t="s">
        <v>2566</v>
      </c>
      <c r="Z2" s="10" t="s">
        <v>35</v>
      </c>
      <c r="AA2" s="10" t="s">
        <v>35</v>
      </c>
      <c r="AB2" s="10" t="s">
        <v>2567</v>
      </c>
      <c r="AC2" s="10">
        <v>0</v>
      </c>
      <c r="AD2" s="10">
        <v>0</v>
      </c>
      <c r="AE2" s="10" t="s">
        <v>42</v>
      </c>
      <c r="AF2" s="10" t="s">
        <v>43</v>
      </c>
      <c r="AG2" s="10" t="s">
        <v>38</v>
      </c>
      <c r="AH2" s="10" t="s">
        <v>1830</v>
      </c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80000</v>
      </c>
      <c r="F3" s="37"/>
      <c r="G3" s="37"/>
      <c r="H3" s="39">
        <f>+SUM(H2:H2)</f>
        <v>80000</v>
      </c>
      <c r="I3" s="39">
        <f>+SUM(I2:I2)</f>
        <v>51200</v>
      </c>
      <c r="J3" s="40"/>
      <c r="K3" s="39">
        <f>+SUM(K2:K2)</f>
        <v>112076</v>
      </c>
      <c r="L3" s="39">
        <f>+SUM(L2:L2)</f>
        <v>-14207</v>
      </c>
      <c r="M3" s="39">
        <f>+SUM(M2:M2)</f>
        <v>17869</v>
      </c>
      <c r="N3" s="81">
        <f>AVERAGE(N2:N2)</f>
        <v>0.22336249999999999</v>
      </c>
      <c r="O3" s="41">
        <f>+SUM(O2:O2)</f>
        <v>81.22</v>
      </c>
      <c r="P3" s="42"/>
      <c r="Q3" s="43">
        <f>+SUM(Q2:Q2)</f>
        <v>0.52</v>
      </c>
      <c r="R3" s="43">
        <f>+SUM(R2:R2)</f>
        <v>0.32700000000000001</v>
      </c>
      <c r="S3" s="39"/>
      <c r="T3" s="39"/>
      <c r="U3" s="44"/>
      <c r="V3" s="43"/>
      <c r="W3" s="82">
        <f>AVERAGE(W2:W2)</f>
        <v>16000</v>
      </c>
      <c r="X3" s="83">
        <f>AVERAGE(X2:X2)</f>
        <v>160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64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>
        <f>L3/O3</f>
        <v>-174.91997045062791</v>
      </c>
      <c r="P5" s="50"/>
      <c r="Q5" s="51" t="s">
        <v>2881</v>
      </c>
      <c r="R5" s="51">
        <f>L3/Q3</f>
        <v>-27321.153846153844</v>
      </c>
      <c r="S5" s="48"/>
      <c r="T5" s="48" t="s">
        <v>2882</v>
      </c>
      <c r="U5" s="52">
        <f>L3/Q3/43560</f>
        <v>-0.62720738857102487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4">
    <tabColor rgb="FFFF0000"/>
  </sheetPr>
  <dimension ref="A1:AH15"/>
  <sheetViews>
    <sheetView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664062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2840</v>
      </c>
      <c r="B2" s="10" t="s">
        <v>2837</v>
      </c>
      <c r="C2" s="10" t="s">
        <v>2838</v>
      </c>
      <c r="D2" s="11">
        <v>45636</v>
      </c>
      <c r="E2" s="12">
        <v>7500</v>
      </c>
      <c r="F2" s="10" t="s">
        <v>32</v>
      </c>
      <c r="G2" s="10" t="s">
        <v>33</v>
      </c>
      <c r="H2" s="12">
        <v>7500</v>
      </c>
      <c r="I2" s="12">
        <v>14100</v>
      </c>
      <c r="J2" s="13">
        <f>I2/H2*100</f>
        <v>188</v>
      </c>
      <c r="K2" s="12">
        <v>29961</v>
      </c>
      <c r="L2" s="12">
        <f>H2-0</f>
        <v>7500</v>
      </c>
      <c r="M2" s="12">
        <v>29961</v>
      </c>
      <c r="N2" s="66">
        <f>M2/E2</f>
        <v>3.9948000000000001</v>
      </c>
      <c r="O2" s="14">
        <v>152.86000000000001</v>
      </c>
      <c r="P2" s="15">
        <v>285</v>
      </c>
      <c r="Q2" s="16">
        <v>1</v>
      </c>
      <c r="R2" s="16">
        <v>1</v>
      </c>
      <c r="S2" s="12">
        <f>L2/O2</f>
        <v>49.06450346722491</v>
      </c>
      <c r="T2" s="12">
        <f>L2/Q2</f>
        <v>7500</v>
      </c>
      <c r="U2" s="17">
        <f>L2/Q2/43560</f>
        <v>0.17217630853994489</v>
      </c>
      <c r="V2" s="16">
        <v>152.86000000000001</v>
      </c>
      <c r="W2" s="16">
        <f>0.2*E2</f>
        <v>1500</v>
      </c>
      <c r="X2" s="16">
        <f>W2/V2</f>
        <v>9.8129006934449823</v>
      </c>
      <c r="Y2" s="18" t="s">
        <v>2839</v>
      </c>
      <c r="Z2" s="10" t="s">
        <v>35</v>
      </c>
      <c r="AA2" s="10" t="s">
        <v>35</v>
      </c>
      <c r="AB2" s="10" t="s">
        <v>2840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61</v>
      </c>
      <c r="AH2" s="10" t="s">
        <v>92</v>
      </c>
    </row>
    <row r="3" spans="1:34" ht="15" thickBot="1" x14ac:dyDescent="0.35">
      <c r="A3" s="75" t="s">
        <v>2840</v>
      </c>
      <c r="B3" s="19" t="s">
        <v>2841</v>
      </c>
      <c r="C3" s="19" t="s">
        <v>2842</v>
      </c>
      <c r="D3" s="20">
        <v>45369</v>
      </c>
      <c r="E3" s="21">
        <v>175000</v>
      </c>
      <c r="F3" s="19" t="s">
        <v>32</v>
      </c>
      <c r="G3" s="19" t="s">
        <v>33</v>
      </c>
      <c r="H3" s="21">
        <v>175000</v>
      </c>
      <c r="I3" s="21">
        <v>64500</v>
      </c>
      <c r="J3" s="22">
        <f>I3/H3*100</f>
        <v>36.857142857142854</v>
      </c>
      <c r="K3" s="21">
        <v>168627</v>
      </c>
      <c r="L3" s="21">
        <f>H3-153258</f>
        <v>21742</v>
      </c>
      <c r="M3" s="21">
        <v>15369</v>
      </c>
      <c r="N3" s="67">
        <f>M3/E3</f>
        <v>8.7822857142857147E-2</v>
      </c>
      <c r="O3" s="23">
        <v>78.41</v>
      </c>
      <c r="P3" s="24">
        <v>300</v>
      </c>
      <c r="Q3" s="25">
        <v>0.52600000000000002</v>
      </c>
      <c r="R3" s="25">
        <v>0.52600000000000002</v>
      </c>
      <c r="S3" s="21">
        <f>L3/O3</f>
        <v>277.28606045147302</v>
      </c>
      <c r="T3" s="21">
        <f>L3/Q3</f>
        <v>41334.600760456269</v>
      </c>
      <c r="U3" s="26">
        <f>L3/Q3/43560</f>
        <v>0.94891186318770127</v>
      </c>
      <c r="V3" s="25">
        <v>76.430000000000007</v>
      </c>
      <c r="W3" s="25">
        <f>0.2*E3</f>
        <v>35000</v>
      </c>
      <c r="X3" s="25">
        <f>W3/V3</f>
        <v>457.93536569409912</v>
      </c>
      <c r="Y3" s="27" t="s">
        <v>2839</v>
      </c>
      <c r="Z3" s="19" t="s">
        <v>35</v>
      </c>
      <c r="AA3" s="19" t="s">
        <v>35</v>
      </c>
      <c r="AB3" s="19" t="s">
        <v>2840</v>
      </c>
      <c r="AC3" s="19">
        <v>0</v>
      </c>
      <c r="AD3" s="19">
        <v>1</v>
      </c>
      <c r="AE3" s="19" t="s">
        <v>42</v>
      </c>
      <c r="AF3" s="19" t="s">
        <v>43</v>
      </c>
      <c r="AG3" s="19" t="s">
        <v>38</v>
      </c>
      <c r="AH3" s="19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182500</v>
      </c>
      <c r="F4" s="37"/>
      <c r="G4" s="37"/>
      <c r="H4" s="39">
        <f>+SUM(H2:H3)</f>
        <v>182500</v>
      </c>
      <c r="I4" s="39">
        <f>+SUM(I2:I3)</f>
        <v>78600</v>
      </c>
      <c r="J4" s="40"/>
      <c r="K4" s="39">
        <f>+SUM(K2:K3)</f>
        <v>198588</v>
      </c>
      <c r="L4" s="39">
        <f>+SUM(L2:L3)</f>
        <v>29242</v>
      </c>
      <c r="M4" s="39">
        <f>+SUM(M2:M3)</f>
        <v>45330</v>
      </c>
      <c r="N4" s="81">
        <f>AVERAGE(N2:N3)</f>
        <v>2.0413114285714284</v>
      </c>
      <c r="O4" s="41">
        <f>+SUM(O2:O3)</f>
        <v>231.27</v>
      </c>
      <c r="P4" s="42"/>
      <c r="Q4" s="43">
        <f>+SUM(Q2:Q3)</f>
        <v>1.526</v>
      </c>
      <c r="R4" s="43">
        <f>+SUM(R2:R3)</f>
        <v>1.526</v>
      </c>
      <c r="S4" s="39"/>
      <c r="T4" s="39"/>
      <c r="U4" s="44"/>
      <c r="V4" s="43"/>
      <c r="W4" s="82">
        <f>AVERAGE(W2:W3)</f>
        <v>18250</v>
      </c>
      <c r="X4" s="83">
        <f>AVERAGE(X2:X3)</f>
        <v>233.87413319377205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43.068493150684937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106.87413921362389</v>
      </c>
      <c r="K6" s="48"/>
      <c r="L6" s="48"/>
      <c r="M6" s="48" t="s">
        <v>2880</v>
      </c>
      <c r="N6" s="80"/>
      <c r="O6" s="54">
        <f>L4/O4</f>
        <v>126.44095645781987</v>
      </c>
      <c r="P6" s="50"/>
      <c r="Q6" s="51" t="s">
        <v>2881</v>
      </c>
      <c r="R6" s="51">
        <f>L4/Q4</f>
        <v>19162.516382699869</v>
      </c>
      <c r="S6" s="48"/>
      <c r="T6" s="48" t="s">
        <v>2882</v>
      </c>
      <c r="U6" s="52">
        <f>L4/Q4/43560</f>
        <v>0.43991084441459755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50"/>
  </sheetPr>
  <dimension ref="A1:AH20"/>
  <sheetViews>
    <sheetView workbookViewId="0">
      <selection activeCell="E18" sqref="E18:I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.5546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174</v>
      </c>
      <c r="B2" s="10" t="s">
        <v>178</v>
      </c>
      <c r="C2" s="10" t="s">
        <v>179</v>
      </c>
      <c r="D2" s="11">
        <v>45303</v>
      </c>
      <c r="E2" s="12">
        <v>295000</v>
      </c>
      <c r="F2" s="10" t="s">
        <v>32</v>
      </c>
      <c r="G2" s="10" t="s">
        <v>33</v>
      </c>
      <c r="H2" s="12">
        <v>295000</v>
      </c>
      <c r="I2" s="12">
        <v>151900</v>
      </c>
      <c r="J2" s="13">
        <f t="shared" ref="J2:J8" si="0">I2/H2*100</f>
        <v>51.49152542372881</v>
      </c>
      <c r="K2" s="12">
        <v>322643</v>
      </c>
      <c r="L2" s="12">
        <f>H2-317443</f>
        <v>-22443</v>
      </c>
      <c r="M2" s="12">
        <v>5200</v>
      </c>
      <c r="N2" s="66">
        <f t="shared" ref="N2:N8" si="1">M2/E2</f>
        <v>1.7627118644067796E-2</v>
      </c>
      <c r="O2" s="14">
        <v>40</v>
      </c>
      <c r="P2" s="15">
        <v>120</v>
      </c>
      <c r="Q2" s="16">
        <v>0.11</v>
      </c>
      <c r="R2" s="16">
        <v>0.11</v>
      </c>
      <c r="S2" s="12">
        <f t="shared" ref="S2:S8" si="2">L2/O2</f>
        <v>-561.07500000000005</v>
      </c>
      <c r="T2" s="12">
        <f t="shared" ref="T2:T8" si="3">L2/Q2</f>
        <v>-204027.27272727274</v>
      </c>
      <c r="U2" s="17">
        <f t="shared" ref="U2:U8" si="4">L2/Q2/43560</f>
        <v>-4.6838216879539196</v>
      </c>
      <c r="V2" s="16">
        <v>40</v>
      </c>
      <c r="W2" s="16">
        <f t="shared" ref="W2:W8" si="5">0.2*E2</f>
        <v>59000</v>
      </c>
      <c r="X2" s="16">
        <f t="shared" ref="X2:X8" si="6">W2/V2</f>
        <v>1475</v>
      </c>
      <c r="Y2" s="18" t="s">
        <v>173</v>
      </c>
      <c r="Z2" s="10" t="s">
        <v>35</v>
      </c>
      <c r="AA2" s="10" t="s">
        <v>35</v>
      </c>
      <c r="AB2" s="10" t="s">
        <v>174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4" t="s">
        <v>174</v>
      </c>
      <c r="B3" s="10" t="s">
        <v>187</v>
      </c>
      <c r="C3" s="10" t="s">
        <v>188</v>
      </c>
      <c r="D3" s="11">
        <v>45636</v>
      </c>
      <c r="E3" s="12">
        <v>235000</v>
      </c>
      <c r="F3" s="10" t="s">
        <v>32</v>
      </c>
      <c r="G3" s="10" t="s">
        <v>33</v>
      </c>
      <c r="H3" s="12">
        <v>235000</v>
      </c>
      <c r="I3" s="12">
        <v>123700</v>
      </c>
      <c r="J3" s="13">
        <f t="shared" si="0"/>
        <v>52.638297872340424</v>
      </c>
      <c r="K3" s="12">
        <v>249807</v>
      </c>
      <c r="L3" s="12">
        <f>H3-237838</f>
        <v>-2838</v>
      </c>
      <c r="M3" s="12">
        <v>11969</v>
      </c>
      <c r="N3" s="66">
        <f t="shared" si="1"/>
        <v>5.0931914893617022E-2</v>
      </c>
      <c r="O3" s="14">
        <v>92.07</v>
      </c>
      <c r="P3" s="15">
        <v>207.6</v>
      </c>
      <c r="Q3" s="16">
        <v>0.33600000000000002</v>
      </c>
      <c r="R3" s="16">
        <v>0.33400000000000002</v>
      </c>
      <c r="S3" s="12">
        <f t="shared" si="2"/>
        <v>-30.824372759856633</v>
      </c>
      <c r="T3" s="12">
        <f t="shared" si="3"/>
        <v>-8446.4285714285706</v>
      </c>
      <c r="U3" s="17">
        <f t="shared" si="4"/>
        <v>-0.19390331890331888</v>
      </c>
      <c r="V3" s="16">
        <v>70</v>
      </c>
      <c r="W3" s="16">
        <f t="shared" si="5"/>
        <v>47000</v>
      </c>
      <c r="X3" s="16">
        <f t="shared" si="6"/>
        <v>671.42857142857144</v>
      </c>
      <c r="Y3" s="18" t="s">
        <v>173</v>
      </c>
      <c r="Z3" s="10" t="s">
        <v>35</v>
      </c>
      <c r="AA3" s="10" t="s">
        <v>35</v>
      </c>
      <c r="AB3" s="10" t="s">
        <v>174</v>
      </c>
      <c r="AC3" s="10">
        <v>0</v>
      </c>
      <c r="AD3" s="10">
        <v>1</v>
      </c>
      <c r="AE3" s="10" t="s">
        <v>42</v>
      </c>
      <c r="AF3" s="10" t="s">
        <v>35</v>
      </c>
      <c r="AG3" s="10" t="s">
        <v>38</v>
      </c>
      <c r="AH3" s="10" t="s">
        <v>92</v>
      </c>
    </row>
    <row r="4" spans="1:34" x14ac:dyDescent="0.3">
      <c r="A4" s="75" t="s">
        <v>174</v>
      </c>
      <c r="B4" s="19" t="s">
        <v>184</v>
      </c>
      <c r="C4" s="19" t="s">
        <v>185</v>
      </c>
      <c r="D4" s="20">
        <v>45604</v>
      </c>
      <c r="E4" s="21">
        <v>210000</v>
      </c>
      <c r="F4" s="19" t="s">
        <v>32</v>
      </c>
      <c r="G4" s="19" t="s">
        <v>33</v>
      </c>
      <c r="H4" s="21">
        <v>210000</v>
      </c>
      <c r="I4" s="21">
        <v>106500</v>
      </c>
      <c r="J4" s="22">
        <f t="shared" si="0"/>
        <v>50.714285714285708</v>
      </c>
      <c r="K4" s="21">
        <v>222493</v>
      </c>
      <c r="L4" s="21">
        <f>H4-212228</f>
        <v>-2228</v>
      </c>
      <c r="M4" s="21">
        <v>10265</v>
      </c>
      <c r="N4" s="67">
        <f t="shared" si="1"/>
        <v>4.8880952380952379E-2</v>
      </c>
      <c r="O4" s="23">
        <v>78.95</v>
      </c>
      <c r="P4" s="24">
        <v>133</v>
      </c>
      <c r="Q4" s="25">
        <v>0.22900000000000001</v>
      </c>
      <c r="R4" s="25">
        <v>0.22900000000000001</v>
      </c>
      <c r="S4" s="21">
        <f t="shared" si="2"/>
        <v>-28.220392653578212</v>
      </c>
      <c r="T4" s="21">
        <f t="shared" si="3"/>
        <v>-9729.2576419213965</v>
      </c>
      <c r="U4" s="26">
        <f t="shared" si="4"/>
        <v>-0.22335302208267668</v>
      </c>
      <c r="V4" s="25">
        <v>75</v>
      </c>
      <c r="W4" s="25">
        <f t="shared" si="5"/>
        <v>42000</v>
      </c>
      <c r="X4" s="25">
        <f t="shared" si="6"/>
        <v>560</v>
      </c>
      <c r="Y4" s="27" t="s">
        <v>173</v>
      </c>
      <c r="Z4" s="19" t="s">
        <v>35</v>
      </c>
      <c r="AA4" s="19" t="s">
        <v>35</v>
      </c>
      <c r="AB4" s="19" t="s">
        <v>174</v>
      </c>
      <c r="AC4" s="19">
        <v>0</v>
      </c>
      <c r="AD4" s="19">
        <v>1</v>
      </c>
      <c r="AE4" s="19" t="s">
        <v>186</v>
      </c>
      <c r="AF4" s="19" t="s">
        <v>35</v>
      </c>
      <c r="AG4" s="19" t="s">
        <v>38</v>
      </c>
      <c r="AH4" s="19" t="s">
        <v>92</v>
      </c>
    </row>
    <row r="5" spans="1:34" x14ac:dyDescent="0.3">
      <c r="A5" s="75" t="s">
        <v>174</v>
      </c>
      <c r="B5" s="19" t="s">
        <v>182</v>
      </c>
      <c r="C5" s="19" t="s">
        <v>183</v>
      </c>
      <c r="D5" s="20">
        <v>45380</v>
      </c>
      <c r="E5" s="21">
        <v>172500</v>
      </c>
      <c r="F5" s="19" t="s">
        <v>32</v>
      </c>
      <c r="G5" s="19" t="s">
        <v>33</v>
      </c>
      <c r="H5" s="21">
        <v>172500</v>
      </c>
      <c r="I5" s="21">
        <v>81000</v>
      </c>
      <c r="J5" s="22">
        <f t="shared" si="0"/>
        <v>46.956521739130437</v>
      </c>
      <c r="K5" s="21">
        <v>181653</v>
      </c>
      <c r="L5" s="21">
        <f>H5-171513</f>
        <v>987</v>
      </c>
      <c r="M5" s="21">
        <v>10140</v>
      </c>
      <c r="N5" s="67">
        <f t="shared" si="1"/>
        <v>5.8782608695652175E-2</v>
      </c>
      <c r="O5" s="23">
        <v>78</v>
      </c>
      <c r="P5" s="24">
        <v>120</v>
      </c>
      <c r="Q5" s="25">
        <v>0.215</v>
      </c>
      <c r="R5" s="25">
        <v>0.215</v>
      </c>
      <c r="S5" s="21">
        <f t="shared" si="2"/>
        <v>12.653846153846153</v>
      </c>
      <c r="T5" s="21">
        <f t="shared" si="3"/>
        <v>4590.6976744186049</v>
      </c>
      <c r="U5" s="26">
        <f t="shared" si="4"/>
        <v>0.1053879172272407</v>
      </c>
      <c r="V5" s="25">
        <v>78</v>
      </c>
      <c r="W5" s="25">
        <f t="shared" si="5"/>
        <v>34500</v>
      </c>
      <c r="X5" s="25">
        <f t="shared" si="6"/>
        <v>442.30769230769232</v>
      </c>
      <c r="Y5" s="27" t="s">
        <v>173</v>
      </c>
      <c r="Z5" s="19" t="s">
        <v>35</v>
      </c>
      <c r="AA5" s="19" t="s">
        <v>35</v>
      </c>
      <c r="AB5" s="19" t="s">
        <v>174</v>
      </c>
      <c r="AC5" s="19">
        <v>0</v>
      </c>
      <c r="AD5" s="19">
        <v>1</v>
      </c>
      <c r="AE5" s="19" t="s">
        <v>37</v>
      </c>
      <c r="AF5" s="19" t="s">
        <v>43</v>
      </c>
      <c r="AG5" s="19" t="s">
        <v>38</v>
      </c>
      <c r="AH5" s="19" t="s">
        <v>92</v>
      </c>
    </row>
    <row r="6" spans="1:34" x14ac:dyDescent="0.3">
      <c r="A6" s="75" t="s">
        <v>174</v>
      </c>
      <c r="B6" s="19" t="s">
        <v>171</v>
      </c>
      <c r="C6" s="19" t="s">
        <v>172</v>
      </c>
      <c r="D6" s="20">
        <v>45175</v>
      </c>
      <c r="E6" s="21">
        <v>220100</v>
      </c>
      <c r="F6" s="19" t="s">
        <v>32</v>
      </c>
      <c r="G6" s="19" t="s">
        <v>33</v>
      </c>
      <c r="H6" s="21">
        <v>220100</v>
      </c>
      <c r="I6" s="21">
        <v>92200</v>
      </c>
      <c r="J6" s="22">
        <f t="shared" si="0"/>
        <v>41.890049977283056</v>
      </c>
      <c r="K6" s="21">
        <v>198649</v>
      </c>
      <c r="L6" s="21">
        <f>H6-187744</f>
        <v>32356</v>
      </c>
      <c r="M6" s="21">
        <v>10905</v>
      </c>
      <c r="N6" s="67">
        <f t="shared" si="1"/>
        <v>4.9545661063153112E-2</v>
      </c>
      <c r="O6" s="23">
        <v>83.88</v>
      </c>
      <c r="P6" s="24">
        <v>130.19</v>
      </c>
      <c r="Q6" s="25">
        <v>0.23699999999999999</v>
      </c>
      <c r="R6" s="25">
        <v>0.23699999999999999</v>
      </c>
      <c r="S6" s="21">
        <f t="shared" si="2"/>
        <v>385.74153552694327</v>
      </c>
      <c r="T6" s="21">
        <f t="shared" si="3"/>
        <v>136523.20675105485</v>
      </c>
      <c r="U6" s="26">
        <f t="shared" si="4"/>
        <v>3.1341415691243077</v>
      </c>
      <c r="V6" s="25">
        <v>82.8</v>
      </c>
      <c r="W6" s="25">
        <f t="shared" si="5"/>
        <v>44020</v>
      </c>
      <c r="X6" s="25">
        <f t="shared" si="6"/>
        <v>531.64251207729467</v>
      </c>
      <c r="Y6" s="27" t="s">
        <v>173</v>
      </c>
      <c r="Z6" s="19" t="s">
        <v>35</v>
      </c>
      <c r="AA6" s="19" t="s">
        <v>35</v>
      </c>
      <c r="AB6" s="19" t="s">
        <v>174</v>
      </c>
      <c r="AC6" s="19">
        <v>0</v>
      </c>
      <c r="AD6" s="19">
        <v>1</v>
      </c>
      <c r="AE6" s="19" t="s">
        <v>175</v>
      </c>
      <c r="AF6" s="19" t="s">
        <v>43</v>
      </c>
      <c r="AG6" s="19" t="s">
        <v>38</v>
      </c>
      <c r="AH6" s="19" t="s">
        <v>92</v>
      </c>
    </row>
    <row r="7" spans="1:34" x14ac:dyDescent="0.3">
      <c r="A7" s="74" t="s">
        <v>174</v>
      </c>
      <c r="B7" s="10" t="s">
        <v>180</v>
      </c>
      <c r="C7" s="10" t="s">
        <v>181</v>
      </c>
      <c r="D7" s="11">
        <v>45414</v>
      </c>
      <c r="E7" s="12">
        <v>287000</v>
      </c>
      <c r="F7" s="10" t="s">
        <v>32</v>
      </c>
      <c r="G7" s="10" t="s">
        <v>33</v>
      </c>
      <c r="H7" s="12">
        <v>287000</v>
      </c>
      <c r="I7" s="12">
        <v>98800</v>
      </c>
      <c r="J7" s="13">
        <f t="shared" si="0"/>
        <v>34.425087108013933</v>
      </c>
      <c r="K7" s="12">
        <v>198800</v>
      </c>
      <c r="L7" s="12">
        <f>H7-188400</f>
        <v>98600</v>
      </c>
      <c r="M7" s="12">
        <v>10400</v>
      </c>
      <c r="N7" s="66">
        <f t="shared" si="1"/>
        <v>3.6236933797909411E-2</v>
      </c>
      <c r="O7" s="14">
        <v>80</v>
      </c>
      <c r="P7" s="15">
        <v>120</v>
      </c>
      <c r="Q7" s="16">
        <v>0.22</v>
      </c>
      <c r="R7" s="16">
        <v>0.22</v>
      </c>
      <c r="S7" s="12">
        <f t="shared" si="2"/>
        <v>1232.5</v>
      </c>
      <c r="T7" s="12">
        <f t="shared" si="3"/>
        <v>448181.81818181818</v>
      </c>
      <c r="U7" s="17">
        <f t="shared" si="4"/>
        <v>10.288838801235496</v>
      </c>
      <c r="V7" s="16">
        <v>80</v>
      </c>
      <c r="W7" s="16">
        <f t="shared" si="5"/>
        <v>57400</v>
      </c>
      <c r="X7" s="16">
        <f t="shared" si="6"/>
        <v>717.5</v>
      </c>
      <c r="Y7" s="18" t="s">
        <v>173</v>
      </c>
      <c r="Z7" s="10" t="s">
        <v>35</v>
      </c>
      <c r="AA7" s="10" t="s">
        <v>35</v>
      </c>
      <c r="AB7" s="10" t="s">
        <v>174</v>
      </c>
      <c r="AC7" s="10">
        <v>0</v>
      </c>
      <c r="AD7" s="10">
        <v>1</v>
      </c>
      <c r="AE7" s="10" t="s">
        <v>37</v>
      </c>
      <c r="AF7" s="10" t="s">
        <v>43</v>
      </c>
      <c r="AG7" s="10" t="s">
        <v>38</v>
      </c>
      <c r="AH7" s="10" t="s">
        <v>92</v>
      </c>
    </row>
    <row r="8" spans="1:34" ht="15" thickBot="1" x14ac:dyDescent="0.35">
      <c r="A8" s="75" t="s">
        <v>174</v>
      </c>
      <c r="B8" s="19" t="s">
        <v>176</v>
      </c>
      <c r="C8" s="19" t="s">
        <v>177</v>
      </c>
      <c r="D8" s="20">
        <v>45716</v>
      </c>
      <c r="E8" s="21">
        <v>241000</v>
      </c>
      <c r="F8" s="19" t="s">
        <v>32</v>
      </c>
      <c r="G8" s="19" t="s">
        <v>33</v>
      </c>
      <c r="H8" s="21">
        <v>241000</v>
      </c>
      <c r="I8" s="21">
        <v>77900</v>
      </c>
      <c r="J8" s="22">
        <f t="shared" si="0"/>
        <v>32.323651452282157</v>
      </c>
      <c r="K8" s="21">
        <v>152183</v>
      </c>
      <c r="L8" s="21">
        <f>H8-146983</f>
        <v>94017</v>
      </c>
      <c r="M8" s="21">
        <v>5200</v>
      </c>
      <c r="N8" s="67">
        <f t="shared" si="1"/>
        <v>2.1576763485477178E-2</v>
      </c>
      <c r="O8" s="23">
        <v>40</v>
      </c>
      <c r="P8" s="24">
        <v>120</v>
      </c>
      <c r="Q8" s="25">
        <v>0.11</v>
      </c>
      <c r="R8" s="25">
        <v>0.11</v>
      </c>
      <c r="S8" s="21">
        <f t="shared" si="2"/>
        <v>2350.4250000000002</v>
      </c>
      <c r="T8" s="21">
        <f t="shared" si="3"/>
        <v>854700</v>
      </c>
      <c r="U8" s="26">
        <f t="shared" si="4"/>
        <v>19.621212121212121</v>
      </c>
      <c r="V8" s="25">
        <v>40</v>
      </c>
      <c r="W8" s="25">
        <f t="shared" si="5"/>
        <v>48200</v>
      </c>
      <c r="X8" s="25">
        <f t="shared" si="6"/>
        <v>1205</v>
      </c>
      <c r="Y8" s="27" t="s">
        <v>173</v>
      </c>
      <c r="Z8" s="19" t="s">
        <v>35</v>
      </c>
      <c r="AA8" s="19" t="s">
        <v>35</v>
      </c>
      <c r="AB8" s="19" t="s">
        <v>174</v>
      </c>
      <c r="AC8" s="19">
        <v>0</v>
      </c>
      <c r="AD8" s="19">
        <v>1</v>
      </c>
      <c r="AE8" s="19" t="s">
        <v>37</v>
      </c>
      <c r="AF8" s="19" t="s">
        <v>35</v>
      </c>
      <c r="AG8" s="19" t="s">
        <v>38</v>
      </c>
      <c r="AH8" s="19" t="s">
        <v>92</v>
      </c>
    </row>
    <row r="9" spans="1:34" ht="15" thickTop="1" x14ac:dyDescent="0.3">
      <c r="A9" s="76"/>
      <c r="B9" s="37"/>
      <c r="C9" s="37"/>
      <c r="D9" s="38" t="s">
        <v>2876</v>
      </c>
      <c r="E9" s="39">
        <f>+SUM(E2:E8)</f>
        <v>1660600</v>
      </c>
      <c r="F9" s="37"/>
      <c r="G9" s="37"/>
      <c r="H9" s="39">
        <f>+SUM(H2:H8)</f>
        <v>1660600</v>
      </c>
      <c r="I9" s="39">
        <f>+SUM(I2:I8)</f>
        <v>732000</v>
      </c>
      <c r="J9" s="40"/>
      <c r="K9" s="39">
        <f>+SUM(K2:K8)</f>
        <v>1526228</v>
      </c>
      <c r="L9" s="39">
        <f>+SUM(L2:L8)</f>
        <v>198451</v>
      </c>
      <c r="M9" s="39">
        <f>+SUM(M2:M8)</f>
        <v>64079</v>
      </c>
      <c r="N9" s="81">
        <f>AVERAGE(N2:N8)</f>
        <v>4.0511707565832722E-2</v>
      </c>
      <c r="O9" s="41">
        <f>+SUM(O2:O8)</f>
        <v>492.9</v>
      </c>
      <c r="P9" s="42"/>
      <c r="Q9" s="43">
        <f>+SUM(Q2:Q8)</f>
        <v>1.4570000000000001</v>
      </c>
      <c r="R9" s="43">
        <f>+SUM(R2:R8)</f>
        <v>1.4550000000000001</v>
      </c>
      <c r="S9" s="39"/>
      <c r="T9" s="39"/>
      <c r="U9" s="44"/>
      <c r="V9" s="43"/>
      <c r="W9" s="82">
        <f>AVERAGE(W2:W8)</f>
        <v>47445.714285714283</v>
      </c>
      <c r="X9" s="83">
        <f>AVERAGE(X2:X8)</f>
        <v>800.4112536876512</v>
      </c>
      <c r="Y9" s="45"/>
      <c r="Z9" s="37"/>
      <c r="AA9" s="37"/>
      <c r="AB9" s="37"/>
      <c r="AC9" s="37"/>
      <c r="AD9" s="37"/>
      <c r="AE9" s="37"/>
      <c r="AF9" s="37"/>
      <c r="AG9" s="37"/>
      <c r="AH9" s="37"/>
    </row>
    <row r="10" spans="1:34" x14ac:dyDescent="0.3">
      <c r="A10" s="77"/>
      <c r="B10" s="28"/>
      <c r="C10" s="28"/>
      <c r="D10" s="29"/>
      <c r="E10" s="30"/>
      <c r="F10" s="28"/>
      <c r="G10" s="28"/>
      <c r="H10" s="30"/>
      <c r="I10" s="30" t="s">
        <v>2877</v>
      </c>
      <c r="J10" s="31">
        <f>I9/H9*100</f>
        <v>44.080452848368061</v>
      </c>
      <c r="K10" s="30"/>
      <c r="L10" s="30"/>
      <c r="M10" s="30" t="s">
        <v>2879</v>
      </c>
      <c r="N10" s="79"/>
      <c r="O10" s="32"/>
      <c r="P10" s="33"/>
      <c r="Q10" s="34" t="s">
        <v>2879</v>
      </c>
      <c r="R10" s="34"/>
      <c r="S10" s="30"/>
      <c r="T10" s="30" t="s">
        <v>2879</v>
      </c>
      <c r="U10" s="35"/>
      <c r="V10" s="34"/>
      <c r="W10" s="63"/>
      <c r="X10" s="68"/>
      <c r="Y10" s="36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3">
      <c r="A11" s="78"/>
      <c r="B11" s="46"/>
      <c r="C11" s="46"/>
      <c r="D11" s="47"/>
      <c r="E11" s="48"/>
      <c r="F11" s="46"/>
      <c r="G11" s="46"/>
      <c r="H11" s="48"/>
      <c r="I11" s="48" t="s">
        <v>2878</v>
      </c>
      <c r="J11" s="49">
        <f>STDEV(J2:J8)</f>
        <v>8.3285017525555851</v>
      </c>
      <c r="K11" s="48"/>
      <c r="L11" s="48"/>
      <c r="M11" s="48" t="s">
        <v>2880</v>
      </c>
      <c r="N11" s="80"/>
      <c r="O11" s="54">
        <f>L9/O9</f>
        <v>402.61919253398258</v>
      </c>
      <c r="P11" s="50"/>
      <c r="Q11" s="51" t="s">
        <v>2881</v>
      </c>
      <c r="R11" s="51">
        <f>L9/Q9</f>
        <v>136205.21619766642</v>
      </c>
      <c r="S11" s="48"/>
      <c r="T11" s="48" t="s">
        <v>2882</v>
      </c>
      <c r="U11" s="52">
        <f>L9/Q9/43560</f>
        <v>3.1268415105065754</v>
      </c>
      <c r="V11" s="51"/>
      <c r="W11" s="64"/>
      <c r="X11" s="69"/>
      <c r="Y11" s="53"/>
      <c r="Z11" s="46"/>
      <c r="AA11" s="46"/>
      <c r="AB11" s="46"/>
      <c r="AC11" s="46"/>
      <c r="AD11" s="46"/>
      <c r="AE11" s="46"/>
      <c r="AF11" s="46"/>
      <c r="AG11" s="46"/>
      <c r="AH11" s="46"/>
    </row>
    <row r="12" spans="1:34" x14ac:dyDescent="0.3">
      <c r="E12" s="94" t="s">
        <v>3099</v>
      </c>
      <c r="L12" s="95"/>
    </row>
    <row r="13" spans="1:34" x14ac:dyDescent="0.3">
      <c r="E13" s="383" t="s">
        <v>3163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3164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3165</v>
      </c>
      <c r="F15" s="383"/>
      <c r="G15" s="383"/>
      <c r="H15" s="383"/>
      <c r="I15" s="383"/>
      <c r="J15" s="383"/>
      <c r="K15" s="383"/>
      <c r="L15" s="383"/>
    </row>
    <row r="16" spans="1:34" x14ac:dyDescent="0.3">
      <c r="E16" s="383" t="s">
        <v>3166</v>
      </c>
      <c r="F16" s="383"/>
      <c r="G16" s="383"/>
      <c r="H16" s="383"/>
      <c r="I16" s="383"/>
      <c r="J16" s="96"/>
      <c r="K16" s="96"/>
      <c r="L16" s="96"/>
    </row>
    <row r="17" spans="5:12" x14ac:dyDescent="0.3">
      <c r="E17" s="383" t="s">
        <v>3167</v>
      </c>
      <c r="F17" s="383"/>
      <c r="G17" s="383"/>
      <c r="H17" s="383"/>
      <c r="I17" s="383"/>
      <c r="L17" s="95"/>
    </row>
    <row r="18" spans="5:12" x14ac:dyDescent="0.3">
      <c r="E18" s="383" t="s">
        <v>3100</v>
      </c>
      <c r="F18" s="383"/>
      <c r="G18" s="383"/>
      <c r="H18" s="383"/>
      <c r="I18" s="383"/>
      <c r="L18" s="95"/>
    </row>
    <row r="19" spans="5:12" x14ac:dyDescent="0.3">
      <c r="E19" s="96"/>
      <c r="F19" s="96"/>
      <c r="G19" s="96"/>
      <c r="H19" s="96"/>
      <c r="I19" s="96"/>
      <c r="L19" s="95"/>
    </row>
    <row r="20" spans="5:12" x14ac:dyDescent="0.3">
      <c r="E20" s="96"/>
      <c r="F20" s="96"/>
      <c r="G20" s="96"/>
      <c r="H20" s="96"/>
      <c r="I20" s="96"/>
      <c r="L20" s="95"/>
    </row>
  </sheetData>
  <sortState xmlns:xlrd2="http://schemas.microsoft.com/office/spreadsheetml/2017/richdata2" ref="A2:AH8">
    <sortCondition ref="S2:S8"/>
  </sortState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5">
    <tabColor rgb="FF00B050"/>
  </sheetPr>
  <dimension ref="A1:AH1331"/>
  <sheetViews>
    <sheetView workbookViewId="0">
      <selection activeCell="C7" sqref="C7:J13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1:24" x14ac:dyDescent="0.3">
      <c r="A1" t="s">
        <v>3072</v>
      </c>
      <c r="N1"/>
      <c r="W1"/>
      <c r="X1"/>
    </row>
    <row r="2" spans="1:24" x14ac:dyDescent="0.3">
      <c r="A2"/>
      <c r="N2"/>
      <c r="W2"/>
      <c r="X2"/>
    </row>
    <row r="3" spans="1:24" x14ac:dyDescent="0.3">
      <c r="A3"/>
      <c r="N3"/>
      <c r="W3"/>
      <c r="X3"/>
    </row>
    <row r="4" spans="1:24" x14ac:dyDescent="0.3">
      <c r="A4"/>
      <c r="N4"/>
      <c r="W4"/>
      <c r="X4"/>
    </row>
    <row r="5" spans="1:24" x14ac:dyDescent="0.3">
      <c r="A5"/>
      <c r="N5"/>
      <c r="W5"/>
      <c r="X5"/>
    </row>
    <row r="6" spans="1:24" x14ac:dyDescent="0.3">
      <c r="A6"/>
      <c r="N6"/>
      <c r="W6"/>
      <c r="X6"/>
    </row>
    <row r="7" spans="1:24" x14ac:dyDescent="0.3">
      <c r="A7"/>
      <c r="C7" s="94" t="s">
        <v>3099</v>
      </c>
      <c r="J7" s="95"/>
      <c r="N7"/>
      <c r="W7"/>
      <c r="X7"/>
    </row>
    <row r="8" spans="1:24" x14ac:dyDescent="0.3">
      <c r="A8"/>
      <c r="C8" s="383" t="s">
        <v>3163</v>
      </c>
      <c r="D8" s="383"/>
      <c r="E8" s="383"/>
      <c r="F8" s="383"/>
      <c r="G8" s="383"/>
      <c r="H8" s="383"/>
      <c r="I8" s="383"/>
      <c r="J8" s="383"/>
      <c r="N8"/>
      <c r="W8"/>
      <c r="X8"/>
    </row>
    <row r="9" spans="1:24" x14ac:dyDescent="0.3">
      <c r="A9"/>
      <c r="C9" s="383" t="s">
        <v>3164</v>
      </c>
      <c r="D9" s="383"/>
      <c r="E9" s="383"/>
      <c r="F9" s="383"/>
      <c r="G9" s="383"/>
      <c r="H9" s="383"/>
      <c r="I9" s="383"/>
      <c r="J9" s="383"/>
      <c r="N9"/>
      <c r="W9"/>
      <c r="X9"/>
    </row>
    <row r="10" spans="1:24" x14ac:dyDescent="0.3">
      <c r="A10"/>
      <c r="C10" s="383" t="s">
        <v>3165</v>
      </c>
      <c r="D10" s="383"/>
      <c r="E10" s="383"/>
      <c r="F10" s="383"/>
      <c r="G10" s="383"/>
      <c r="H10" s="383"/>
      <c r="I10" s="383"/>
      <c r="J10" s="383"/>
      <c r="N10"/>
      <c r="W10"/>
      <c r="X10"/>
    </row>
    <row r="11" spans="1:24" x14ac:dyDescent="0.3">
      <c r="A11"/>
      <c r="C11" s="383" t="s">
        <v>3166</v>
      </c>
      <c r="D11" s="383"/>
      <c r="E11" s="383"/>
      <c r="F11" s="383"/>
      <c r="G11" s="383"/>
      <c r="H11" s="96"/>
      <c r="I11" s="96"/>
      <c r="J11" s="96"/>
      <c r="N11"/>
      <c r="W11"/>
      <c r="X11"/>
    </row>
    <row r="12" spans="1:24" x14ac:dyDescent="0.3">
      <c r="A12"/>
      <c r="C12" s="383" t="s">
        <v>3167</v>
      </c>
      <c r="D12" s="383"/>
      <c r="E12" s="383"/>
      <c r="F12" s="383"/>
      <c r="G12" s="383"/>
      <c r="J12" s="95"/>
      <c r="N12"/>
      <c r="W12"/>
      <c r="X12"/>
    </row>
    <row r="13" spans="1:24" x14ac:dyDescent="0.3">
      <c r="A13"/>
      <c r="C13" s="383" t="s">
        <v>3100</v>
      </c>
      <c r="D13" s="383"/>
      <c r="E13" s="383"/>
      <c r="F13" s="383"/>
      <c r="G13" s="383"/>
      <c r="J13" s="95"/>
      <c r="N13"/>
      <c r="W13"/>
      <c r="X13"/>
    </row>
    <row r="14" spans="1:24" x14ac:dyDescent="0.3">
      <c r="A14"/>
      <c r="N14"/>
      <c r="W14"/>
      <c r="X14"/>
    </row>
    <row r="15" spans="1:24" x14ac:dyDescent="0.3">
      <c r="A15"/>
      <c r="N15"/>
      <c r="W15"/>
      <c r="X15"/>
    </row>
    <row r="16" spans="1:24" x14ac:dyDescent="0.3">
      <c r="A16"/>
      <c r="N16"/>
      <c r="W16"/>
      <c r="X16"/>
    </row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</sheetData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6">
    <tabColor rgb="FF00B050"/>
  </sheetPr>
  <dimension ref="A1:AH17"/>
  <sheetViews>
    <sheetView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8.1093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958</v>
      </c>
      <c r="B2" s="19" t="s">
        <v>961</v>
      </c>
      <c r="C2" s="19" t="s">
        <v>962</v>
      </c>
      <c r="D2" s="20">
        <v>45121</v>
      </c>
      <c r="E2" s="21">
        <v>108000</v>
      </c>
      <c r="F2" s="19" t="s">
        <v>32</v>
      </c>
      <c r="G2" s="19" t="s">
        <v>33</v>
      </c>
      <c r="H2" s="21">
        <v>108000</v>
      </c>
      <c r="I2" s="21">
        <v>46400</v>
      </c>
      <c r="J2" s="22">
        <f>I2/H2*100</f>
        <v>42.962962962962962</v>
      </c>
      <c r="K2" s="21">
        <v>106105</v>
      </c>
      <c r="L2" s="21">
        <f>H2-97072</f>
        <v>10928</v>
      </c>
      <c r="M2" s="21">
        <v>9033</v>
      </c>
      <c r="N2" s="67">
        <f>M2/E2</f>
        <v>8.3638888888888888E-2</v>
      </c>
      <c r="O2" s="23">
        <v>52.82</v>
      </c>
      <c r="P2" s="24">
        <v>100</v>
      </c>
      <c r="Q2" s="25">
        <v>0.13800000000000001</v>
      </c>
      <c r="R2" s="25">
        <v>0.13800000000000001</v>
      </c>
      <c r="S2" s="21">
        <f>L2/O2</f>
        <v>206.89132904202953</v>
      </c>
      <c r="T2" s="21">
        <f>L2/Q2</f>
        <v>79188.405797101441</v>
      </c>
      <c r="U2" s="26">
        <f>L2/Q2/43560</f>
        <v>1.8179156519077466</v>
      </c>
      <c r="V2" s="25">
        <v>60</v>
      </c>
      <c r="W2" s="25">
        <f>0.2*E2</f>
        <v>21600</v>
      </c>
      <c r="X2" s="25">
        <f>W2/V2</f>
        <v>360</v>
      </c>
      <c r="Y2" s="27" t="s">
        <v>957</v>
      </c>
      <c r="Z2" s="19" t="s">
        <v>35</v>
      </c>
      <c r="AA2" s="19" t="s">
        <v>35</v>
      </c>
      <c r="AB2" s="19" t="s">
        <v>958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38</v>
      </c>
      <c r="AH2" s="19" t="s">
        <v>92</v>
      </c>
    </row>
    <row r="3" spans="1:34" ht="15" thickBot="1" x14ac:dyDescent="0.35">
      <c r="A3" s="74" t="s">
        <v>958</v>
      </c>
      <c r="B3" s="10" t="s">
        <v>955</v>
      </c>
      <c r="C3" s="10" t="s">
        <v>956</v>
      </c>
      <c r="D3" s="11">
        <v>45469</v>
      </c>
      <c r="E3" s="12">
        <v>170000</v>
      </c>
      <c r="F3" s="10" t="s">
        <v>32</v>
      </c>
      <c r="G3" s="10" t="s">
        <v>33</v>
      </c>
      <c r="H3" s="12">
        <v>170000</v>
      </c>
      <c r="I3" s="12">
        <v>77500</v>
      </c>
      <c r="J3" s="13">
        <f>I3/H3*100</f>
        <v>45.588235294117645</v>
      </c>
      <c r="K3" s="12">
        <v>160176</v>
      </c>
      <c r="L3" s="12">
        <f>H3-153336</f>
        <v>16664</v>
      </c>
      <c r="M3" s="12">
        <v>6840</v>
      </c>
      <c r="N3" s="66">
        <f>M3/E3</f>
        <v>4.0235294117647057E-2</v>
      </c>
      <c r="O3" s="14">
        <v>40</v>
      </c>
      <c r="P3" s="15">
        <v>129</v>
      </c>
      <c r="Q3" s="16">
        <v>0.11799999999999999</v>
      </c>
      <c r="R3" s="16">
        <v>0.11799999999999999</v>
      </c>
      <c r="S3" s="12">
        <f>L3/O3</f>
        <v>416.6</v>
      </c>
      <c r="T3" s="12">
        <f>L3/Q3</f>
        <v>141220.33898305087</v>
      </c>
      <c r="U3" s="17">
        <f>L3/Q3/43560</f>
        <v>3.2419728875815168</v>
      </c>
      <c r="V3" s="16">
        <v>40</v>
      </c>
      <c r="W3" s="16">
        <f>0.2*E3</f>
        <v>34000</v>
      </c>
      <c r="X3" s="16">
        <f>W3/V3</f>
        <v>850</v>
      </c>
      <c r="Y3" s="18" t="s">
        <v>957</v>
      </c>
      <c r="Z3" s="10" t="s">
        <v>35</v>
      </c>
      <c r="AA3" s="10" t="s">
        <v>35</v>
      </c>
      <c r="AB3" s="10" t="s">
        <v>958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+SUM(E3:E3)</f>
        <v>170000</v>
      </c>
      <c r="F4" s="37"/>
      <c r="G4" s="37"/>
      <c r="H4" s="39">
        <f>+SUM(H3:H3)</f>
        <v>170000</v>
      </c>
      <c r="I4" s="39">
        <f>+SUM(I3:I3)</f>
        <v>77500</v>
      </c>
      <c r="J4" s="40"/>
      <c r="K4" s="39">
        <f>+SUM(K3:K3)</f>
        <v>160176</v>
      </c>
      <c r="L4" s="39">
        <f>+SUM(L3:L3)</f>
        <v>16664</v>
      </c>
      <c r="M4" s="39">
        <f>+SUM(M3:M3)</f>
        <v>6840</v>
      </c>
      <c r="N4" s="81">
        <f>AVERAGE(N3:N3)</f>
        <v>4.0235294117647057E-2</v>
      </c>
      <c r="O4" s="41">
        <f>+SUM(O3:O3)</f>
        <v>40</v>
      </c>
      <c r="P4" s="42"/>
      <c r="Q4" s="43">
        <f>+SUM(Q3:Q3)</f>
        <v>0.11799999999999999</v>
      </c>
      <c r="R4" s="43">
        <f>+SUM(R3:R3)</f>
        <v>0.11799999999999999</v>
      </c>
      <c r="S4" s="39"/>
      <c r="T4" s="39"/>
      <c r="U4" s="44"/>
      <c r="V4" s="43"/>
      <c r="W4" s="82">
        <f>AVERAGE(W3:W3)</f>
        <v>34000</v>
      </c>
      <c r="X4" s="83">
        <f>AVERAGE(X3:X3)</f>
        <v>850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45.588235294117645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 t="e">
        <f>STDEV(J3:J3)</f>
        <v>#DIV/0!</v>
      </c>
      <c r="K6" s="48"/>
      <c r="L6" s="48"/>
      <c r="M6" s="48" t="s">
        <v>2880</v>
      </c>
      <c r="N6" s="80"/>
      <c r="O6" s="54">
        <f>L4/O4</f>
        <v>416.6</v>
      </c>
      <c r="P6" s="50"/>
      <c r="Q6" s="51" t="s">
        <v>2881</v>
      </c>
      <c r="R6" s="51">
        <f>L4/Q4</f>
        <v>141220.33898305087</v>
      </c>
      <c r="S6" s="48"/>
      <c r="T6" s="48" t="s">
        <v>2882</v>
      </c>
      <c r="U6" s="52">
        <f>L4/Q4/43560</f>
        <v>3.2419728875815168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E15" s="96"/>
      <c r="F15" s="96"/>
      <c r="G15" s="96"/>
      <c r="H15" s="96"/>
      <c r="I15" s="96"/>
      <c r="L15" s="95"/>
    </row>
    <row r="16" spans="1:34" x14ac:dyDescent="0.3">
      <c r="A16" s="55" t="s">
        <v>3092</v>
      </c>
    </row>
    <row r="17" spans="1:34" x14ac:dyDescent="0.3">
      <c r="A17" s="74" t="s">
        <v>958</v>
      </c>
      <c r="B17" s="10" t="s">
        <v>959</v>
      </c>
      <c r="C17" s="10" t="s">
        <v>960</v>
      </c>
      <c r="D17" s="11">
        <v>45743</v>
      </c>
      <c r="E17" s="12">
        <v>194880</v>
      </c>
      <c r="F17" s="10" t="s">
        <v>32</v>
      </c>
      <c r="G17" s="10" t="s">
        <v>33</v>
      </c>
      <c r="H17" s="12">
        <v>194880</v>
      </c>
      <c r="I17" s="12">
        <v>62800</v>
      </c>
      <c r="J17" s="13">
        <f>I17/H17*100</f>
        <v>32.22495894909688</v>
      </c>
      <c r="K17" s="12">
        <v>131005</v>
      </c>
      <c r="L17" s="12">
        <f>H17-117325</f>
        <v>77555</v>
      </c>
      <c r="M17" s="12">
        <v>13680</v>
      </c>
      <c r="N17" s="66">
        <f>M17/E17</f>
        <v>7.0197044334975367E-2</v>
      </c>
      <c r="O17" s="14">
        <v>80</v>
      </c>
      <c r="P17" s="15">
        <v>129</v>
      </c>
      <c r="Q17" s="16">
        <v>0.23699999999999999</v>
      </c>
      <c r="R17" s="16">
        <v>0.23699999999999999</v>
      </c>
      <c r="S17" s="12">
        <f>L17/O17</f>
        <v>969.4375</v>
      </c>
      <c r="T17" s="12">
        <f>L17/Q17</f>
        <v>327236.28691983124</v>
      </c>
      <c r="U17" s="17">
        <f>L17/Q17/43560</f>
        <v>7.5123114536233064</v>
      </c>
      <c r="V17" s="16">
        <v>80</v>
      </c>
      <c r="W17" s="16">
        <f>0.2*E17</f>
        <v>38976</v>
      </c>
      <c r="X17" s="16">
        <f>W17/V17</f>
        <v>487.2</v>
      </c>
      <c r="Y17" s="18" t="s">
        <v>957</v>
      </c>
      <c r="Z17" s="10" t="s">
        <v>35</v>
      </c>
      <c r="AA17" s="10" t="s">
        <v>35</v>
      </c>
      <c r="AB17" s="10" t="s">
        <v>958</v>
      </c>
      <c r="AC17" s="10">
        <v>0</v>
      </c>
      <c r="AD17" s="10">
        <v>1</v>
      </c>
      <c r="AE17" s="10" t="s">
        <v>42</v>
      </c>
      <c r="AF17" s="10" t="s">
        <v>35</v>
      </c>
      <c r="AG17" s="10" t="s">
        <v>38</v>
      </c>
      <c r="AH17" s="10" t="s">
        <v>92</v>
      </c>
    </row>
  </sheetData>
  <sortState xmlns:xlrd2="http://schemas.microsoft.com/office/spreadsheetml/2017/richdata2" ref="A2:AH4">
    <sortCondition ref="S2:S4"/>
  </sortState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7">
    <tabColor rgb="FF00B050"/>
  </sheetPr>
  <dimension ref="A1:AH15"/>
  <sheetViews>
    <sheetView workbookViewId="0">
      <selection activeCell="E7" sqref="E7:L13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4.109375" bestFit="1" customWidth="1" collapsed="1"/>
    <col min="4" max="4" width="10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1402</v>
      </c>
      <c r="B2" s="19" t="s">
        <v>1403</v>
      </c>
      <c r="C2" s="19" t="s">
        <v>1404</v>
      </c>
      <c r="D2" s="20">
        <v>45615</v>
      </c>
      <c r="E2" s="21">
        <v>157000</v>
      </c>
      <c r="F2" s="19" t="s">
        <v>32</v>
      </c>
      <c r="G2" s="19" t="s">
        <v>33</v>
      </c>
      <c r="H2" s="21">
        <v>157000</v>
      </c>
      <c r="I2" s="21">
        <v>68100</v>
      </c>
      <c r="J2" s="22">
        <f>I2/H2*100</f>
        <v>43.375796178343947</v>
      </c>
      <c r="K2" s="21">
        <v>150301</v>
      </c>
      <c r="L2" s="21">
        <f>H2-143620</f>
        <v>13380</v>
      </c>
      <c r="M2" s="21">
        <v>6681</v>
      </c>
      <c r="N2" s="67">
        <f>M2/E2</f>
        <v>4.2554140127388534E-2</v>
      </c>
      <c r="O2" s="23">
        <v>50.23</v>
      </c>
      <c r="P2" s="24">
        <v>133.22</v>
      </c>
      <c r="Q2" s="25">
        <v>0.153</v>
      </c>
      <c r="R2" s="25">
        <v>0.153</v>
      </c>
      <c r="S2" s="21">
        <f>L2/O2</f>
        <v>266.37467648815448</v>
      </c>
      <c r="T2" s="21">
        <f>L2/Q2</f>
        <v>87450.980392156867</v>
      </c>
      <c r="U2" s="26">
        <f>L2/Q2/43560</f>
        <v>2.0075982642827563</v>
      </c>
      <c r="V2" s="25">
        <v>50</v>
      </c>
      <c r="W2" s="25">
        <f>0.2*E2</f>
        <v>31400</v>
      </c>
      <c r="X2" s="25">
        <f>W2/V2</f>
        <v>628</v>
      </c>
      <c r="Y2" s="27" t="s">
        <v>1401</v>
      </c>
      <c r="Z2" s="19" t="s">
        <v>35</v>
      </c>
      <c r="AA2" s="19" t="s">
        <v>35</v>
      </c>
      <c r="AB2" s="19" t="s">
        <v>1402</v>
      </c>
      <c r="AC2" s="19">
        <v>0</v>
      </c>
      <c r="AD2" s="19">
        <v>1</v>
      </c>
      <c r="AE2" s="19" t="s">
        <v>412</v>
      </c>
      <c r="AF2" s="19" t="s">
        <v>35</v>
      </c>
      <c r="AG2" s="19" t="s">
        <v>38</v>
      </c>
      <c r="AH2" s="19" t="s">
        <v>92</v>
      </c>
    </row>
    <row r="3" spans="1:34" ht="15" thickBot="1" x14ac:dyDescent="0.35">
      <c r="A3" s="74" t="s">
        <v>1402</v>
      </c>
      <c r="B3" s="10" t="s">
        <v>1399</v>
      </c>
      <c r="C3" s="10" t="s">
        <v>1400</v>
      </c>
      <c r="D3" s="11">
        <v>45177</v>
      </c>
      <c r="E3" s="12">
        <v>260000</v>
      </c>
      <c r="F3" s="10" t="s">
        <v>32</v>
      </c>
      <c r="G3" s="10" t="s">
        <v>33</v>
      </c>
      <c r="H3" s="12">
        <v>260000</v>
      </c>
      <c r="I3" s="12">
        <v>86900</v>
      </c>
      <c r="J3" s="13">
        <f>I3/H3*100</f>
        <v>33.42307692307692</v>
      </c>
      <c r="K3" s="12">
        <v>218074</v>
      </c>
      <c r="L3" s="12">
        <f>H3-211449</f>
        <v>48551</v>
      </c>
      <c r="M3" s="12">
        <v>6625</v>
      </c>
      <c r="N3" s="66">
        <f>M3/E3</f>
        <v>2.548076923076923E-2</v>
      </c>
      <c r="O3" s="14">
        <v>49.81</v>
      </c>
      <c r="P3" s="15">
        <v>131</v>
      </c>
      <c r="Q3" s="16">
        <v>0.15</v>
      </c>
      <c r="R3" s="16">
        <v>0.15</v>
      </c>
      <c r="S3" s="12">
        <f>L3/O3</f>
        <v>974.72395101385257</v>
      </c>
      <c r="T3" s="12">
        <f>L3/Q3</f>
        <v>323673.33333333337</v>
      </c>
      <c r="U3" s="17">
        <f>L3/Q3/43560</f>
        <v>7.4305172941536588</v>
      </c>
      <c r="V3" s="16">
        <v>50</v>
      </c>
      <c r="W3" s="16">
        <f>0.2*E3</f>
        <v>52000</v>
      </c>
      <c r="X3" s="16">
        <f>W3/V3</f>
        <v>1040</v>
      </c>
      <c r="Y3" s="18" t="s">
        <v>1401</v>
      </c>
      <c r="Z3" s="10" t="s">
        <v>35</v>
      </c>
      <c r="AA3" s="10" t="s">
        <v>35</v>
      </c>
      <c r="AB3" s="10" t="s">
        <v>1402</v>
      </c>
      <c r="AC3" s="10">
        <v>0</v>
      </c>
      <c r="AD3" s="10">
        <v>1</v>
      </c>
      <c r="AE3" s="10" t="s">
        <v>412</v>
      </c>
      <c r="AF3" s="10" t="s">
        <v>43</v>
      </c>
      <c r="AG3" s="10" t="s">
        <v>38</v>
      </c>
      <c r="AH3" s="10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417000</v>
      </c>
      <c r="F4" s="37"/>
      <c r="G4" s="37"/>
      <c r="H4" s="39">
        <f>+SUM(H2:H3)</f>
        <v>417000</v>
      </c>
      <c r="I4" s="39">
        <f>+SUM(I2:I3)</f>
        <v>155000</v>
      </c>
      <c r="J4" s="40"/>
      <c r="K4" s="39">
        <f>+SUM(K2:K3)</f>
        <v>368375</v>
      </c>
      <c r="L4" s="39">
        <f>+SUM(L2:L3)</f>
        <v>61931</v>
      </c>
      <c r="M4" s="39">
        <f>+SUM(M2:M3)</f>
        <v>13306</v>
      </c>
      <c r="N4" s="81">
        <f>AVERAGE(N2:N3)</f>
        <v>3.4017454679078879E-2</v>
      </c>
      <c r="O4" s="41">
        <f>+SUM(O2:O3)</f>
        <v>100.03999999999999</v>
      </c>
      <c r="P4" s="42"/>
      <c r="Q4" s="43">
        <f>+SUM(Q2:Q3)</f>
        <v>0.30299999999999999</v>
      </c>
      <c r="R4" s="43">
        <f>+SUM(R2:R3)</f>
        <v>0.30299999999999999</v>
      </c>
      <c r="S4" s="39"/>
      <c r="T4" s="39"/>
      <c r="U4" s="44"/>
      <c r="V4" s="43"/>
      <c r="W4" s="82">
        <f>AVERAGE(W2:W3)</f>
        <v>41700</v>
      </c>
      <c r="X4" s="83">
        <f>AVERAGE(X2:X3)</f>
        <v>834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37.170263788968825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7.0376352766452523</v>
      </c>
      <c r="K6" s="48"/>
      <c r="L6" s="48"/>
      <c r="M6" s="48" t="s">
        <v>2880</v>
      </c>
      <c r="N6" s="80"/>
      <c r="O6" s="54">
        <f>L4/O4</f>
        <v>619.06237504998001</v>
      </c>
      <c r="P6" s="50"/>
      <c r="Q6" s="51" t="s">
        <v>2881</v>
      </c>
      <c r="R6" s="51">
        <f>L4/Q4</f>
        <v>204392.73927392741</v>
      </c>
      <c r="S6" s="48"/>
      <c r="T6" s="48" t="s">
        <v>2882</v>
      </c>
      <c r="U6" s="52">
        <f>L4/Q4/43560</f>
        <v>4.6922116454069656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E15" s="96"/>
      <c r="F15" s="96"/>
      <c r="G15" s="96"/>
      <c r="H15" s="96"/>
      <c r="I15" s="96"/>
      <c r="L15" s="95"/>
    </row>
  </sheetData>
  <sortState xmlns:xlrd2="http://schemas.microsoft.com/office/spreadsheetml/2017/richdata2" ref="A2:AH3">
    <sortCondition ref="S2:S3"/>
  </sortState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8">
    <tabColor rgb="FFFF0000"/>
  </sheetPr>
  <dimension ref="A1:AH14"/>
  <sheetViews>
    <sheetView workbookViewId="0">
      <selection activeCell="E6" sqref="E6:L12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5.88671875" bestFit="1" customWidth="1" collapsed="1"/>
    <col min="4" max="4" width="9.8867187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4.44140625" bestFit="1" customWidth="1" collapsed="1"/>
    <col min="32" max="32" width="9.441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ht="15" thickBot="1" x14ac:dyDescent="0.35">
      <c r="A2" s="74" t="s">
        <v>2590</v>
      </c>
      <c r="B2" s="10" t="s">
        <v>2587</v>
      </c>
      <c r="C2" s="10" t="s">
        <v>2588</v>
      </c>
      <c r="D2" s="11">
        <v>45562</v>
      </c>
      <c r="E2" s="12">
        <v>169900</v>
      </c>
      <c r="F2" s="10" t="s">
        <v>32</v>
      </c>
      <c r="G2" s="10" t="s">
        <v>33</v>
      </c>
      <c r="H2" s="12">
        <v>169900</v>
      </c>
      <c r="I2" s="12">
        <v>86000</v>
      </c>
      <c r="J2" s="13">
        <f>I2/H2*100</f>
        <v>50.618010594467336</v>
      </c>
      <c r="K2" s="12">
        <v>185289</v>
      </c>
      <c r="L2" s="12">
        <f>H2-177695</f>
        <v>-7795</v>
      </c>
      <c r="M2" s="12">
        <v>7594</v>
      </c>
      <c r="N2" s="66">
        <f>M2/E2</f>
        <v>4.4696880517951738E-2</v>
      </c>
      <c r="O2" s="14">
        <v>51.66</v>
      </c>
      <c r="P2" s="15">
        <v>148.28</v>
      </c>
      <c r="Q2" s="16">
        <v>0.20399999999999999</v>
      </c>
      <c r="R2" s="16">
        <v>0.20399999999999999</v>
      </c>
      <c r="S2" s="12">
        <f>L2/O2</f>
        <v>-150.89043747580334</v>
      </c>
      <c r="T2" s="12">
        <f>L2/Q2</f>
        <v>-38210.784313725489</v>
      </c>
      <c r="U2" s="17">
        <f>L2/Q2/43560</f>
        <v>-0.87719890527377153</v>
      </c>
      <c r="V2" s="16">
        <v>60</v>
      </c>
      <c r="W2" s="16">
        <f>0.2*E2</f>
        <v>33980</v>
      </c>
      <c r="X2" s="16">
        <f>W2/V2</f>
        <v>566.33333333333337</v>
      </c>
      <c r="Y2" s="18" t="s">
        <v>2589</v>
      </c>
      <c r="Z2" s="10" t="s">
        <v>35</v>
      </c>
      <c r="AA2" s="10" t="s">
        <v>35</v>
      </c>
      <c r="AB2" s="10" t="s">
        <v>2590</v>
      </c>
      <c r="AC2" s="10">
        <v>0</v>
      </c>
      <c r="AD2" s="10">
        <v>1</v>
      </c>
      <c r="AE2" s="10" t="s">
        <v>42</v>
      </c>
      <c r="AF2" s="10" t="s">
        <v>35</v>
      </c>
      <c r="AG2" s="10" t="s">
        <v>38</v>
      </c>
      <c r="AH2" s="10" t="s">
        <v>92</v>
      </c>
    </row>
    <row r="3" spans="1:34" ht="15" thickTop="1" x14ac:dyDescent="0.3">
      <c r="A3" s="76"/>
      <c r="B3" s="37"/>
      <c r="C3" s="37"/>
      <c r="D3" s="38" t="s">
        <v>2876</v>
      </c>
      <c r="E3" s="39">
        <f>+SUM(E2:E2)</f>
        <v>169900</v>
      </c>
      <c r="F3" s="37"/>
      <c r="G3" s="37"/>
      <c r="H3" s="39">
        <f>+SUM(H2:H2)</f>
        <v>169900</v>
      </c>
      <c r="I3" s="39">
        <f>+SUM(I2:I2)</f>
        <v>86000</v>
      </c>
      <c r="J3" s="40"/>
      <c r="K3" s="39">
        <f>+SUM(K2:K2)</f>
        <v>185289</v>
      </c>
      <c r="L3" s="39">
        <f>+SUM(L2:L2)</f>
        <v>-7795</v>
      </c>
      <c r="M3" s="39">
        <f>+SUM(M2:M2)</f>
        <v>7594</v>
      </c>
      <c r="N3" s="81">
        <f>AVERAGE(N2:N2)</f>
        <v>4.4696880517951738E-2</v>
      </c>
      <c r="O3" s="41">
        <f>+SUM(O2:O2)</f>
        <v>51.66</v>
      </c>
      <c r="P3" s="42"/>
      <c r="Q3" s="43">
        <f>+SUM(Q2:Q2)</f>
        <v>0.20399999999999999</v>
      </c>
      <c r="R3" s="43">
        <f>+SUM(R2:R2)</f>
        <v>0.20399999999999999</v>
      </c>
      <c r="S3" s="39"/>
      <c r="T3" s="39"/>
      <c r="U3" s="44"/>
      <c r="V3" s="43"/>
      <c r="W3" s="82">
        <f>AVERAGE(W2:W2)</f>
        <v>33980</v>
      </c>
      <c r="X3" s="83">
        <f>AVERAGE(X2:X2)</f>
        <v>566.33333333333337</v>
      </c>
      <c r="Y3" s="45"/>
      <c r="Z3" s="37"/>
      <c r="AA3" s="37"/>
      <c r="AB3" s="37"/>
      <c r="AC3" s="37"/>
      <c r="AD3" s="37"/>
      <c r="AE3" s="37"/>
      <c r="AF3" s="37"/>
      <c r="AG3" s="37"/>
      <c r="AH3" s="37"/>
    </row>
    <row r="4" spans="1:34" x14ac:dyDescent="0.3">
      <c r="A4" s="77"/>
      <c r="B4" s="28"/>
      <c r="C4" s="28"/>
      <c r="D4" s="29"/>
      <c r="E4" s="30"/>
      <c r="F4" s="28"/>
      <c r="G4" s="28"/>
      <c r="H4" s="30"/>
      <c r="I4" s="30" t="s">
        <v>2877</v>
      </c>
      <c r="J4" s="31">
        <f>I3/H3*100</f>
        <v>50.618010594467336</v>
      </c>
      <c r="K4" s="30"/>
      <c r="L4" s="30"/>
      <c r="M4" s="30" t="s">
        <v>2879</v>
      </c>
      <c r="N4" s="79"/>
      <c r="O4" s="32"/>
      <c r="P4" s="33"/>
      <c r="Q4" s="34" t="s">
        <v>2879</v>
      </c>
      <c r="R4" s="34"/>
      <c r="S4" s="30"/>
      <c r="T4" s="30" t="s">
        <v>2879</v>
      </c>
      <c r="U4" s="35"/>
      <c r="V4" s="34"/>
      <c r="W4" s="63"/>
      <c r="X4" s="68"/>
      <c r="Y4" s="36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3">
      <c r="A5" s="78"/>
      <c r="B5" s="46"/>
      <c r="C5" s="46"/>
      <c r="D5" s="47"/>
      <c r="E5" s="48"/>
      <c r="F5" s="46"/>
      <c r="G5" s="46"/>
      <c r="H5" s="48"/>
      <c r="I5" s="48" t="s">
        <v>2878</v>
      </c>
      <c r="J5" s="49" t="e">
        <f>STDEV(J2:J2)</f>
        <v>#DIV/0!</v>
      </c>
      <c r="K5" s="48"/>
      <c r="L5" s="48"/>
      <c r="M5" s="48" t="s">
        <v>2880</v>
      </c>
      <c r="N5" s="80"/>
      <c r="O5" s="54">
        <f>L3/O3</f>
        <v>-150.89043747580334</v>
      </c>
      <c r="P5" s="50"/>
      <c r="Q5" s="51" t="s">
        <v>2881</v>
      </c>
      <c r="R5" s="51">
        <f>L3/Q3</f>
        <v>-38210.784313725489</v>
      </c>
      <c r="S5" s="48"/>
      <c r="T5" s="48" t="s">
        <v>2882</v>
      </c>
      <c r="U5" s="52">
        <f>L3/Q3/43560</f>
        <v>-0.87719890527377153</v>
      </c>
      <c r="V5" s="51"/>
      <c r="W5" s="64"/>
      <c r="X5" s="69"/>
      <c r="Y5" s="53"/>
      <c r="Z5" s="46"/>
      <c r="AA5" s="46"/>
      <c r="AB5" s="46"/>
      <c r="AC5" s="46"/>
      <c r="AD5" s="46"/>
      <c r="AE5" s="46"/>
      <c r="AF5" s="46"/>
      <c r="AG5" s="46"/>
      <c r="AH5" s="46"/>
    </row>
    <row r="6" spans="1:34" x14ac:dyDescent="0.3">
      <c r="E6" s="94" t="s">
        <v>3099</v>
      </c>
      <c r="L6" s="95"/>
    </row>
    <row r="7" spans="1:34" x14ac:dyDescent="0.3">
      <c r="E7" s="383" t="s">
        <v>3163</v>
      </c>
      <c r="F7" s="383"/>
      <c r="G7" s="383"/>
      <c r="H7" s="383"/>
      <c r="I7" s="383"/>
      <c r="J7" s="383"/>
      <c r="K7" s="383"/>
      <c r="L7" s="383"/>
    </row>
    <row r="8" spans="1:34" x14ac:dyDescent="0.3">
      <c r="E8" s="383" t="s">
        <v>3164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3165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3166</v>
      </c>
      <c r="F10" s="383"/>
      <c r="G10" s="383"/>
      <c r="H10" s="383"/>
      <c r="I10" s="383"/>
      <c r="J10" s="96"/>
      <c r="K10" s="96"/>
      <c r="L10" s="96"/>
    </row>
    <row r="11" spans="1:34" x14ac:dyDescent="0.3">
      <c r="E11" s="383" t="s">
        <v>3167</v>
      </c>
      <c r="F11" s="383"/>
      <c r="G11" s="383"/>
      <c r="H11" s="383"/>
      <c r="I11" s="383"/>
      <c r="L11" s="95"/>
    </row>
    <row r="12" spans="1:34" x14ac:dyDescent="0.3">
      <c r="E12" s="383" t="s">
        <v>3100</v>
      </c>
      <c r="F12" s="383"/>
      <c r="G12" s="383"/>
      <c r="H12" s="383"/>
      <c r="I12" s="383"/>
      <c r="L12" s="95"/>
    </row>
    <row r="13" spans="1:34" x14ac:dyDescent="0.3">
      <c r="E13" s="96"/>
      <c r="F13" s="96"/>
      <c r="G13" s="96"/>
      <c r="H13" s="96"/>
      <c r="I13" s="96"/>
      <c r="L13" s="95"/>
    </row>
    <row r="14" spans="1:34" x14ac:dyDescent="0.3">
      <c r="A14" s="55" t="s">
        <v>3092</v>
      </c>
      <c r="E14" s="96"/>
      <c r="F14" s="96"/>
      <c r="G14" s="96"/>
      <c r="H14" s="96"/>
      <c r="I14" s="96"/>
      <c r="L14" s="95"/>
    </row>
  </sheetData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9">
    <tabColor rgb="FF00B050"/>
  </sheetPr>
  <dimension ref="A5:AH5"/>
  <sheetViews>
    <sheetView workbookViewId="0">
      <selection activeCell="G10" sqref="G10"/>
    </sheetView>
  </sheetViews>
  <sheetFormatPr defaultRowHeight="14.4" x14ac:dyDescent="0.3"/>
  <cols>
    <col min="1" max="1" width="9.109375" style="55" collapsed="1"/>
    <col min="2" max="13" width="9.109375" collapsed="1"/>
    <col min="14" max="14" width="9.109375" style="55"/>
    <col min="15" max="22" width="9.109375" collapsed="1"/>
    <col min="23" max="23" width="9.109375" style="65"/>
    <col min="24" max="24" width="9.109375" style="55"/>
    <col min="25" max="34" width="9.109375" collapsed="1"/>
  </cols>
  <sheetData>
    <row r="5" spans="2:2" x14ac:dyDescent="0.3">
      <c r="B5" t="s">
        <v>3205</v>
      </c>
    </row>
  </sheetData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0">
    <tabColor rgb="FF00B050"/>
  </sheetPr>
  <dimension ref="A1:AH22"/>
  <sheetViews>
    <sheetView workbookViewId="0">
      <selection activeCell="E11" sqref="E11:M18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7.88671875" bestFit="1" customWidth="1" collapsed="1"/>
    <col min="4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664062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558</v>
      </c>
      <c r="B2" s="10" t="s">
        <v>563</v>
      </c>
      <c r="C2" s="10" t="s">
        <v>564</v>
      </c>
      <c r="D2" s="11">
        <v>45071</v>
      </c>
      <c r="E2" s="12">
        <v>135000</v>
      </c>
      <c r="F2" s="10" t="s">
        <v>32</v>
      </c>
      <c r="G2" s="10" t="s">
        <v>33</v>
      </c>
      <c r="H2" s="12">
        <v>135000</v>
      </c>
      <c r="I2" s="12">
        <v>54800</v>
      </c>
      <c r="J2" s="13">
        <f t="shared" ref="J2:J7" si="0">I2/H2*100</f>
        <v>40.592592592592588</v>
      </c>
      <c r="K2" s="12">
        <v>133360</v>
      </c>
      <c r="L2" s="12">
        <f>H2-124640</f>
        <v>10360</v>
      </c>
      <c r="M2" s="12">
        <v>8720</v>
      </c>
      <c r="N2" s="66">
        <f t="shared" ref="N2:N7" si="1">M2/E2</f>
        <v>6.459259259259259E-2</v>
      </c>
      <c r="O2" s="14">
        <v>50.7</v>
      </c>
      <c r="P2" s="15">
        <v>103.21</v>
      </c>
      <c r="Q2" s="16">
        <v>0.14099999999999999</v>
      </c>
      <c r="R2" s="16">
        <v>0.14099999999999999</v>
      </c>
      <c r="S2" s="12">
        <f t="shared" ref="S2:S7" si="2">L2/O2</f>
        <v>204.33925049309664</v>
      </c>
      <c r="T2" s="12">
        <f t="shared" ref="T2:T7" si="3">L2/Q2</f>
        <v>73475.177304964542</v>
      </c>
      <c r="U2" s="17">
        <f t="shared" ref="U2:U7" si="4">L2/Q2/43560</f>
        <v>1.6867579730248976</v>
      </c>
      <c r="V2" s="16">
        <v>37.729999999999997</v>
      </c>
      <c r="W2" s="16">
        <f t="shared" ref="W2:W7" si="5">0.2*E2</f>
        <v>27000</v>
      </c>
      <c r="X2" s="16">
        <f t="shared" ref="X2:X7" si="6">W2/V2</f>
        <v>715.61091969255244</v>
      </c>
      <c r="Y2" s="18" t="s">
        <v>557</v>
      </c>
      <c r="Z2" s="10" t="s">
        <v>35</v>
      </c>
      <c r="AA2" s="10" t="s">
        <v>35</v>
      </c>
      <c r="AB2" s="10" t="s">
        <v>558</v>
      </c>
      <c r="AC2" s="10">
        <v>0</v>
      </c>
      <c r="AD2" s="10">
        <v>1</v>
      </c>
      <c r="AE2" s="10" t="s">
        <v>37</v>
      </c>
      <c r="AF2" s="10" t="s">
        <v>43</v>
      </c>
      <c r="AG2" s="10" t="s">
        <v>38</v>
      </c>
      <c r="AH2" s="10" t="s">
        <v>92</v>
      </c>
    </row>
    <row r="3" spans="1:34" x14ac:dyDescent="0.3">
      <c r="A3" s="75" t="s">
        <v>558</v>
      </c>
      <c r="B3" s="19" t="s">
        <v>565</v>
      </c>
      <c r="C3" s="19" t="s">
        <v>566</v>
      </c>
      <c r="D3" s="20">
        <v>45288</v>
      </c>
      <c r="E3" s="21">
        <v>140000</v>
      </c>
      <c r="F3" s="19" t="s">
        <v>32</v>
      </c>
      <c r="G3" s="19" t="s">
        <v>33</v>
      </c>
      <c r="H3" s="21">
        <v>140000</v>
      </c>
      <c r="I3" s="21">
        <v>55500</v>
      </c>
      <c r="J3" s="22">
        <f t="shared" si="0"/>
        <v>39.642857142857139</v>
      </c>
      <c r="K3" s="21">
        <v>134764</v>
      </c>
      <c r="L3" s="21">
        <f>H3-126537</f>
        <v>13463</v>
      </c>
      <c r="M3" s="21">
        <v>8227</v>
      </c>
      <c r="N3" s="67">
        <f t="shared" si="1"/>
        <v>5.8764285714285713E-2</v>
      </c>
      <c r="O3" s="23">
        <v>47.83</v>
      </c>
      <c r="P3" s="24">
        <v>105.99</v>
      </c>
      <c r="Q3" s="25">
        <v>0.11600000000000001</v>
      </c>
      <c r="R3" s="25">
        <v>0.11600000000000001</v>
      </c>
      <c r="S3" s="21">
        <f t="shared" si="2"/>
        <v>281.47606104955048</v>
      </c>
      <c r="T3" s="21">
        <f t="shared" si="3"/>
        <v>116060.3448275862</v>
      </c>
      <c r="U3" s="26">
        <f t="shared" si="4"/>
        <v>2.6643788987049173</v>
      </c>
      <c r="V3" s="25">
        <v>50.59</v>
      </c>
      <c r="W3" s="25">
        <f t="shared" si="5"/>
        <v>28000</v>
      </c>
      <c r="X3" s="25">
        <f t="shared" si="6"/>
        <v>553.46906503261505</v>
      </c>
      <c r="Y3" s="27" t="s">
        <v>557</v>
      </c>
      <c r="Z3" s="19" t="s">
        <v>35</v>
      </c>
      <c r="AA3" s="19" t="s">
        <v>35</v>
      </c>
      <c r="AB3" s="19" t="s">
        <v>558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x14ac:dyDescent="0.3">
      <c r="A4" s="75" t="s">
        <v>558</v>
      </c>
      <c r="B4" s="19" t="s">
        <v>563</v>
      </c>
      <c r="C4" s="19" t="s">
        <v>564</v>
      </c>
      <c r="D4" s="20">
        <v>45548</v>
      </c>
      <c r="E4" s="21">
        <v>140000</v>
      </c>
      <c r="F4" s="19" t="s">
        <v>32</v>
      </c>
      <c r="G4" s="19" t="s">
        <v>33</v>
      </c>
      <c r="H4" s="21">
        <v>140000</v>
      </c>
      <c r="I4" s="21">
        <v>58900</v>
      </c>
      <c r="J4" s="22">
        <f t="shared" si="0"/>
        <v>42.071428571428569</v>
      </c>
      <c r="K4" s="21">
        <v>133360</v>
      </c>
      <c r="L4" s="21">
        <f>H4-124640</f>
        <v>15360</v>
      </c>
      <c r="M4" s="21">
        <v>8720</v>
      </c>
      <c r="N4" s="67">
        <f t="shared" si="1"/>
        <v>6.2285714285714285E-2</v>
      </c>
      <c r="O4" s="23">
        <v>50.7</v>
      </c>
      <c r="P4" s="24">
        <v>103.21</v>
      </c>
      <c r="Q4" s="25">
        <v>0.14099999999999999</v>
      </c>
      <c r="R4" s="25">
        <v>0.14099999999999999</v>
      </c>
      <c r="S4" s="21">
        <f t="shared" si="2"/>
        <v>302.95857988165676</v>
      </c>
      <c r="T4" s="21">
        <f t="shared" si="3"/>
        <v>108936.17021276597</v>
      </c>
      <c r="U4" s="26">
        <f t="shared" si="4"/>
        <v>2.50083035382842</v>
      </c>
      <c r="V4" s="25">
        <v>37.729999999999997</v>
      </c>
      <c r="W4" s="25">
        <f t="shared" si="5"/>
        <v>28000</v>
      </c>
      <c r="X4" s="25">
        <f t="shared" si="6"/>
        <v>742.11502782931359</v>
      </c>
      <c r="Y4" s="27" t="s">
        <v>557</v>
      </c>
      <c r="Z4" s="19" t="s">
        <v>35</v>
      </c>
      <c r="AA4" s="19" t="s">
        <v>35</v>
      </c>
      <c r="AB4" s="19" t="s">
        <v>558</v>
      </c>
      <c r="AC4" s="19">
        <v>0</v>
      </c>
      <c r="AD4" s="19">
        <v>1</v>
      </c>
      <c r="AE4" s="19" t="s">
        <v>37</v>
      </c>
      <c r="AF4" s="19" t="s">
        <v>43</v>
      </c>
      <c r="AG4" s="19" t="s">
        <v>38</v>
      </c>
      <c r="AH4" s="19" t="s">
        <v>92</v>
      </c>
    </row>
    <row r="5" spans="1:34" x14ac:dyDescent="0.3">
      <c r="A5" s="74" t="s">
        <v>558</v>
      </c>
      <c r="B5" s="10" t="s">
        <v>567</v>
      </c>
      <c r="C5" s="10" t="s">
        <v>568</v>
      </c>
      <c r="D5" s="11">
        <v>45509</v>
      </c>
      <c r="E5" s="12">
        <v>165000</v>
      </c>
      <c r="F5" s="10" t="s">
        <v>32</v>
      </c>
      <c r="G5" s="10" t="s">
        <v>33</v>
      </c>
      <c r="H5" s="12">
        <v>165000</v>
      </c>
      <c r="I5" s="12">
        <v>69600</v>
      </c>
      <c r="J5" s="13">
        <f t="shared" si="0"/>
        <v>42.18181818181818</v>
      </c>
      <c r="K5" s="12">
        <v>156023</v>
      </c>
      <c r="L5" s="12">
        <f>H5-144838</f>
        <v>20162</v>
      </c>
      <c r="M5" s="12">
        <v>11185</v>
      </c>
      <c r="N5" s="66">
        <f t="shared" si="1"/>
        <v>6.7787878787878786E-2</v>
      </c>
      <c r="O5" s="14">
        <v>65.02</v>
      </c>
      <c r="P5" s="15">
        <v>121</v>
      </c>
      <c r="Q5" s="16">
        <v>0.17199999999999999</v>
      </c>
      <c r="R5" s="16">
        <v>0.17199999999999999</v>
      </c>
      <c r="S5" s="12">
        <f t="shared" si="2"/>
        <v>310.08920332205474</v>
      </c>
      <c r="T5" s="12">
        <f t="shared" si="3"/>
        <v>117220.93023255815</v>
      </c>
      <c r="U5" s="17">
        <f t="shared" si="4"/>
        <v>2.6910222734747049</v>
      </c>
      <c r="V5" s="16">
        <v>62</v>
      </c>
      <c r="W5" s="16">
        <f t="shared" si="5"/>
        <v>33000</v>
      </c>
      <c r="X5" s="16">
        <f t="shared" si="6"/>
        <v>532.25806451612902</v>
      </c>
      <c r="Y5" s="18" t="s">
        <v>557</v>
      </c>
      <c r="Z5" s="10" t="s">
        <v>35</v>
      </c>
      <c r="AA5" s="10" t="s">
        <v>35</v>
      </c>
      <c r="AB5" s="10" t="s">
        <v>558</v>
      </c>
      <c r="AC5" s="10">
        <v>0</v>
      </c>
      <c r="AD5" s="10">
        <v>1</v>
      </c>
      <c r="AE5" s="10" t="s">
        <v>412</v>
      </c>
      <c r="AF5" s="10" t="s">
        <v>43</v>
      </c>
      <c r="AG5" s="10" t="s">
        <v>38</v>
      </c>
      <c r="AH5" s="10" t="s">
        <v>92</v>
      </c>
    </row>
    <row r="6" spans="1:34" x14ac:dyDescent="0.3">
      <c r="A6" s="74" t="s">
        <v>558</v>
      </c>
      <c r="B6" s="10" t="s">
        <v>569</v>
      </c>
      <c r="C6" s="10" t="s">
        <v>570</v>
      </c>
      <c r="D6" s="11">
        <v>45730</v>
      </c>
      <c r="E6" s="12">
        <v>164900</v>
      </c>
      <c r="F6" s="10" t="s">
        <v>32</v>
      </c>
      <c r="G6" s="10" t="s">
        <v>33</v>
      </c>
      <c r="H6" s="12">
        <v>164900</v>
      </c>
      <c r="I6" s="12">
        <v>64200</v>
      </c>
      <c r="J6" s="13">
        <f t="shared" si="0"/>
        <v>38.93268647665252</v>
      </c>
      <c r="K6" s="12">
        <v>144883</v>
      </c>
      <c r="L6" s="12">
        <f>H6-136725</f>
        <v>28175</v>
      </c>
      <c r="M6" s="12">
        <v>8158</v>
      </c>
      <c r="N6" s="66">
        <f t="shared" si="1"/>
        <v>4.9472407519708918E-2</v>
      </c>
      <c r="O6" s="14">
        <v>47.42</v>
      </c>
      <c r="P6" s="15">
        <v>104.05</v>
      </c>
      <c r="Q6" s="16">
        <v>0.114</v>
      </c>
      <c r="R6" s="16">
        <v>0.114</v>
      </c>
      <c r="S6" s="12">
        <f t="shared" si="2"/>
        <v>594.15858287642345</v>
      </c>
      <c r="T6" s="12">
        <f t="shared" si="3"/>
        <v>247149.12280701753</v>
      </c>
      <c r="U6" s="17">
        <f t="shared" si="4"/>
        <v>5.6737631498397043</v>
      </c>
      <c r="V6" s="16">
        <v>50.6</v>
      </c>
      <c r="W6" s="16">
        <f t="shared" si="5"/>
        <v>32980</v>
      </c>
      <c r="X6" s="16">
        <f t="shared" si="6"/>
        <v>651.77865612648225</v>
      </c>
      <c r="Y6" s="18" t="s">
        <v>557</v>
      </c>
      <c r="Z6" s="10" t="s">
        <v>35</v>
      </c>
      <c r="AA6" s="10" t="s">
        <v>35</v>
      </c>
      <c r="AB6" s="10" t="s">
        <v>558</v>
      </c>
      <c r="AC6" s="10">
        <v>0</v>
      </c>
      <c r="AD6" s="10">
        <v>1</v>
      </c>
      <c r="AE6" s="10" t="s">
        <v>37</v>
      </c>
      <c r="AF6" s="10" t="s">
        <v>35</v>
      </c>
      <c r="AG6" s="10" t="s">
        <v>38</v>
      </c>
      <c r="AH6" s="10" t="s">
        <v>92</v>
      </c>
    </row>
    <row r="7" spans="1:34" ht="15" thickBot="1" x14ac:dyDescent="0.35">
      <c r="A7" s="75" t="s">
        <v>558</v>
      </c>
      <c r="B7" s="19" t="s">
        <v>555</v>
      </c>
      <c r="C7" s="19" t="s">
        <v>556</v>
      </c>
      <c r="D7" s="20">
        <v>45373</v>
      </c>
      <c r="E7" s="21">
        <v>175000</v>
      </c>
      <c r="F7" s="19" t="s">
        <v>32</v>
      </c>
      <c r="G7" s="19" t="s">
        <v>33</v>
      </c>
      <c r="H7" s="21">
        <v>175000</v>
      </c>
      <c r="I7" s="21">
        <v>60100</v>
      </c>
      <c r="J7" s="22">
        <f t="shared" si="0"/>
        <v>34.342857142857142</v>
      </c>
      <c r="K7" s="21">
        <v>145985</v>
      </c>
      <c r="L7" s="21">
        <f>H7-138551</f>
        <v>36449</v>
      </c>
      <c r="M7" s="21">
        <v>7434</v>
      </c>
      <c r="N7" s="67">
        <f t="shared" si="1"/>
        <v>4.2479999999999997E-2</v>
      </c>
      <c r="O7" s="23">
        <v>43.22</v>
      </c>
      <c r="P7" s="24">
        <v>105</v>
      </c>
      <c r="Q7" s="25">
        <v>0.107</v>
      </c>
      <c r="R7" s="25">
        <v>0.107</v>
      </c>
      <c r="S7" s="21">
        <f t="shared" si="2"/>
        <v>843.33641832484966</v>
      </c>
      <c r="T7" s="21">
        <f t="shared" si="3"/>
        <v>340644.85981308413</v>
      </c>
      <c r="U7" s="26">
        <f t="shared" si="4"/>
        <v>7.8201299314298467</v>
      </c>
      <c r="V7" s="25">
        <v>44.24</v>
      </c>
      <c r="W7" s="25">
        <f t="shared" si="5"/>
        <v>35000</v>
      </c>
      <c r="X7" s="25">
        <f t="shared" si="6"/>
        <v>791.13924050632909</v>
      </c>
      <c r="Y7" s="27" t="s">
        <v>557</v>
      </c>
      <c r="Z7" s="19" t="s">
        <v>35</v>
      </c>
      <c r="AA7" s="19" t="s">
        <v>35</v>
      </c>
      <c r="AB7" s="19" t="s">
        <v>558</v>
      </c>
      <c r="AC7" s="19">
        <v>0</v>
      </c>
      <c r="AD7" s="19">
        <v>1</v>
      </c>
      <c r="AE7" s="19" t="s">
        <v>42</v>
      </c>
      <c r="AF7" s="19" t="s">
        <v>43</v>
      </c>
      <c r="AG7" s="19" t="s">
        <v>38</v>
      </c>
      <c r="AH7" s="19" t="s">
        <v>92</v>
      </c>
    </row>
    <row r="8" spans="1:34" ht="15" thickTop="1" x14ac:dyDescent="0.3">
      <c r="A8" s="76"/>
      <c r="B8" s="37"/>
      <c r="C8" s="37"/>
      <c r="D8" s="38" t="s">
        <v>2876</v>
      </c>
      <c r="E8" s="39">
        <f>+SUM(E2:E7)</f>
        <v>919900</v>
      </c>
      <c r="F8" s="37"/>
      <c r="G8" s="37"/>
      <c r="H8" s="39">
        <f>+SUM(H2:H7)</f>
        <v>919900</v>
      </c>
      <c r="I8" s="39">
        <f>+SUM(I2:I7)</f>
        <v>363100</v>
      </c>
      <c r="J8" s="40"/>
      <c r="K8" s="39">
        <f>+SUM(K2:K7)</f>
        <v>848375</v>
      </c>
      <c r="L8" s="39">
        <f>+SUM(L2:L7)</f>
        <v>123969</v>
      </c>
      <c r="M8" s="39">
        <f>+SUM(M2:M7)</f>
        <v>52444</v>
      </c>
      <c r="N8" s="81">
        <f>AVERAGE(N2:N7)</f>
        <v>5.7563813150030056E-2</v>
      </c>
      <c r="O8" s="41">
        <f>+SUM(O2:O7)</f>
        <v>304.89</v>
      </c>
      <c r="P8" s="42"/>
      <c r="Q8" s="43">
        <f>+SUM(Q2:Q7)</f>
        <v>0.79100000000000004</v>
      </c>
      <c r="R8" s="43">
        <f>+SUM(R2:R7)</f>
        <v>0.79100000000000004</v>
      </c>
      <c r="S8" s="39"/>
      <c r="T8" s="39"/>
      <c r="U8" s="44"/>
      <c r="V8" s="43"/>
      <c r="W8" s="82">
        <f>AVERAGE(W2:W7)</f>
        <v>30663.333333333332</v>
      </c>
      <c r="X8" s="83">
        <f>AVERAGE(X2:X7)</f>
        <v>664.39516228390346</v>
      </c>
      <c r="Y8" s="45"/>
      <c r="Z8" s="37"/>
      <c r="AA8" s="37"/>
      <c r="AB8" s="37"/>
      <c r="AC8" s="37"/>
      <c r="AD8" s="37"/>
      <c r="AE8" s="37"/>
      <c r="AF8" s="37"/>
      <c r="AG8" s="37"/>
      <c r="AH8" s="37"/>
    </row>
    <row r="9" spans="1:34" x14ac:dyDescent="0.3">
      <c r="A9" s="77"/>
      <c r="B9" s="28"/>
      <c r="C9" s="28"/>
      <c r="D9" s="29"/>
      <c r="E9" s="30"/>
      <c r="F9" s="28"/>
      <c r="G9" s="28"/>
      <c r="H9" s="30"/>
      <c r="I9" s="30" t="s">
        <v>2877</v>
      </c>
      <c r="J9" s="31">
        <f>I8/H8*100</f>
        <v>39.471681704533104</v>
      </c>
      <c r="K9" s="30"/>
      <c r="L9" s="30"/>
      <c r="M9" s="30" t="s">
        <v>2879</v>
      </c>
      <c r="N9" s="79"/>
      <c r="O9" s="32"/>
      <c r="P9" s="33"/>
      <c r="Q9" s="34" t="s">
        <v>2879</v>
      </c>
      <c r="R9" s="34"/>
      <c r="S9" s="30"/>
      <c r="T9" s="30" t="s">
        <v>2879</v>
      </c>
      <c r="U9" s="35"/>
      <c r="V9" s="34"/>
      <c r="W9" s="63"/>
      <c r="X9" s="68"/>
      <c r="Y9" s="36"/>
      <c r="Z9" s="28"/>
      <c r="AA9" s="28"/>
      <c r="AB9" s="28"/>
      <c r="AC9" s="28"/>
      <c r="AD9" s="28"/>
      <c r="AE9" s="28"/>
      <c r="AF9" s="28"/>
      <c r="AG9" s="28"/>
      <c r="AH9" s="28"/>
    </row>
    <row r="10" spans="1:34" x14ac:dyDescent="0.3">
      <c r="A10" s="78"/>
      <c r="B10" s="46"/>
      <c r="C10" s="46"/>
      <c r="D10" s="47"/>
      <c r="E10" s="48"/>
      <c r="F10" s="46"/>
      <c r="G10" s="46"/>
      <c r="H10" s="48"/>
      <c r="I10" s="48" t="s">
        <v>2878</v>
      </c>
      <c r="J10" s="49">
        <f>STDEV(J2:J7)</f>
        <v>2.892721336522547</v>
      </c>
      <c r="K10" s="48"/>
      <c r="L10" s="48"/>
      <c r="M10" s="48" t="s">
        <v>2880</v>
      </c>
      <c r="N10" s="80"/>
      <c r="O10" s="54">
        <f>L8/O8</f>
        <v>406.60238118665751</v>
      </c>
      <c r="P10" s="50"/>
      <c r="Q10" s="51" t="s">
        <v>2881</v>
      </c>
      <c r="R10" s="51">
        <f>L8/Q8</f>
        <v>156724.39949431099</v>
      </c>
      <c r="S10" s="48"/>
      <c r="T10" s="48" t="s">
        <v>2882</v>
      </c>
      <c r="U10" s="52">
        <f>L8/Q8/43560</f>
        <v>3.5978971417426764</v>
      </c>
      <c r="V10" s="51"/>
      <c r="W10" s="64"/>
      <c r="X10" s="69"/>
      <c r="Y10" s="53"/>
      <c r="Z10" s="46"/>
      <c r="AA10" s="46"/>
      <c r="AB10" s="46"/>
      <c r="AC10" s="46"/>
      <c r="AD10" s="46"/>
      <c r="AE10" s="46"/>
      <c r="AF10" s="46"/>
      <c r="AG10" s="46"/>
      <c r="AH10" s="46"/>
    </row>
    <row r="11" spans="1:34" x14ac:dyDescent="0.3">
      <c r="E11" s="94" t="s">
        <v>3099</v>
      </c>
      <c r="L11" s="95"/>
    </row>
    <row r="12" spans="1:34" x14ac:dyDescent="0.3">
      <c r="E12" s="383" t="s">
        <v>3163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3164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3165</v>
      </c>
      <c r="F14" s="383"/>
      <c r="G14" s="383"/>
      <c r="H14" s="383"/>
      <c r="I14" s="383"/>
      <c r="J14" s="383"/>
      <c r="K14" s="383"/>
      <c r="L14" s="383"/>
    </row>
    <row r="15" spans="1:34" x14ac:dyDescent="0.3">
      <c r="E15" s="383" t="s">
        <v>3166</v>
      </c>
      <c r="F15" s="383"/>
      <c r="G15" s="383"/>
      <c r="H15" s="383"/>
      <c r="I15" s="383"/>
      <c r="J15" s="96"/>
      <c r="K15" s="96"/>
      <c r="L15" s="96"/>
    </row>
    <row r="16" spans="1:34" x14ac:dyDescent="0.3">
      <c r="E16" s="383" t="s">
        <v>3167</v>
      </c>
      <c r="F16" s="383"/>
      <c r="G16" s="383"/>
      <c r="H16" s="383"/>
      <c r="I16" s="383"/>
      <c r="L16" s="95"/>
    </row>
    <row r="17" spans="1:34" x14ac:dyDescent="0.3">
      <c r="E17" s="383" t="s">
        <v>3100</v>
      </c>
      <c r="F17" s="383"/>
      <c r="G17" s="383"/>
      <c r="H17" s="383"/>
      <c r="I17" s="383"/>
      <c r="L17" s="95"/>
    </row>
    <row r="18" spans="1:34" x14ac:dyDescent="0.3">
      <c r="E18" s="96"/>
      <c r="F18" s="96"/>
      <c r="G18" s="96"/>
      <c r="H18" s="96"/>
      <c r="I18" s="96"/>
      <c r="L18" s="95"/>
    </row>
    <row r="19" spans="1:34" x14ac:dyDescent="0.3">
      <c r="A19" s="55" t="s">
        <v>3092</v>
      </c>
      <c r="E19" s="96"/>
      <c r="F19" s="96"/>
      <c r="G19" s="96"/>
      <c r="H19" s="96"/>
      <c r="I19" s="96"/>
      <c r="L19" s="95"/>
    </row>
    <row r="20" spans="1:34" x14ac:dyDescent="0.3">
      <c r="A20" s="74" t="s">
        <v>558</v>
      </c>
      <c r="B20" s="10" t="s">
        <v>561</v>
      </c>
      <c r="C20" s="10" t="s">
        <v>562</v>
      </c>
      <c r="D20" s="11">
        <v>45044</v>
      </c>
      <c r="E20" s="12">
        <v>123000</v>
      </c>
      <c r="F20" s="10" t="s">
        <v>32</v>
      </c>
      <c r="G20" s="10" t="s">
        <v>33</v>
      </c>
      <c r="H20" s="12">
        <v>123000</v>
      </c>
      <c r="I20" s="12">
        <v>64200</v>
      </c>
      <c r="J20" s="13">
        <f t="shared" ref="J20:J22" si="7">I20/H20*100</f>
        <v>52.195121951219512</v>
      </c>
      <c r="K20" s="12">
        <v>154537</v>
      </c>
      <c r="L20" s="12">
        <f>H20-143476</f>
        <v>-20476</v>
      </c>
      <c r="M20" s="12">
        <v>11061</v>
      </c>
      <c r="N20" s="66">
        <f t="shared" ref="N20:N22" si="8">M20/E20</f>
        <v>8.992682926829268E-2</v>
      </c>
      <c r="O20" s="14">
        <v>64.3</v>
      </c>
      <c r="P20" s="15">
        <v>118.34</v>
      </c>
      <c r="Q20" s="16">
        <v>0.33500000000000002</v>
      </c>
      <c r="R20" s="16">
        <v>0.16800000000000001</v>
      </c>
      <c r="S20" s="12">
        <f t="shared" ref="S20:S22" si="9">L20/O20</f>
        <v>-318.44479004665629</v>
      </c>
      <c r="T20" s="12">
        <f t="shared" ref="T20:T22" si="10">L20/Q20</f>
        <v>-61122.388059701487</v>
      </c>
      <c r="U20" s="17">
        <f t="shared" ref="U20:U22" si="11">L20/Q20/43560</f>
        <v>-1.4031769527020543</v>
      </c>
      <c r="V20" s="16">
        <v>62</v>
      </c>
      <c r="W20" s="16">
        <f t="shared" ref="W20:W22" si="12">0.2*E20</f>
        <v>24600</v>
      </c>
      <c r="X20" s="16">
        <f t="shared" ref="X20:X22" si="13">W20/V20</f>
        <v>396.77419354838707</v>
      </c>
      <c r="Y20" s="18" t="s">
        <v>557</v>
      </c>
      <c r="Z20" s="10" t="s">
        <v>35</v>
      </c>
      <c r="AA20" s="10" t="s">
        <v>35</v>
      </c>
      <c r="AB20" s="10" t="s">
        <v>558</v>
      </c>
      <c r="AC20" s="10">
        <v>0</v>
      </c>
      <c r="AD20" s="10">
        <v>1</v>
      </c>
      <c r="AE20" s="10" t="s">
        <v>37</v>
      </c>
      <c r="AF20" s="10" t="s">
        <v>43</v>
      </c>
      <c r="AG20" s="10" t="s">
        <v>38</v>
      </c>
      <c r="AH20" s="10" t="s">
        <v>92</v>
      </c>
    </row>
    <row r="21" spans="1:34" x14ac:dyDescent="0.3">
      <c r="A21" s="75" t="s">
        <v>558</v>
      </c>
      <c r="B21" s="19" t="s">
        <v>571</v>
      </c>
      <c r="C21" s="19" t="s">
        <v>572</v>
      </c>
      <c r="D21" s="20">
        <v>45649</v>
      </c>
      <c r="E21" s="21">
        <v>117000</v>
      </c>
      <c r="F21" s="19" t="s">
        <v>32</v>
      </c>
      <c r="G21" s="19" t="s">
        <v>33</v>
      </c>
      <c r="H21" s="21">
        <v>117000</v>
      </c>
      <c r="I21" s="21">
        <v>58600</v>
      </c>
      <c r="J21" s="22">
        <f t="shared" si="7"/>
        <v>50.085470085470085</v>
      </c>
      <c r="K21" s="21">
        <v>132776</v>
      </c>
      <c r="L21" s="21">
        <f>H21-124640</f>
        <v>-7640</v>
      </c>
      <c r="M21" s="21">
        <v>8136</v>
      </c>
      <c r="N21" s="67">
        <f t="shared" si="8"/>
        <v>6.9538461538461535E-2</v>
      </c>
      <c r="O21" s="23">
        <v>47.3</v>
      </c>
      <c r="P21" s="24">
        <v>110</v>
      </c>
      <c r="Q21" s="25">
        <v>0.11899999999999999</v>
      </c>
      <c r="R21" s="25">
        <v>0.11899999999999999</v>
      </c>
      <c r="S21" s="21">
        <f t="shared" si="9"/>
        <v>-161.52219873150108</v>
      </c>
      <c r="T21" s="21">
        <f t="shared" si="10"/>
        <v>-64201.680672268907</v>
      </c>
      <c r="U21" s="26">
        <f t="shared" si="11"/>
        <v>-1.4738677840282117</v>
      </c>
      <c r="V21" s="25">
        <v>47.3</v>
      </c>
      <c r="W21" s="25">
        <f t="shared" si="12"/>
        <v>23400</v>
      </c>
      <c r="X21" s="25">
        <f t="shared" si="13"/>
        <v>494.7145877378436</v>
      </c>
      <c r="Y21" s="27" t="s">
        <v>557</v>
      </c>
      <c r="Z21" s="19" t="s">
        <v>35</v>
      </c>
      <c r="AA21" s="19" t="s">
        <v>35</v>
      </c>
      <c r="AB21" s="19" t="s">
        <v>558</v>
      </c>
      <c r="AC21" s="19">
        <v>0</v>
      </c>
      <c r="AD21" s="19">
        <v>1</v>
      </c>
      <c r="AE21" s="19" t="s">
        <v>37</v>
      </c>
      <c r="AF21" s="19" t="s">
        <v>35</v>
      </c>
      <c r="AG21" s="19" t="s">
        <v>38</v>
      </c>
      <c r="AH21" s="19" t="s">
        <v>92</v>
      </c>
    </row>
    <row r="22" spans="1:34" x14ac:dyDescent="0.3">
      <c r="A22" s="75" t="s">
        <v>558</v>
      </c>
      <c r="B22" s="19" t="s">
        <v>559</v>
      </c>
      <c r="C22" s="19" t="s">
        <v>560</v>
      </c>
      <c r="D22" s="20">
        <v>45524</v>
      </c>
      <c r="E22" s="21">
        <v>137000</v>
      </c>
      <c r="F22" s="19" t="s">
        <v>32</v>
      </c>
      <c r="G22" s="19" t="s">
        <v>33</v>
      </c>
      <c r="H22" s="21">
        <v>137000</v>
      </c>
      <c r="I22" s="21">
        <v>67600</v>
      </c>
      <c r="J22" s="22">
        <f t="shared" si="7"/>
        <v>49.343065693430653</v>
      </c>
      <c r="K22" s="21">
        <v>151788</v>
      </c>
      <c r="L22" s="21">
        <f>H22-141352</f>
        <v>-4352</v>
      </c>
      <c r="M22" s="21">
        <v>10436</v>
      </c>
      <c r="N22" s="67">
        <f t="shared" si="8"/>
        <v>7.6175182481751827E-2</v>
      </c>
      <c r="O22" s="23">
        <v>60.67</v>
      </c>
      <c r="P22" s="24">
        <v>105</v>
      </c>
      <c r="Q22" s="25">
        <v>0.15</v>
      </c>
      <c r="R22" s="25">
        <v>0.15</v>
      </c>
      <c r="S22" s="21">
        <f t="shared" si="9"/>
        <v>-71.732322399868139</v>
      </c>
      <c r="T22" s="21">
        <f t="shared" si="10"/>
        <v>-29013.333333333336</v>
      </c>
      <c r="U22" s="26">
        <f t="shared" si="11"/>
        <v>-0.66605448423630242</v>
      </c>
      <c r="V22" s="25">
        <v>62.1</v>
      </c>
      <c r="W22" s="25">
        <f t="shared" si="12"/>
        <v>27400</v>
      </c>
      <c r="X22" s="25">
        <f t="shared" si="13"/>
        <v>441.22383252818037</v>
      </c>
      <c r="Y22" s="27" t="s">
        <v>557</v>
      </c>
      <c r="Z22" s="19" t="s">
        <v>35</v>
      </c>
      <c r="AA22" s="19" t="s">
        <v>35</v>
      </c>
      <c r="AB22" s="19" t="s">
        <v>558</v>
      </c>
      <c r="AC22" s="19">
        <v>0</v>
      </c>
      <c r="AD22" s="19">
        <v>1</v>
      </c>
      <c r="AE22" s="19" t="s">
        <v>42</v>
      </c>
      <c r="AF22" s="19" t="s">
        <v>43</v>
      </c>
      <c r="AG22" s="19" t="s">
        <v>38</v>
      </c>
      <c r="AH22" s="19" t="s">
        <v>92</v>
      </c>
    </row>
  </sheetData>
  <sortState xmlns:xlrd2="http://schemas.microsoft.com/office/spreadsheetml/2017/richdata2" ref="A2:AH10">
    <sortCondition ref="S2:S10"/>
  </sortState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1">
    <tabColor rgb="FF00B050"/>
  </sheetPr>
  <dimension ref="A1:AH1301"/>
  <sheetViews>
    <sheetView workbookViewId="0">
      <selection activeCell="B4" sqref="B4"/>
    </sheetView>
  </sheetViews>
  <sheetFormatPr defaultRowHeight="14.4" x14ac:dyDescent="0.3"/>
  <cols>
    <col min="1" max="1" width="8.5546875" style="55" bestFit="1" customWidth="1" collapsed="1"/>
    <col min="2" max="2" width="20.6640625" bestFit="1" customWidth="1" collapsed="1"/>
    <col min="3" max="3" width="31.6640625" bestFit="1" customWidth="1" collapsed="1"/>
    <col min="4" max="4" width="13.6640625" bestFit="1" customWidth="1" collapsed="1"/>
    <col min="5" max="5" width="12.88671875" bestFit="1" customWidth="1" collapsed="1"/>
    <col min="6" max="6" width="7.6640625" bestFit="1" customWidth="1" collapsed="1"/>
    <col min="7" max="7" width="32.6640625" bestFit="1" customWidth="1" collapsed="1"/>
    <col min="8" max="8" width="12.6640625" bestFit="1" customWidth="1" collapsed="1"/>
    <col min="9" max="9" width="16.6640625" bestFit="1" customWidth="1" collapsed="1"/>
    <col min="10" max="10" width="14.6640625" bestFit="1" customWidth="1" collapsed="1"/>
    <col min="11" max="12" width="15.6640625" bestFit="1" customWidth="1" collapsed="1"/>
    <col min="13" max="13" width="16.6640625" bestFit="1" customWidth="1" collapsed="1"/>
    <col min="14" max="14" width="16.6640625" style="55" customWidth="1"/>
    <col min="15" max="15" width="13.6640625" bestFit="1" customWidth="1" collapsed="1"/>
    <col min="16" max="16" width="8.6640625" bestFit="1" customWidth="1" collapsed="1"/>
    <col min="17" max="17" width="16.6640625" bestFit="1" customWidth="1" collapsed="1"/>
    <col min="18" max="19" width="12.6640625" bestFit="1" customWidth="1" collapsed="1"/>
    <col min="20" max="21" width="14.6640625" bestFit="1" customWidth="1" collapsed="1"/>
    <col min="22" max="22" width="13.6640625" bestFit="1" customWidth="1" collapsed="1"/>
    <col min="23" max="23" width="13.6640625" style="65" customWidth="1"/>
    <col min="24" max="24" width="13.6640625" style="55" customWidth="1"/>
    <col min="25" max="25" width="10.6640625" bestFit="1" customWidth="1" collapsed="1"/>
    <col min="26" max="26" width="12.6640625" bestFit="1" customWidth="1" collapsed="1"/>
    <col min="27" max="27" width="37.6640625" bestFit="1" customWidth="1" collapsed="1"/>
    <col min="28" max="28" width="26.6640625" bestFit="1" customWidth="1" collapsed="1"/>
    <col min="29" max="30" width="8.6640625" bestFit="1" customWidth="1" collapsed="1"/>
    <col min="31" max="31" width="17.6640625" bestFit="1" customWidth="1" collapsed="1"/>
    <col min="32" max="32" width="16.6640625" bestFit="1" customWidth="1" collapsed="1"/>
    <col min="33" max="33" width="7.6640625" bestFit="1" customWidth="1" collapsed="1"/>
    <col min="34" max="34" width="20.6640625" bestFit="1" customWidth="1" collapsed="1"/>
  </cols>
  <sheetData>
    <row r="1" spans="2:2" customFormat="1" x14ac:dyDescent="0.3"/>
    <row r="2" spans="2:2" customFormat="1" x14ac:dyDescent="0.3"/>
    <row r="3" spans="2:2" customFormat="1" x14ac:dyDescent="0.3">
      <c r="B3" t="s">
        <v>3201</v>
      </c>
    </row>
    <row r="4" spans="2:2" customFormat="1" x14ac:dyDescent="0.3"/>
    <row r="5" spans="2:2" customFormat="1" x14ac:dyDescent="0.3"/>
    <row r="6" spans="2:2" customFormat="1" x14ac:dyDescent="0.3"/>
    <row r="7" spans="2:2" customFormat="1" x14ac:dyDescent="0.3"/>
    <row r="8" spans="2:2" customFormat="1" x14ac:dyDescent="0.3"/>
    <row r="9" spans="2:2" customFormat="1" x14ac:dyDescent="0.3"/>
    <row r="10" spans="2:2" customFormat="1" x14ac:dyDescent="0.3"/>
    <row r="11" spans="2:2" customFormat="1" x14ac:dyDescent="0.3"/>
    <row r="12" spans="2:2" customFormat="1" x14ac:dyDescent="0.3"/>
    <row r="13" spans="2:2" customFormat="1" x14ac:dyDescent="0.3"/>
    <row r="14" spans="2:2" customFormat="1" x14ac:dyDescent="0.3"/>
    <row r="15" spans="2:2" customFormat="1" x14ac:dyDescent="0.3"/>
    <row r="16" spans="2:2" customFormat="1" x14ac:dyDescent="0.3"/>
    <row r="17" customFormat="1" x14ac:dyDescent="0.3"/>
    <row r="18" customFormat="1" x14ac:dyDescent="0.3"/>
    <row r="19" customFormat="1" x14ac:dyDescent="0.3"/>
    <row r="20" customFormat="1" x14ac:dyDescent="0.3"/>
    <row r="21" customFormat="1" x14ac:dyDescent="0.3"/>
    <row r="22" customFormat="1" x14ac:dyDescent="0.3"/>
    <row r="23" customFormat="1" x14ac:dyDescent="0.3"/>
    <row r="24" customFormat="1" x14ac:dyDescent="0.3"/>
    <row r="25" customFormat="1" x14ac:dyDescent="0.3"/>
    <row r="26" customFormat="1" x14ac:dyDescent="0.3"/>
    <row r="27" customFormat="1" x14ac:dyDescent="0.3"/>
    <row r="28" customFormat="1" x14ac:dyDescent="0.3"/>
    <row r="29" customFormat="1" x14ac:dyDescent="0.3"/>
    <row r="30" customFormat="1" x14ac:dyDescent="0.3"/>
    <row r="31" customFormat="1" x14ac:dyDescent="0.3"/>
    <row r="32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3">
    <tabColor rgb="FF00B050"/>
  </sheetPr>
  <dimension ref="A1:AH16"/>
  <sheetViews>
    <sheetView workbookViewId="0">
      <selection activeCell="E10" sqref="E10:L17"/>
    </sheetView>
  </sheetViews>
  <sheetFormatPr defaultColWidth="9.109375" defaultRowHeight="14.4" x14ac:dyDescent="0.3"/>
  <cols>
    <col min="1" max="1" width="10.44140625" style="168" bestFit="1" customWidth="1" collapsed="1"/>
    <col min="2" max="2" width="16.88671875" style="106" bestFit="1" customWidth="1" collapsed="1"/>
    <col min="3" max="3" width="14.109375" style="106" bestFit="1" customWidth="1" collapsed="1"/>
    <col min="4" max="4" width="10.6640625" style="106" bestFit="1" customWidth="1" collapsed="1"/>
    <col min="5" max="5" width="9.5546875" style="106" bestFit="1" customWidth="1" collapsed="1"/>
    <col min="6" max="6" width="5.5546875" style="106" bestFit="1" customWidth="1" collapsed="1"/>
    <col min="7" max="7" width="17.33203125" style="106" bestFit="1" customWidth="1" collapsed="1"/>
    <col min="8" max="8" width="10.109375" style="106" bestFit="1" customWidth="1" collapsed="1"/>
    <col min="9" max="9" width="14.6640625" style="106" bestFit="1" customWidth="1" collapsed="1"/>
    <col min="10" max="10" width="12.88671875" style="106" bestFit="1" customWidth="1" collapsed="1"/>
    <col min="11" max="11" width="13.44140625" style="106" bestFit="1" customWidth="1" collapsed="1"/>
    <col min="12" max="12" width="13.33203125" style="106" bestFit="1" customWidth="1" collapsed="1"/>
    <col min="13" max="13" width="14.44140625" style="106" bestFit="1" customWidth="1" collapsed="1"/>
    <col min="14" max="14" width="7.6640625" style="168" bestFit="1" customWidth="1"/>
    <col min="15" max="15" width="11.109375" style="106" bestFit="1" customWidth="1" collapsed="1"/>
    <col min="16" max="16" width="6.44140625" style="106" bestFit="1" customWidth="1" collapsed="1"/>
    <col min="17" max="17" width="14.33203125" style="106" bestFit="1" customWidth="1" collapsed="1"/>
    <col min="18" max="18" width="10.88671875" style="106" bestFit="1" customWidth="1" collapsed="1"/>
    <col min="19" max="19" width="10" style="106" bestFit="1" customWidth="1" collapsed="1"/>
    <col min="20" max="20" width="12" style="106" bestFit="1" customWidth="1" collapsed="1"/>
    <col min="21" max="21" width="11.88671875" style="106" bestFit="1" customWidth="1" collapsed="1"/>
    <col min="22" max="22" width="11.6640625" style="106" bestFit="1" customWidth="1" collapsed="1"/>
    <col min="23" max="23" width="11.5546875" style="169" bestFit="1" customWidth="1"/>
    <col min="24" max="24" width="9" style="168" bestFit="1" customWidth="1"/>
    <col min="25" max="25" width="8.6640625" style="106" bestFit="1" customWidth="1" collapsed="1"/>
    <col min="26" max="26" width="10.5546875" style="106" bestFit="1" customWidth="1" collapsed="1"/>
    <col min="27" max="27" width="19.44140625" style="106" bestFit="1" customWidth="1" collapsed="1"/>
    <col min="28" max="28" width="10.44140625" style="106" bestFit="1" customWidth="1" collapsed="1"/>
    <col min="29" max="29" width="6.88671875" style="106" bestFit="1" customWidth="1" collapsed="1"/>
    <col min="30" max="30" width="6.44140625" style="106" bestFit="1" customWidth="1" collapsed="1"/>
    <col min="31" max="31" width="15" style="106" bestFit="1" customWidth="1" collapsed="1"/>
    <col min="32" max="32" width="14.6640625" style="106" bestFit="1" customWidth="1" collapsed="1"/>
    <col min="33" max="33" width="5.44140625" style="106" bestFit="1" customWidth="1" collapsed="1"/>
    <col min="34" max="34" width="14.5546875" style="106" bestFit="1" customWidth="1" collapsed="1"/>
    <col min="35" max="16384" width="9.109375" style="106"/>
  </cols>
  <sheetData>
    <row r="1" spans="1:34" x14ac:dyDescent="0.3">
      <c r="A1" s="97" t="s">
        <v>23</v>
      </c>
      <c r="B1" s="97" t="s">
        <v>0</v>
      </c>
      <c r="C1" s="97" t="s">
        <v>1</v>
      </c>
      <c r="D1" s="98" t="s">
        <v>2</v>
      </c>
      <c r="E1" s="99" t="s">
        <v>3</v>
      </c>
      <c r="F1" s="97" t="s">
        <v>4</v>
      </c>
      <c r="G1" s="97" t="s">
        <v>5</v>
      </c>
      <c r="H1" s="99" t="s">
        <v>6</v>
      </c>
      <c r="I1" s="99" t="s">
        <v>7</v>
      </c>
      <c r="J1" s="100" t="s">
        <v>8</v>
      </c>
      <c r="K1" s="99" t="s">
        <v>9</v>
      </c>
      <c r="L1" s="99" t="s">
        <v>10</v>
      </c>
      <c r="M1" s="99" t="s">
        <v>11</v>
      </c>
      <c r="N1" s="337" t="s">
        <v>3066</v>
      </c>
      <c r="O1" s="101" t="s">
        <v>12</v>
      </c>
      <c r="P1" s="102" t="s">
        <v>13</v>
      </c>
      <c r="Q1" s="103" t="s">
        <v>14</v>
      </c>
      <c r="R1" s="103" t="s">
        <v>15</v>
      </c>
      <c r="S1" s="99" t="s">
        <v>16</v>
      </c>
      <c r="T1" s="99" t="s">
        <v>17</v>
      </c>
      <c r="U1" s="104" t="s">
        <v>18</v>
      </c>
      <c r="V1" s="103" t="s">
        <v>19</v>
      </c>
      <c r="W1" s="338" t="s">
        <v>3069</v>
      </c>
      <c r="X1" s="337" t="s">
        <v>3070</v>
      </c>
      <c r="Y1" s="105" t="s">
        <v>20</v>
      </c>
      <c r="Z1" s="97" t="s">
        <v>21</v>
      </c>
      <c r="AA1" s="97" t="s">
        <v>22</v>
      </c>
      <c r="AB1" s="97" t="s">
        <v>23</v>
      </c>
      <c r="AC1" s="97" t="s">
        <v>24</v>
      </c>
      <c r="AD1" s="97" t="s">
        <v>25</v>
      </c>
      <c r="AE1" s="97" t="s">
        <v>26</v>
      </c>
      <c r="AF1" s="97" t="s">
        <v>27</v>
      </c>
      <c r="AG1" s="97" t="s">
        <v>28</v>
      </c>
      <c r="AH1" s="97" t="s">
        <v>29</v>
      </c>
    </row>
    <row r="2" spans="1:34" x14ac:dyDescent="0.3">
      <c r="A2" s="107" t="s">
        <v>1577</v>
      </c>
      <c r="B2" s="108" t="s">
        <v>1578</v>
      </c>
      <c r="C2" s="108" t="s">
        <v>1579</v>
      </c>
      <c r="D2" s="109">
        <v>45209</v>
      </c>
      <c r="E2" s="110">
        <v>144900</v>
      </c>
      <c r="F2" s="108" t="s">
        <v>32</v>
      </c>
      <c r="G2" s="108" t="s">
        <v>33</v>
      </c>
      <c r="H2" s="110">
        <v>144900</v>
      </c>
      <c r="I2" s="110">
        <v>49600</v>
      </c>
      <c r="J2" s="111">
        <f t="shared" ref="J2:J3" si="0">I2/H2*100</f>
        <v>34.230503795721184</v>
      </c>
      <c r="K2" s="110">
        <v>123393</v>
      </c>
      <c r="L2" s="110">
        <f>H2-112553</f>
        <v>32347</v>
      </c>
      <c r="M2" s="110">
        <v>10840</v>
      </c>
      <c r="N2" s="112">
        <f t="shared" ref="N2:N3" si="1">M2/E2</f>
        <v>7.4810213940648726E-2</v>
      </c>
      <c r="O2" s="113">
        <v>41.21</v>
      </c>
      <c r="P2" s="114">
        <v>181</v>
      </c>
      <c r="Q2" s="115">
        <v>0.17899999999999999</v>
      </c>
      <c r="R2" s="115">
        <v>0.17899999999999999</v>
      </c>
      <c r="S2" s="110">
        <f t="shared" ref="S2:S3" si="2">L2/O2</f>
        <v>784.93084202863383</v>
      </c>
      <c r="T2" s="110">
        <f t="shared" ref="T2:T3" si="3">L2/Q2</f>
        <v>180709.49720670391</v>
      </c>
      <c r="U2" s="116">
        <f t="shared" ref="U2:U3" si="4">L2/Q2/43560</f>
        <v>4.1485192196213019</v>
      </c>
      <c r="V2" s="115">
        <v>43</v>
      </c>
      <c r="W2" s="115">
        <f t="shared" ref="W2:W3" si="5">0.2*E2</f>
        <v>28980</v>
      </c>
      <c r="X2" s="115">
        <f t="shared" ref="X2:X3" si="6">W2/V2</f>
        <v>673.95348837209303</v>
      </c>
      <c r="Y2" s="117" t="s">
        <v>1576</v>
      </c>
      <c r="Z2" s="108" t="s">
        <v>35</v>
      </c>
      <c r="AA2" s="108" t="s">
        <v>35</v>
      </c>
      <c r="AB2" s="108" t="s">
        <v>1577</v>
      </c>
      <c r="AC2" s="108">
        <v>0</v>
      </c>
      <c r="AD2" s="108">
        <v>1</v>
      </c>
      <c r="AE2" s="108" t="s">
        <v>37</v>
      </c>
      <c r="AF2" s="108" t="s">
        <v>43</v>
      </c>
      <c r="AG2" s="108" t="s">
        <v>38</v>
      </c>
      <c r="AH2" s="108" t="s">
        <v>92</v>
      </c>
    </row>
    <row r="3" spans="1:34" ht="15" thickBot="1" x14ac:dyDescent="0.35">
      <c r="A3" s="107" t="s">
        <v>1577</v>
      </c>
      <c r="B3" s="108" t="s">
        <v>1574</v>
      </c>
      <c r="C3" s="108" t="s">
        <v>1575</v>
      </c>
      <c r="D3" s="109">
        <v>45681</v>
      </c>
      <c r="E3" s="110">
        <v>157000</v>
      </c>
      <c r="F3" s="108" t="s">
        <v>32</v>
      </c>
      <c r="G3" s="108" t="s">
        <v>33</v>
      </c>
      <c r="H3" s="110">
        <v>157000</v>
      </c>
      <c r="I3" s="110">
        <v>46900</v>
      </c>
      <c r="J3" s="111">
        <f t="shared" si="0"/>
        <v>29.872611464968152</v>
      </c>
      <c r="K3" s="110">
        <v>119375</v>
      </c>
      <c r="L3" s="110">
        <f>H3-108535</f>
        <v>48465</v>
      </c>
      <c r="M3" s="110">
        <v>10840</v>
      </c>
      <c r="N3" s="112">
        <f t="shared" si="1"/>
        <v>6.9044585987261153E-2</v>
      </c>
      <c r="O3" s="113">
        <v>41.21</v>
      </c>
      <c r="P3" s="114">
        <v>181</v>
      </c>
      <c r="Q3" s="115">
        <v>0.17899999999999999</v>
      </c>
      <c r="R3" s="115">
        <v>0.17899999999999999</v>
      </c>
      <c r="S3" s="110">
        <f t="shared" si="2"/>
        <v>1176.0495025479252</v>
      </c>
      <c r="T3" s="110">
        <f t="shared" si="3"/>
        <v>270754.18994413409</v>
      </c>
      <c r="U3" s="116">
        <f t="shared" si="4"/>
        <v>6.2156609261738769</v>
      </c>
      <c r="V3" s="115">
        <v>43</v>
      </c>
      <c r="W3" s="115">
        <f t="shared" si="5"/>
        <v>31400</v>
      </c>
      <c r="X3" s="115">
        <f t="shared" si="6"/>
        <v>730.23255813953483</v>
      </c>
      <c r="Y3" s="117" t="s">
        <v>1576</v>
      </c>
      <c r="Z3" s="108" t="s">
        <v>35</v>
      </c>
      <c r="AA3" s="108" t="s">
        <v>35</v>
      </c>
      <c r="AB3" s="108" t="s">
        <v>1577</v>
      </c>
      <c r="AC3" s="108">
        <v>0</v>
      </c>
      <c r="AD3" s="108">
        <v>1</v>
      </c>
      <c r="AE3" s="108" t="s">
        <v>42</v>
      </c>
      <c r="AF3" s="108" t="s">
        <v>35</v>
      </c>
      <c r="AG3" s="108" t="s">
        <v>38</v>
      </c>
      <c r="AH3" s="108" t="s">
        <v>92</v>
      </c>
    </row>
    <row r="4" spans="1:34" ht="15" thickTop="1" x14ac:dyDescent="0.3">
      <c r="A4" s="129"/>
      <c r="B4" s="130"/>
      <c r="C4" s="130"/>
      <c r="D4" s="131" t="s">
        <v>2876</v>
      </c>
      <c r="E4" s="132">
        <f>+SUM(E2:E3)</f>
        <v>301900</v>
      </c>
      <c r="F4" s="130"/>
      <c r="G4" s="130"/>
      <c r="H4" s="132">
        <f>+SUM(H2:H3)</f>
        <v>301900</v>
      </c>
      <c r="I4" s="132">
        <f>+SUM(I2:I3)</f>
        <v>96500</v>
      </c>
      <c r="J4" s="133"/>
      <c r="K4" s="132">
        <f>+SUM(K2:K3)</f>
        <v>242768</v>
      </c>
      <c r="L4" s="132">
        <f>+SUM(L2:L3)</f>
        <v>80812</v>
      </c>
      <c r="M4" s="132">
        <f>+SUM(M2:M3)</f>
        <v>21680</v>
      </c>
      <c r="N4" s="134">
        <f>AVERAGE(N2:N3)</f>
        <v>7.1927399963954947E-2</v>
      </c>
      <c r="O4" s="135">
        <f>+SUM(O2:O3)</f>
        <v>82.42</v>
      </c>
      <c r="P4" s="136"/>
      <c r="Q4" s="137">
        <f>+SUM(Q2:Q3)</f>
        <v>0.35799999999999998</v>
      </c>
      <c r="R4" s="137">
        <f>+SUM(R2:R3)</f>
        <v>0.35799999999999998</v>
      </c>
      <c r="S4" s="132"/>
      <c r="T4" s="132"/>
      <c r="U4" s="138"/>
      <c r="V4" s="137"/>
      <c r="W4" s="139">
        <f>AVERAGE(W2:W3)</f>
        <v>30190</v>
      </c>
      <c r="X4" s="140">
        <f>AVERAGE(X2:X3)</f>
        <v>702.09302325581393</v>
      </c>
      <c r="Y4" s="141"/>
      <c r="Z4" s="130"/>
      <c r="AA4" s="130"/>
      <c r="AB4" s="130"/>
      <c r="AC4" s="130"/>
      <c r="AD4" s="130"/>
      <c r="AE4" s="130"/>
      <c r="AF4" s="130"/>
      <c r="AG4" s="130"/>
      <c r="AH4" s="130"/>
    </row>
    <row r="5" spans="1:34" x14ac:dyDescent="0.3">
      <c r="A5" s="142"/>
      <c r="B5" s="143"/>
      <c r="C5" s="143"/>
      <c r="D5" s="144"/>
      <c r="E5" s="145"/>
      <c r="F5" s="143"/>
      <c r="G5" s="143"/>
      <c r="H5" s="145"/>
      <c r="I5" s="145" t="s">
        <v>2877</v>
      </c>
      <c r="J5" s="146">
        <f>I4/H4*100</f>
        <v>31.964226565087777</v>
      </c>
      <c r="K5" s="145"/>
      <c r="L5" s="145"/>
      <c r="M5" s="145" t="s">
        <v>2879</v>
      </c>
      <c r="N5" s="147"/>
      <c r="O5" s="148"/>
      <c r="P5" s="149"/>
      <c r="Q5" s="150" t="s">
        <v>2879</v>
      </c>
      <c r="R5" s="150"/>
      <c r="S5" s="145"/>
      <c r="T5" s="145" t="s">
        <v>2879</v>
      </c>
      <c r="U5" s="151"/>
      <c r="V5" s="150"/>
      <c r="W5" s="152"/>
      <c r="X5" s="153"/>
      <c r="Y5" s="154"/>
      <c r="Z5" s="143"/>
      <c r="AA5" s="143"/>
      <c r="AB5" s="143"/>
      <c r="AC5" s="143"/>
      <c r="AD5" s="143"/>
      <c r="AE5" s="143"/>
      <c r="AF5" s="143"/>
      <c r="AG5" s="143"/>
      <c r="AH5" s="143"/>
    </row>
    <row r="6" spans="1:34" x14ac:dyDescent="0.3">
      <c r="A6" s="155"/>
      <c r="B6" s="156"/>
      <c r="C6" s="156"/>
      <c r="D6" s="157"/>
      <c r="E6" s="158"/>
      <c r="F6" s="156"/>
      <c r="G6" s="156"/>
      <c r="H6" s="158"/>
      <c r="I6" s="158" t="s">
        <v>2878</v>
      </c>
      <c r="J6" s="159">
        <f>STDEV(J2:J3)</f>
        <v>3.0814952187563178</v>
      </c>
      <c r="K6" s="158"/>
      <c r="L6" s="158"/>
      <c r="M6" s="158" t="s">
        <v>2880</v>
      </c>
      <c r="N6" s="160"/>
      <c r="O6" s="161">
        <f>L4/O4</f>
        <v>980.4901722882795</v>
      </c>
      <c r="P6" s="162"/>
      <c r="Q6" s="163" t="s">
        <v>2881</v>
      </c>
      <c r="R6" s="163">
        <f>L4/Q4</f>
        <v>225731.84357541901</v>
      </c>
      <c r="S6" s="158"/>
      <c r="T6" s="158" t="s">
        <v>2882</v>
      </c>
      <c r="U6" s="164">
        <f>L4/Q4/43560</f>
        <v>5.1820900728975898</v>
      </c>
      <c r="V6" s="163"/>
      <c r="W6" s="165"/>
      <c r="X6" s="166"/>
      <c r="Y6" s="167"/>
      <c r="Z6" s="156"/>
      <c r="AA6" s="156"/>
      <c r="AB6" s="156"/>
      <c r="AC6" s="156"/>
      <c r="AD6" s="156"/>
      <c r="AE6" s="156"/>
      <c r="AF6" s="156"/>
      <c r="AG6" s="156"/>
      <c r="AH6" s="156"/>
    </row>
    <row r="10" spans="1:34" x14ac:dyDescent="0.3">
      <c r="E10" s="94" t="s">
        <v>3099</v>
      </c>
      <c r="F10"/>
      <c r="G10"/>
      <c r="H10"/>
      <c r="I10"/>
      <c r="J10"/>
      <c r="K10"/>
      <c r="L10" s="95"/>
    </row>
    <row r="11" spans="1:34" x14ac:dyDescent="0.3">
      <c r="E11" s="383" t="s">
        <v>3163</v>
      </c>
      <c r="F11" s="383"/>
      <c r="G11" s="383"/>
      <c r="H11" s="383"/>
      <c r="I11" s="383"/>
      <c r="J11" s="383"/>
      <c r="K11" s="383"/>
      <c r="L11" s="383"/>
    </row>
    <row r="12" spans="1:34" x14ac:dyDescent="0.3">
      <c r="E12" s="383" t="s">
        <v>3164</v>
      </c>
      <c r="F12" s="383"/>
      <c r="G12" s="383"/>
      <c r="H12" s="383"/>
      <c r="I12" s="383"/>
      <c r="J12" s="383"/>
      <c r="K12" s="383"/>
      <c r="L12" s="383"/>
    </row>
    <row r="13" spans="1:34" x14ac:dyDescent="0.3">
      <c r="E13" s="383" t="s">
        <v>3165</v>
      </c>
      <c r="F13" s="383"/>
      <c r="G13" s="383"/>
      <c r="H13" s="383"/>
      <c r="I13" s="383"/>
      <c r="J13" s="383"/>
      <c r="K13" s="383"/>
      <c r="L13" s="383"/>
    </row>
    <row r="14" spans="1:34" x14ac:dyDescent="0.3">
      <c r="E14" s="383" t="s">
        <v>3166</v>
      </c>
      <c r="F14" s="383"/>
      <c r="G14" s="383"/>
      <c r="H14" s="383"/>
      <c r="I14" s="383"/>
      <c r="J14" s="96"/>
      <c r="K14" s="96"/>
      <c r="L14" s="96"/>
    </row>
    <row r="15" spans="1:34" x14ac:dyDescent="0.3">
      <c r="E15" s="383" t="s">
        <v>3167</v>
      </c>
      <c r="F15" s="383"/>
      <c r="G15" s="383"/>
      <c r="H15" s="383"/>
      <c r="I15" s="383"/>
      <c r="J15"/>
      <c r="K15"/>
      <c r="L15" s="95"/>
    </row>
    <row r="16" spans="1:34" x14ac:dyDescent="0.3">
      <c r="E16" s="383" t="s">
        <v>3100</v>
      </c>
      <c r="F16" s="383"/>
      <c r="G16" s="383"/>
      <c r="H16" s="383"/>
      <c r="I16" s="383"/>
      <c r="J16"/>
      <c r="K16"/>
      <c r="L16" s="95"/>
    </row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2">
    <tabColor rgb="FFFF0000"/>
  </sheetPr>
  <dimension ref="A1:AH15"/>
  <sheetViews>
    <sheetView workbookViewId="0">
      <selection activeCell="E7" sqref="E7:L19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21.109375" bestFit="1" customWidth="1" collapsed="1"/>
    <col min="4" max="4" width="9.33203125" bestFit="1" customWidth="1" collapsed="1"/>
    <col min="5" max="5" width="9.5546875" bestFit="1" customWidth="1" collapsed="1"/>
    <col min="6" max="6" width="5.5546875" bestFit="1" customWidth="1" collapsed="1"/>
    <col min="7" max="7" width="17.33203125" bestFit="1" customWidth="1" collapsed="1"/>
    <col min="8" max="8" width="10.1093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5" t="s">
        <v>601</v>
      </c>
      <c r="B2" s="19" t="s">
        <v>602</v>
      </c>
      <c r="C2" s="19" t="s">
        <v>603</v>
      </c>
      <c r="D2" s="20">
        <v>45078</v>
      </c>
      <c r="E2" s="21">
        <v>35000</v>
      </c>
      <c r="F2" s="19" t="s">
        <v>32</v>
      </c>
      <c r="G2" s="19" t="s">
        <v>33</v>
      </c>
      <c r="H2" s="21">
        <v>35000</v>
      </c>
      <c r="I2" s="21">
        <v>13000</v>
      </c>
      <c r="J2" s="22">
        <f>I2/H2*100</f>
        <v>37.142857142857146</v>
      </c>
      <c r="K2" s="21">
        <v>29770</v>
      </c>
      <c r="L2" s="21">
        <f>H2-0</f>
        <v>35000</v>
      </c>
      <c r="M2" s="21">
        <v>29770</v>
      </c>
      <c r="N2" s="67"/>
      <c r="O2" s="23">
        <v>65</v>
      </c>
      <c r="P2" s="24">
        <v>120</v>
      </c>
      <c r="Q2" s="25">
        <v>0.17899999999999999</v>
      </c>
      <c r="R2" s="25">
        <v>0.17899999999999999</v>
      </c>
      <c r="S2" s="21">
        <f>L2/O2</f>
        <v>538.46153846153845</v>
      </c>
      <c r="T2" s="21">
        <f>L2/Q2</f>
        <v>195530.72625698324</v>
      </c>
      <c r="U2" s="26">
        <f>L2/Q2/43560</f>
        <v>4.4887678204082473</v>
      </c>
      <c r="V2" s="25">
        <v>65</v>
      </c>
      <c r="W2" s="25">
        <f>0.2*E2</f>
        <v>7000</v>
      </c>
      <c r="X2" s="25">
        <f>W2/V2</f>
        <v>107.69230769230769</v>
      </c>
      <c r="Y2" s="27" t="s">
        <v>600</v>
      </c>
      <c r="Z2" s="19" t="s">
        <v>35</v>
      </c>
      <c r="AA2" s="19" t="s">
        <v>35</v>
      </c>
      <c r="AB2" s="19" t="s">
        <v>601</v>
      </c>
      <c r="AC2" s="19">
        <v>0</v>
      </c>
      <c r="AD2" s="19">
        <v>1</v>
      </c>
      <c r="AE2" s="19" t="s">
        <v>37</v>
      </c>
      <c r="AF2" s="19" t="s">
        <v>43</v>
      </c>
      <c r="AG2" s="19" t="s">
        <v>61</v>
      </c>
      <c r="AH2" s="19" t="s">
        <v>92</v>
      </c>
    </row>
    <row r="3" spans="1:34" ht="15" thickBot="1" x14ac:dyDescent="0.35">
      <c r="A3" s="75" t="s">
        <v>601</v>
      </c>
      <c r="B3" s="19" t="s">
        <v>598</v>
      </c>
      <c r="C3" s="19" t="s">
        <v>599</v>
      </c>
      <c r="D3" s="20">
        <v>45079</v>
      </c>
      <c r="E3" s="21">
        <v>320000</v>
      </c>
      <c r="F3" s="19" t="s">
        <v>32</v>
      </c>
      <c r="G3" s="19" t="s">
        <v>33</v>
      </c>
      <c r="H3" s="21">
        <v>320000</v>
      </c>
      <c r="I3" s="21">
        <v>144000</v>
      </c>
      <c r="J3" s="22">
        <f>I3/H3*100</f>
        <v>45</v>
      </c>
      <c r="K3" s="21">
        <v>341226</v>
      </c>
      <c r="L3" s="21">
        <f>H3-311456</f>
        <v>8544</v>
      </c>
      <c r="M3" s="21">
        <v>29770</v>
      </c>
      <c r="N3" s="67">
        <f>M3/E3</f>
        <v>9.3031249999999996E-2</v>
      </c>
      <c r="O3" s="23">
        <v>65</v>
      </c>
      <c r="P3" s="24">
        <v>120</v>
      </c>
      <c r="Q3" s="25">
        <v>0.17899999999999999</v>
      </c>
      <c r="R3" s="25">
        <v>0.17899999999999999</v>
      </c>
      <c r="S3" s="21">
        <f>L3/O3</f>
        <v>131.44615384615383</v>
      </c>
      <c r="T3" s="21">
        <f>L3/Q3</f>
        <v>47731.843575419</v>
      </c>
      <c r="U3" s="26">
        <f>L3/Q3/43560</f>
        <v>1.0957723502162304</v>
      </c>
      <c r="V3" s="25">
        <v>65</v>
      </c>
      <c r="W3" s="25">
        <f>0.2*E3</f>
        <v>64000</v>
      </c>
      <c r="X3" s="25">
        <f>W3/V3</f>
        <v>984.61538461538464</v>
      </c>
      <c r="Y3" s="27" t="s">
        <v>600</v>
      </c>
      <c r="Z3" s="19" t="s">
        <v>35</v>
      </c>
      <c r="AA3" s="19" t="s">
        <v>35</v>
      </c>
      <c r="AB3" s="19" t="s">
        <v>601</v>
      </c>
      <c r="AC3" s="19">
        <v>0</v>
      </c>
      <c r="AD3" s="19">
        <v>1</v>
      </c>
      <c r="AE3" s="19" t="s">
        <v>37</v>
      </c>
      <c r="AF3" s="19" t="s">
        <v>43</v>
      </c>
      <c r="AG3" s="19" t="s">
        <v>38</v>
      </c>
      <c r="AH3" s="19" t="s">
        <v>92</v>
      </c>
    </row>
    <row r="4" spans="1:34" ht="15" thickTop="1" x14ac:dyDescent="0.3">
      <c r="A4" s="76"/>
      <c r="B4" s="37"/>
      <c r="C4" s="37"/>
      <c r="D4" s="38" t="s">
        <v>2876</v>
      </c>
      <c r="E4" s="39">
        <f>+SUM(E2:E3)</f>
        <v>355000</v>
      </c>
      <c r="F4" s="37"/>
      <c r="G4" s="37"/>
      <c r="H4" s="39">
        <f>+SUM(H2:H3)</f>
        <v>355000</v>
      </c>
      <c r="I4" s="39">
        <f>+SUM(I2:I3)</f>
        <v>157000</v>
      </c>
      <c r="J4" s="40"/>
      <c r="K4" s="39">
        <f>+SUM(K2:K3)</f>
        <v>370996</v>
      </c>
      <c r="L4" s="39">
        <f>+SUM(L2:L3)</f>
        <v>43544</v>
      </c>
      <c r="M4" s="39">
        <f>+SUM(M2:M3)</f>
        <v>59540</v>
      </c>
      <c r="N4" s="81">
        <f>AVERAGE(N2:N3)</f>
        <v>9.3031249999999996E-2</v>
      </c>
      <c r="O4" s="41">
        <f>+SUM(O2:O3)</f>
        <v>130</v>
      </c>
      <c r="P4" s="42"/>
      <c r="Q4" s="43">
        <f>+SUM(Q2:Q3)</f>
        <v>0.35799999999999998</v>
      </c>
      <c r="R4" s="43">
        <f>+SUM(R2:R3)</f>
        <v>0.35799999999999998</v>
      </c>
      <c r="S4" s="39"/>
      <c r="T4" s="39"/>
      <c r="U4" s="44"/>
      <c r="V4" s="43"/>
      <c r="W4" s="82">
        <f>AVERAGE(W2:W3)</f>
        <v>35500</v>
      </c>
      <c r="X4" s="83">
        <f>AVERAGE(X2:X3)</f>
        <v>546.15384615384619</v>
      </c>
      <c r="Y4" s="45"/>
      <c r="Z4" s="37"/>
      <c r="AA4" s="37"/>
      <c r="AB4" s="37"/>
      <c r="AC4" s="37"/>
      <c r="AD4" s="37"/>
      <c r="AE4" s="37"/>
      <c r="AF4" s="37"/>
      <c r="AG4" s="37"/>
      <c r="AH4" s="37"/>
    </row>
    <row r="5" spans="1:34" x14ac:dyDescent="0.3">
      <c r="A5" s="77"/>
      <c r="B5" s="28"/>
      <c r="C5" s="28"/>
      <c r="D5" s="29"/>
      <c r="E5" s="30"/>
      <c r="F5" s="28"/>
      <c r="G5" s="28"/>
      <c r="H5" s="30"/>
      <c r="I5" s="30" t="s">
        <v>2877</v>
      </c>
      <c r="J5" s="31">
        <f>I4/H4*100</f>
        <v>44.225352112676056</v>
      </c>
      <c r="K5" s="30"/>
      <c r="L5" s="30"/>
      <c r="M5" s="30" t="s">
        <v>2879</v>
      </c>
      <c r="N5" s="79"/>
      <c r="O5" s="32"/>
      <c r="P5" s="33"/>
      <c r="Q5" s="34" t="s">
        <v>2879</v>
      </c>
      <c r="R5" s="34"/>
      <c r="S5" s="30"/>
      <c r="T5" s="30" t="s">
        <v>2879</v>
      </c>
      <c r="U5" s="35"/>
      <c r="V5" s="34"/>
      <c r="W5" s="63"/>
      <c r="X5" s="68"/>
      <c r="Y5" s="36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">
      <c r="A6" s="78"/>
      <c r="B6" s="46"/>
      <c r="C6" s="46"/>
      <c r="D6" s="47"/>
      <c r="E6" s="48"/>
      <c r="F6" s="46"/>
      <c r="G6" s="46"/>
      <c r="H6" s="48"/>
      <c r="I6" s="48" t="s">
        <v>2878</v>
      </c>
      <c r="J6" s="49">
        <f>STDEV(J2:J3)</f>
        <v>5.5558389950371563</v>
      </c>
      <c r="K6" s="48"/>
      <c r="L6" s="48"/>
      <c r="M6" s="48" t="s">
        <v>2880</v>
      </c>
      <c r="N6" s="80"/>
      <c r="O6" s="54">
        <f>L4/O4</f>
        <v>334.95384615384614</v>
      </c>
      <c r="P6" s="50"/>
      <c r="Q6" s="51" t="s">
        <v>2881</v>
      </c>
      <c r="R6" s="51">
        <f>L4/Q4</f>
        <v>121631.28491620113</v>
      </c>
      <c r="S6" s="48"/>
      <c r="T6" s="48" t="s">
        <v>2882</v>
      </c>
      <c r="U6" s="52">
        <f>L4/Q4/43560</f>
        <v>2.7922700853122389</v>
      </c>
      <c r="V6" s="51"/>
      <c r="W6" s="64"/>
      <c r="X6" s="69"/>
      <c r="Y6" s="53"/>
      <c r="Z6" s="46"/>
      <c r="AA6" s="46"/>
      <c r="AB6" s="46"/>
      <c r="AC6" s="46"/>
      <c r="AD6" s="46"/>
      <c r="AE6" s="46"/>
      <c r="AF6" s="46"/>
      <c r="AG6" s="46"/>
      <c r="AH6" s="46"/>
    </row>
    <row r="7" spans="1:34" x14ac:dyDescent="0.3">
      <c r="E7" s="94" t="s">
        <v>3099</v>
      </c>
      <c r="L7" s="95"/>
    </row>
    <row r="8" spans="1:34" x14ac:dyDescent="0.3">
      <c r="E8" s="383" t="s">
        <v>3163</v>
      </c>
      <c r="F8" s="383"/>
      <c r="G8" s="383"/>
      <c r="H8" s="383"/>
      <c r="I8" s="383"/>
      <c r="J8" s="383"/>
      <c r="K8" s="383"/>
      <c r="L8" s="383"/>
    </row>
    <row r="9" spans="1:34" x14ac:dyDescent="0.3">
      <c r="E9" s="383" t="s">
        <v>3164</v>
      </c>
      <c r="F9" s="383"/>
      <c r="G9" s="383"/>
      <c r="H9" s="383"/>
      <c r="I9" s="383"/>
      <c r="J9" s="383"/>
      <c r="K9" s="383"/>
      <c r="L9" s="383"/>
    </row>
    <row r="10" spans="1:34" x14ac:dyDescent="0.3">
      <c r="E10" s="383" t="s">
        <v>3165</v>
      </c>
      <c r="F10" s="383"/>
      <c r="G10" s="383"/>
      <c r="H10" s="383"/>
      <c r="I10" s="383"/>
      <c r="J10" s="383"/>
      <c r="K10" s="383"/>
      <c r="L10" s="383"/>
    </row>
    <row r="11" spans="1:34" x14ac:dyDescent="0.3">
      <c r="E11" s="383" t="s">
        <v>3166</v>
      </c>
      <c r="F11" s="383"/>
      <c r="G11" s="383"/>
      <c r="H11" s="383"/>
      <c r="I11" s="383"/>
      <c r="J11" s="96"/>
      <c r="K11" s="96"/>
      <c r="L11" s="96"/>
    </row>
    <row r="12" spans="1:34" x14ac:dyDescent="0.3">
      <c r="E12" s="383" t="s">
        <v>3167</v>
      </c>
      <c r="F12" s="383"/>
      <c r="G12" s="383"/>
      <c r="H12" s="383"/>
      <c r="I12" s="383"/>
      <c r="L12" s="95"/>
    </row>
    <row r="13" spans="1:34" x14ac:dyDescent="0.3">
      <c r="E13" s="383" t="s">
        <v>3100</v>
      </c>
      <c r="F13" s="383"/>
      <c r="G13" s="383"/>
      <c r="H13" s="383"/>
      <c r="I13" s="383"/>
      <c r="L13" s="95"/>
    </row>
    <row r="14" spans="1:34" x14ac:dyDescent="0.3">
      <c r="E14" s="96"/>
      <c r="F14" s="96"/>
      <c r="G14" s="96"/>
      <c r="H14" s="96"/>
      <c r="I14" s="96"/>
      <c r="L14" s="95"/>
    </row>
    <row r="15" spans="1:34" x14ac:dyDescent="0.3">
      <c r="A15" s="55" t="s">
        <v>3092</v>
      </c>
      <c r="E15" s="96"/>
      <c r="F15" s="96"/>
      <c r="G15" s="96"/>
      <c r="H15" s="96"/>
      <c r="I15" s="96"/>
      <c r="L15" s="95"/>
    </row>
  </sheetData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3">
    <tabColor rgb="FF00B050"/>
  </sheetPr>
  <dimension ref="A1:AH23"/>
  <sheetViews>
    <sheetView workbookViewId="0">
      <selection activeCell="D15" sqref="D15:M25"/>
    </sheetView>
  </sheetViews>
  <sheetFormatPr defaultRowHeight="14.4" x14ac:dyDescent="0.3"/>
  <cols>
    <col min="1" max="1" width="10.44140625" style="55" bestFit="1" customWidth="1" collapsed="1"/>
    <col min="2" max="2" width="17.5546875" bestFit="1" customWidth="1" collapsed="1"/>
    <col min="3" max="3" width="16.5546875" bestFit="1" customWidth="1" collapsed="1"/>
    <col min="4" max="4" width="9.88671875" bestFit="1" customWidth="1" collapsed="1"/>
    <col min="5" max="5" width="10.88671875" bestFit="1" customWidth="1" collapsed="1"/>
    <col min="6" max="6" width="5.5546875" bestFit="1" customWidth="1" collapsed="1"/>
    <col min="7" max="7" width="17.33203125" bestFit="1" customWidth="1" collapsed="1"/>
    <col min="8" max="8" width="10.88671875" bestFit="1" customWidth="1" collapsed="1"/>
    <col min="9" max="9" width="14.6640625" bestFit="1" customWidth="1" collapsed="1"/>
    <col min="10" max="10" width="12.88671875" bestFit="1" customWidth="1" collapsed="1"/>
    <col min="11" max="11" width="13.44140625" bestFit="1" customWidth="1" collapsed="1"/>
    <col min="12" max="12" width="13.33203125" bestFit="1" customWidth="1" collapsed="1"/>
    <col min="13" max="13" width="14.44140625" bestFit="1" customWidth="1" collapsed="1"/>
    <col min="14" max="14" width="7.6640625" style="55" bestFit="1" customWidth="1"/>
    <col min="15" max="15" width="11.109375" bestFit="1" customWidth="1" collapsed="1"/>
    <col min="16" max="16" width="6.44140625" bestFit="1" customWidth="1" collapsed="1"/>
    <col min="17" max="17" width="14.33203125" bestFit="1" customWidth="1" collapsed="1"/>
    <col min="18" max="18" width="10.88671875" bestFit="1" customWidth="1" collapsed="1"/>
    <col min="19" max="19" width="10" bestFit="1" customWidth="1" collapsed="1"/>
    <col min="20" max="20" width="12" bestFit="1" customWidth="1" collapsed="1"/>
    <col min="21" max="21" width="11.88671875" bestFit="1" customWidth="1" collapsed="1"/>
    <col min="22" max="22" width="11.6640625" bestFit="1" customWidth="1" collapsed="1"/>
    <col min="23" max="23" width="11.5546875" style="65" bestFit="1" customWidth="1"/>
    <col min="24" max="24" width="9" style="55" bestFit="1" customWidth="1"/>
    <col min="25" max="25" width="8.6640625" bestFit="1" customWidth="1" collapsed="1"/>
    <col min="26" max="26" width="10.5546875" bestFit="1" customWidth="1" collapsed="1"/>
    <col min="27" max="27" width="19.44140625" bestFit="1" customWidth="1" collapsed="1"/>
    <col min="28" max="28" width="10.44140625" bestFit="1" customWidth="1" collapsed="1"/>
    <col min="29" max="29" width="6.88671875" bestFit="1" customWidth="1" collapsed="1"/>
    <col min="30" max="30" width="6.44140625" bestFit="1" customWidth="1" collapsed="1"/>
    <col min="31" max="31" width="15" bestFit="1" customWidth="1" collapsed="1"/>
    <col min="32" max="32" width="14.6640625" bestFit="1" customWidth="1" collapsed="1"/>
    <col min="33" max="33" width="5.44140625" bestFit="1" customWidth="1" collapsed="1"/>
    <col min="34" max="34" width="14.5546875" bestFit="1" customWidth="1" collapsed="1"/>
  </cols>
  <sheetData>
    <row r="1" spans="1:34" x14ac:dyDescent="0.3">
      <c r="A1" s="1" t="s">
        <v>23</v>
      </c>
      <c r="B1" s="1" t="s">
        <v>0</v>
      </c>
      <c r="C1" s="1" t="s">
        <v>1</v>
      </c>
      <c r="D1" s="2" t="s">
        <v>2</v>
      </c>
      <c r="E1" s="3" t="s">
        <v>3</v>
      </c>
      <c r="F1" s="1" t="s">
        <v>4</v>
      </c>
      <c r="G1" s="1" t="s">
        <v>5</v>
      </c>
      <c r="H1" s="3" t="s">
        <v>6</v>
      </c>
      <c r="I1" s="3" t="s">
        <v>7</v>
      </c>
      <c r="J1" s="4" t="s">
        <v>8</v>
      </c>
      <c r="K1" s="3" t="s">
        <v>9</v>
      </c>
      <c r="L1" s="3" t="s">
        <v>10</v>
      </c>
      <c r="M1" s="3" t="s">
        <v>11</v>
      </c>
      <c r="N1" s="339" t="s">
        <v>3066</v>
      </c>
      <c r="O1" s="5" t="s">
        <v>12</v>
      </c>
      <c r="P1" s="6" t="s">
        <v>13</v>
      </c>
      <c r="Q1" s="7" t="s">
        <v>14</v>
      </c>
      <c r="R1" s="7" t="s">
        <v>15</v>
      </c>
      <c r="S1" s="3" t="s">
        <v>16</v>
      </c>
      <c r="T1" s="3" t="s">
        <v>17</v>
      </c>
      <c r="U1" s="8" t="s">
        <v>18</v>
      </c>
      <c r="V1" s="7" t="s">
        <v>19</v>
      </c>
      <c r="W1" s="340" t="s">
        <v>3069</v>
      </c>
      <c r="X1" s="339" t="s">
        <v>3070</v>
      </c>
      <c r="Y1" s="9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</row>
    <row r="2" spans="1:34" x14ac:dyDescent="0.3">
      <c r="A2" s="74" t="s">
        <v>192</v>
      </c>
      <c r="B2" s="10" t="s">
        <v>211</v>
      </c>
      <c r="C2" s="10" t="s">
        <v>212</v>
      </c>
      <c r="D2" s="11">
        <v>45691</v>
      </c>
      <c r="E2" s="12">
        <v>148000</v>
      </c>
      <c r="F2" s="10" t="s">
        <v>32</v>
      </c>
      <c r="G2" s="10" t="s">
        <v>33</v>
      </c>
      <c r="H2" s="12">
        <v>148000</v>
      </c>
      <c r="I2" s="12">
        <v>81000</v>
      </c>
      <c r="J2" s="13">
        <f t="shared" ref="J2:J11" si="0">I2/H2*100</f>
        <v>54.729729729729726</v>
      </c>
      <c r="K2" s="12">
        <v>181436</v>
      </c>
      <c r="L2" s="12">
        <f>H2-174621</f>
        <v>-26621</v>
      </c>
      <c r="M2" s="12">
        <v>6815</v>
      </c>
      <c r="N2" s="66">
        <f t="shared" ref="N2:N11" si="1">M2/E2</f>
        <v>4.6047297297297299E-2</v>
      </c>
      <c r="O2" s="14">
        <v>40.08</v>
      </c>
      <c r="P2" s="15">
        <v>115.5</v>
      </c>
      <c r="Q2" s="16">
        <v>0.106</v>
      </c>
      <c r="R2" s="16">
        <v>0.106</v>
      </c>
      <c r="S2" s="12">
        <f t="shared" ref="S2:S11" si="2">L2/O2</f>
        <v>-664.1966067864272</v>
      </c>
      <c r="T2" s="12">
        <f t="shared" ref="T2:T11" si="3">L2/Q2</f>
        <v>-251141.50943396226</v>
      </c>
      <c r="U2" s="17">
        <f t="shared" ref="U2:U11" si="4">L2/Q2/43560</f>
        <v>-5.7654157353985829</v>
      </c>
      <c r="V2" s="16">
        <v>40</v>
      </c>
      <c r="W2" s="16">
        <f t="shared" ref="W2:W11" si="5">0.2*E2</f>
        <v>29600</v>
      </c>
      <c r="X2" s="16">
        <f t="shared" ref="X2:X11" si="6">W2/V2</f>
        <v>740</v>
      </c>
      <c r="Y2" s="18" t="s">
        <v>191</v>
      </c>
      <c r="Z2" s="10" t="s">
        <v>35</v>
      </c>
      <c r="AA2" s="10" t="s">
        <v>35</v>
      </c>
      <c r="AB2" s="10" t="s">
        <v>192</v>
      </c>
      <c r="AC2" s="10">
        <v>0</v>
      </c>
      <c r="AD2" s="10">
        <v>1</v>
      </c>
      <c r="AE2" s="10" t="s">
        <v>37</v>
      </c>
      <c r="AF2" s="10" t="s">
        <v>35</v>
      </c>
      <c r="AG2" s="10" t="s">
        <v>38</v>
      </c>
      <c r="AH2" s="10" t="s">
        <v>92</v>
      </c>
    </row>
    <row r="3" spans="1:34" x14ac:dyDescent="0.3">
      <c r="A3" s="74" t="s">
        <v>192</v>
      </c>
      <c r="B3" s="10" t="s">
        <v>201</v>
      </c>
      <c r="C3" s="10" t="s">
        <v>202</v>
      </c>
      <c r="D3" s="11">
        <v>45117</v>
      </c>
      <c r="E3" s="12">
        <v>170000</v>
      </c>
      <c r="F3" s="10" t="s">
        <v>32</v>
      </c>
      <c r="G3" s="10" t="s">
        <v>33</v>
      </c>
      <c r="H3" s="12">
        <v>170000</v>
      </c>
      <c r="I3" s="12">
        <v>73800</v>
      </c>
      <c r="J3" s="13">
        <f t="shared" si="0"/>
        <v>43.411764705882355</v>
      </c>
      <c r="K3" s="12">
        <v>193696</v>
      </c>
      <c r="L3" s="12">
        <f>H3-173252</f>
        <v>-3252</v>
      </c>
      <c r="M3" s="12">
        <v>20444</v>
      </c>
      <c r="N3" s="66">
        <f t="shared" si="1"/>
        <v>0.12025882352941177</v>
      </c>
      <c r="O3" s="14">
        <v>120.26</v>
      </c>
      <c r="P3" s="15">
        <v>115.5</v>
      </c>
      <c r="Q3" s="16">
        <v>0.318</v>
      </c>
      <c r="R3" s="16">
        <v>0.318</v>
      </c>
      <c r="S3" s="12">
        <f t="shared" si="2"/>
        <v>-27.041410277731579</v>
      </c>
      <c r="T3" s="12">
        <f t="shared" si="3"/>
        <v>-10226.415094339622</v>
      </c>
      <c r="U3" s="17">
        <f t="shared" si="4"/>
        <v>-0.23476618673874247</v>
      </c>
      <c r="V3" s="16">
        <v>120</v>
      </c>
      <c r="W3" s="16">
        <f t="shared" si="5"/>
        <v>34000</v>
      </c>
      <c r="X3" s="16">
        <f t="shared" si="6"/>
        <v>283.33333333333331</v>
      </c>
      <c r="Y3" s="18" t="s">
        <v>191</v>
      </c>
      <c r="Z3" s="10" t="s">
        <v>35</v>
      </c>
      <c r="AA3" s="10" t="s">
        <v>35</v>
      </c>
      <c r="AB3" s="10" t="s">
        <v>192</v>
      </c>
      <c r="AC3" s="10">
        <v>0</v>
      </c>
      <c r="AD3" s="10">
        <v>1</v>
      </c>
      <c r="AE3" s="10" t="s">
        <v>42</v>
      </c>
      <c r="AF3" s="10" t="s">
        <v>43</v>
      </c>
      <c r="AG3" s="10" t="s">
        <v>38</v>
      </c>
      <c r="AH3" s="10" t="s">
        <v>92</v>
      </c>
    </row>
    <row r="4" spans="1:34" x14ac:dyDescent="0.3">
      <c r="A4" s="74" t="s">
        <v>192</v>
      </c>
      <c r="B4" s="10" t="s">
        <v>262</v>
      </c>
      <c r="C4" s="10" t="s">
        <v>263</v>
      </c>
      <c r="D4" s="11">
        <v>45161</v>
      </c>
      <c r="E4" s="12">
        <v>295000</v>
      </c>
      <c r="F4" s="10" t="s">
        <v>32</v>
      </c>
      <c r="G4" s="10" t="s">
        <v>33</v>
      </c>
      <c r="H4" s="12">
        <v>295000</v>
      </c>
      <c r="I4" s="12">
        <v>74300</v>
      </c>
      <c r="J4" s="13">
        <f t="shared" si="0"/>
        <v>25.186440677966104</v>
      </c>
      <c r="K4" s="12">
        <v>305961</v>
      </c>
      <c r="L4" s="12">
        <f>H4-277106</f>
        <v>17894</v>
      </c>
      <c r="M4" s="12">
        <v>28855</v>
      </c>
      <c r="N4" s="66">
        <f t="shared" si="1"/>
        <v>9.7813559322033894E-2</v>
      </c>
      <c r="O4" s="14">
        <v>169.73</v>
      </c>
      <c r="P4" s="15">
        <v>325.56</v>
      </c>
      <c r="Q4" s="16">
        <v>0.754</v>
      </c>
      <c r="R4" s="16">
        <v>0.754</v>
      </c>
      <c r="S4" s="12">
        <f t="shared" si="2"/>
        <v>105.42626524480058</v>
      </c>
      <c r="T4" s="12">
        <f t="shared" si="3"/>
        <v>23732.095490716179</v>
      </c>
      <c r="U4" s="17">
        <f t="shared" si="4"/>
        <v>0.5448139460678646</v>
      </c>
      <c r="V4" s="16">
        <v>100.88</v>
      </c>
      <c r="W4" s="16">
        <f t="shared" si="5"/>
        <v>59000</v>
      </c>
      <c r="X4" s="16">
        <f t="shared" si="6"/>
        <v>584.85329103885806</v>
      </c>
      <c r="Y4" s="18" t="s">
        <v>195</v>
      </c>
      <c r="Z4" s="10" t="s">
        <v>35</v>
      </c>
      <c r="AA4" s="10" t="s">
        <v>35</v>
      </c>
      <c r="AB4" s="10" t="s">
        <v>192</v>
      </c>
      <c r="AC4" s="10">
        <v>0</v>
      </c>
      <c r="AD4" s="10">
        <v>0</v>
      </c>
      <c r="AE4" s="10" t="s">
        <v>37</v>
      </c>
      <c r="AF4" s="10" t="s">
        <v>43</v>
      </c>
      <c r="AG4" s="10" t="s">
        <v>38</v>
      </c>
      <c r="AH4" s="10" t="s">
        <v>92</v>
      </c>
    </row>
    <row r="5" spans="1:34" x14ac:dyDescent="0.3">
      <c r="A5" s="74" t="s">
        <v>192</v>
      </c>
      <c r="B5" s="10" t="s">
        <v>199</v>
      </c>
      <c r="C5" s="10" t="s">
        <v>200</v>
      </c>
      <c r="D5" s="11">
        <v>45519</v>
      </c>
      <c r="E5" s="12">
        <v>4500</v>
      </c>
      <c r="F5" s="10" t="s">
        <v>32</v>
      </c>
      <c r="G5" s="10" t="s">
        <v>33</v>
      </c>
      <c r="H5" s="12">
        <v>4500</v>
      </c>
      <c r="I5" s="12">
        <v>3400</v>
      </c>
      <c r="J5" s="13">
        <f t="shared" si="0"/>
        <v>75.555555555555557</v>
      </c>
      <c r="K5" s="12">
        <v>6815</v>
      </c>
      <c r="L5" s="12">
        <f>H5-0</f>
        <v>4500</v>
      </c>
      <c r="M5" s="12">
        <v>6815</v>
      </c>
      <c r="N5" s="66"/>
      <c r="O5" s="14">
        <v>40.08</v>
      </c>
      <c r="P5" s="15">
        <v>115.5</v>
      </c>
      <c r="Q5" s="16">
        <v>0.106</v>
      </c>
      <c r="R5" s="16">
        <v>0.106</v>
      </c>
      <c r="S5" s="12">
        <f t="shared" si="2"/>
        <v>112.27544910179641</v>
      </c>
      <c r="T5" s="12">
        <f t="shared" si="3"/>
        <v>42452.830188679247</v>
      </c>
      <c r="U5" s="17">
        <f t="shared" si="4"/>
        <v>0.97458287852799008</v>
      </c>
      <c r="V5" s="16">
        <v>40</v>
      </c>
      <c r="W5" s="16">
        <f t="shared" si="5"/>
        <v>900</v>
      </c>
      <c r="X5" s="16">
        <f t="shared" si="6"/>
        <v>22.5</v>
      </c>
      <c r="Y5" s="18" t="s">
        <v>191</v>
      </c>
      <c r="Z5" s="10" t="s">
        <v>35</v>
      </c>
      <c r="AA5" s="10" t="s">
        <v>35</v>
      </c>
      <c r="AB5" s="10" t="s">
        <v>192</v>
      </c>
      <c r="AC5" s="10">
        <v>0</v>
      </c>
      <c r="AD5" s="10">
        <v>0</v>
      </c>
      <c r="AE5" s="10" t="s">
        <v>37</v>
      </c>
      <c r="AF5" s="10" t="s">
        <v>43</v>
      </c>
      <c r="AG5" s="10" t="s">
        <v>61</v>
      </c>
      <c r="AH5" s="10" t="s">
        <v>92</v>
      </c>
    </row>
    <row r="6" spans="1:34" x14ac:dyDescent="0.3">
      <c r="A6" s="75" t="s">
        <v>192</v>
      </c>
      <c r="B6" s="19" t="s">
        <v>203</v>
      </c>
      <c r="C6" s="19" t="s">
        <v>204</v>
      </c>
      <c r="D6" s="20">
        <v>45729</v>
      </c>
      <c r="E6" s="21">
        <v>137000</v>
      </c>
      <c r="F6" s="19" t="s">
        <v>32</v>
      </c>
      <c r="G6" s="19" t="s">
        <v>33</v>
      </c>
      <c r="H6" s="21">
        <v>137000</v>
      </c>
      <c r="I6" s="21">
        <v>62300</v>
      </c>
      <c r="J6" s="22">
        <f t="shared" si="0"/>
        <v>45.474452554744524</v>
      </c>
      <c r="K6" s="21">
        <v>138315</v>
      </c>
      <c r="L6" s="21">
        <f>H6-131500</f>
        <v>5500</v>
      </c>
      <c r="M6" s="21">
        <v>6815</v>
      </c>
      <c r="N6" s="67">
        <f t="shared" si="1"/>
        <v>4.9744525547445254E-2</v>
      </c>
      <c r="O6" s="23">
        <v>40.08</v>
      </c>
      <c r="P6" s="24">
        <v>115.5</v>
      </c>
      <c r="Q6" s="25">
        <v>0.106</v>
      </c>
      <c r="R6" s="25">
        <v>0.106</v>
      </c>
      <c r="S6" s="21">
        <f t="shared" si="2"/>
        <v>137.22554890219561</v>
      </c>
      <c r="T6" s="21">
        <f t="shared" si="3"/>
        <v>51886.792452830188</v>
      </c>
      <c r="U6" s="26">
        <f t="shared" si="4"/>
        <v>1.1911568515342099</v>
      </c>
      <c r="V6" s="25">
        <v>40</v>
      </c>
      <c r="W6" s="25">
        <f t="shared" si="5"/>
        <v>27400</v>
      </c>
      <c r="X6" s="25">
        <f t="shared" si="6"/>
        <v>685</v>
      </c>
      <c r="Y6" s="27" t="s">
        <v>191</v>
      </c>
      <c r="Z6" s="19" t="s">
        <v>35</v>
      </c>
      <c r="AA6" s="19" t="s">
        <v>35</v>
      </c>
      <c r="AB6" s="19" t="s">
        <v>192</v>
      </c>
      <c r="AC6" s="19">
        <v>0</v>
      </c>
      <c r="AD6" s="19">
        <v>1</v>
      </c>
      <c r="AE6" s="19" t="s">
        <v>205</v>
      </c>
      <c r="AF6" s="19" t="s">
        <v>35</v>
      </c>
      <c r="AG6" s="19" t="s">
        <v>38</v>
      </c>
      <c r="AH6" s="19" t="s">
        <v>92</v>
      </c>
    </row>
    <row r="7" spans="1:34" x14ac:dyDescent="0.3">
      <c r="A7" s="75" t="s">
        <v>192</v>
      </c>
      <c r="B7" s="19" t="s">
        <v>193</v>
      </c>
      <c r="C7" s="19" t="s">
        <v>194</v>
      </c>
      <c r="D7" s="20">
        <v>45233</v>
      </c>
      <c r="E7" s="21">
        <v>172500</v>
      </c>
      <c r="F7" s="19" t="s">
        <v>32</v>
      </c>
      <c r="G7" s="19" t="s">
        <v>33</v>
      </c>
      <c r="H7" s="21">
        <v>172500</v>
      </c>
      <c r="I7" s="21">
        <v>69700</v>
      </c>
      <c r="J7" s="22">
        <f t="shared" si="0"/>
        <v>40.405797101449274</v>
      </c>
      <c r="K7" s="21">
        <v>164209</v>
      </c>
      <c r="L7" s="21">
        <f>H7-157394</f>
        <v>15106</v>
      </c>
      <c r="M7" s="21">
        <v>6815</v>
      </c>
      <c r="N7" s="67">
        <f t="shared" si="1"/>
        <v>3.9507246376811592E-2</v>
      </c>
      <c r="O7" s="23">
        <v>40.08</v>
      </c>
      <c r="P7" s="24">
        <v>115.5</v>
      </c>
      <c r="Q7" s="25">
        <v>0.106</v>
      </c>
      <c r="R7" s="25">
        <v>0.106</v>
      </c>
      <c r="S7" s="21">
        <f t="shared" si="2"/>
        <v>376.89620758483034</v>
      </c>
      <c r="T7" s="21">
        <f t="shared" si="3"/>
        <v>142509.43396226416</v>
      </c>
      <c r="U7" s="26">
        <f t="shared" si="4"/>
        <v>3.2715664362319594</v>
      </c>
      <c r="V7" s="25">
        <v>40</v>
      </c>
      <c r="W7" s="25">
        <f t="shared" si="5"/>
        <v>34500</v>
      </c>
      <c r="X7" s="25">
        <f t="shared" si="6"/>
        <v>862.5</v>
      </c>
      <c r="Y7" s="27" t="s">
        <v>195</v>
      </c>
      <c r="Z7" s="19" t="s">
        <v>35</v>
      </c>
      <c r="AA7" s="19" t="s">
        <v>35</v>
      </c>
      <c r="AB7" s="19" t="s">
        <v>192</v>
      </c>
      <c r="AC7" s="19">
        <v>0</v>
      </c>
      <c r="AD7" s="19">
        <v>1</v>
      </c>
      <c r="AE7" s="19" t="s">
        <v>196</v>
      </c>
      <c r="AF7" s="19" t="s">
        <v>43</v>
      </c>
      <c r="AG7" s="19" t="s">
        <v>38</v>
      </c>
      <c r="AH7" s="19" t="s">
        <v>92</v>
      </c>
    </row>
    <row r="8" spans="1:34" x14ac:dyDescent="0.3">
      <c r="A8" s="75" t="s">
        <v>192</v>
      </c>
      <c r="B8" s="19" t="s">
        <v>197</v>
      </c>
      <c r="C8" s="19" t="s">
        <v>198</v>
      </c>
      <c r="D8" s="20">
        <v>45443</v>
      </c>
      <c r="E8" s="21">
        <v>170000</v>
      </c>
      <c r="F8" s="19" t="s">
        <v>32</v>
      </c>
      <c r="G8" s="19" t="s">
        <v>33</v>
      </c>
      <c r="H8" s="21">
        <v>170000</v>
      </c>
      <c r="I8" s="21">
        <v>55100</v>
      </c>
      <c r="J8" s="22">
        <f t="shared" si="0"/>
        <v>32.411764705882348</v>
      </c>
      <c r="K8" s="21">
        <v>127329</v>
      </c>
      <c r="L8" s="21">
        <f>H8-111144</f>
        <v>58856</v>
      </c>
      <c r="M8" s="21">
        <v>16185</v>
      </c>
      <c r="N8" s="67">
        <f t="shared" si="1"/>
        <v>9.5205882352941182E-2</v>
      </c>
      <c r="O8" s="23">
        <v>95.2</v>
      </c>
      <c r="P8" s="24">
        <v>115.5</v>
      </c>
      <c r="Q8" s="25">
        <v>0.252</v>
      </c>
      <c r="R8" s="25">
        <v>0.252</v>
      </c>
      <c r="S8" s="21">
        <f t="shared" si="2"/>
        <v>618.23529411764707</v>
      </c>
      <c r="T8" s="21">
        <f t="shared" si="3"/>
        <v>233555.55555555556</v>
      </c>
      <c r="U8" s="26">
        <f t="shared" si="4"/>
        <v>5.3616977859402102</v>
      </c>
      <c r="V8" s="25">
        <v>95</v>
      </c>
      <c r="W8" s="25">
        <f t="shared" si="5"/>
        <v>34000</v>
      </c>
      <c r="X8" s="25">
        <f t="shared" si="6"/>
        <v>357.89473684210526</v>
      </c>
      <c r="Y8" s="27" t="s">
        <v>191</v>
      </c>
      <c r="Z8" s="19" t="s">
        <v>35</v>
      </c>
      <c r="AA8" s="19" t="s">
        <v>35</v>
      </c>
      <c r="AB8" s="19" t="s">
        <v>192</v>
      </c>
      <c r="AC8" s="19">
        <v>0</v>
      </c>
      <c r="AD8" s="19">
        <v>1</v>
      </c>
      <c r="AE8" s="19" t="s">
        <v>42</v>
      </c>
      <c r="AF8" s="19" t="s">
        <v>43</v>
      </c>
      <c r="AG8" s="19" t="s">
        <v>38</v>
      </c>
      <c r="AH8" s="19" t="s">
        <v>92</v>
      </c>
    </row>
    <row r="9" spans="1:34" x14ac:dyDescent="0.3">
      <c r="A9" s="74" t="s">
        <v>192</v>
      </c>
      <c r="B9" s="10" t="s">
        <v>208</v>
      </c>
      <c r="C9" s="10" t="s">
        <v>209</v>
      </c>
      <c r="D9" s="11">
        <v>45435</v>
      </c>
      <c r="E9" s="12">
        <v>132000</v>
      </c>
      <c r="F9" s="10" t="s">
        <v>32</v>
      </c>
      <c r="G9" s="10" t="s">
        <v>33</v>
      </c>
      <c r="H9" s="12">
        <v>132000</v>
      </c>
      <c r="I9" s="12">
        <v>49100</v>
      </c>
      <c r="J9" s="13">
        <f t="shared" si="0"/>
        <v>37.196969696969695</v>
      </c>
      <c r="K9" s="12">
        <v>113465</v>
      </c>
      <c r="L9" s="12">
        <f>H9-106650</f>
        <v>25350</v>
      </c>
      <c r="M9" s="12">
        <v>6815</v>
      </c>
      <c r="N9" s="66">
        <f t="shared" si="1"/>
        <v>5.1628787878787878E-2</v>
      </c>
      <c r="O9" s="14">
        <v>40.08</v>
      </c>
      <c r="P9" s="15">
        <v>115.5</v>
      </c>
      <c r="Q9" s="16">
        <v>0.106</v>
      </c>
      <c r="R9" s="16">
        <v>0.106</v>
      </c>
      <c r="S9" s="12">
        <f t="shared" si="2"/>
        <v>632.48502994011983</v>
      </c>
      <c r="T9" s="12">
        <f t="shared" si="3"/>
        <v>239150.94339622642</v>
      </c>
      <c r="U9" s="17">
        <f t="shared" si="4"/>
        <v>5.4901502157076774</v>
      </c>
      <c r="V9" s="16">
        <v>40</v>
      </c>
      <c r="W9" s="16">
        <f t="shared" si="5"/>
        <v>26400</v>
      </c>
      <c r="X9" s="16">
        <f t="shared" si="6"/>
        <v>660</v>
      </c>
      <c r="Y9" s="18" t="s">
        <v>191</v>
      </c>
      <c r="Z9" s="10" t="s">
        <v>35</v>
      </c>
      <c r="AA9" s="10" t="s">
        <v>35</v>
      </c>
      <c r="AB9" s="10" t="s">
        <v>192</v>
      </c>
      <c r="AC9" s="10">
        <v>0</v>
      </c>
      <c r="AD9" s="10">
        <v>1</v>
      </c>
      <c r="AE9" s="10" t="s">
        <v>210</v>
      </c>
      <c r="AF9" s="10" t="s">
        <v>43</v>
      </c>
      <c r="AG9" s="10" t="s">
        <v>38</v>
      </c>
      <c r="AH9" s="10" t="s">
        <v>92</v>
      </c>
    </row>
    <row r="10" spans="1:34" x14ac:dyDescent="0.3">
      <c r="A10" s="75" t="s">
        <v>192</v>
      </c>
      <c r="B10" s="19" t="s">
        <v>206</v>
      </c>
      <c r="C10" s="19" t="s">
        <v>207</v>
      </c>
      <c r="D10" s="20">
        <v>45681</v>
      </c>
      <c r="E10" s="21">
        <v>128000</v>
      </c>
      <c r="F10" s="19" t="s">
        <v>32</v>
      </c>
      <c r="G10" s="19" t="s">
        <v>33</v>
      </c>
      <c r="H10" s="21">
        <v>128000</v>
      </c>
      <c r="I10" s="21">
        <v>41200</v>
      </c>
      <c r="J10" s="22">
        <f t="shared" si="0"/>
        <v>32.1875</v>
      </c>
      <c r="K10" s="21">
        <v>96751</v>
      </c>
      <c r="L10" s="21">
        <f>H10-89936</f>
        <v>38064</v>
      </c>
      <c r="M10" s="21">
        <v>6815</v>
      </c>
      <c r="N10" s="67">
        <f t="shared" si="1"/>
        <v>5.3242187500000003E-2</v>
      </c>
      <c r="O10" s="23">
        <v>40.08</v>
      </c>
      <c r="P10" s="24">
        <v>115.5</v>
      </c>
      <c r="Q10" s="25">
        <v>0.106</v>
      </c>
      <c r="R10" s="25">
        <v>0.106</v>
      </c>
      <c r="S10" s="21">
        <f t="shared" si="2"/>
        <v>949.70059880239523</v>
      </c>
      <c r="T10" s="21">
        <f t="shared" si="3"/>
        <v>359094.33962264151</v>
      </c>
      <c r="U10" s="26">
        <f t="shared" si="4"/>
        <v>8.2436717085087583</v>
      </c>
      <c r="V10" s="25">
        <v>40</v>
      </c>
      <c r="W10" s="25">
        <f t="shared" si="5"/>
        <v>25600</v>
      </c>
      <c r="X10" s="25">
        <f t="shared" si="6"/>
        <v>640</v>
      </c>
      <c r="Y10" s="27" t="s">
        <v>191</v>
      </c>
      <c r="Z10" s="19" t="s">
        <v>35</v>
      </c>
      <c r="AA10" s="19" t="s">
        <v>35</v>
      </c>
      <c r="AB10" s="19" t="s">
        <v>192</v>
      </c>
      <c r="AC10" s="19">
        <v>0</v>
      </c>
      <c r="AD10" s="19">
        <v>1</v>
      </c>
      <c r="AE10" s="19" t="s">
        <v>42</v>
      </c>
      <c r="AF10" s="19" t="s">
        <v>35</v>
      </c>
      <c r="AG10" s="19" t="s">
        <v>38</v>
      </c>
      <c r="AH10" s="19" t="s">
        <v>92</v>
      </c>
    </row>
    <row r="11" spans="1:34" ht="15" thickBot="1" x14ac:dyDescent="0.35">
      <c r="A11" s="74" t="s">
        <v>192</v>
      </c>
      <c r="B11" s="10" t="s">
        <v>189</v>
      </c>
      <c r="C11" s="10" t="s">
        <v>190</v>
      </c>
      <c r="D11" s="11">
        <v>45562</v>
      </c>
      <c r="E11" s="12">
        <v>167300</v>
      </c>
      <c r="F11" s="10" t="s">
        <v>32</v>
      </c>
      <c r="G11" s="10" t="s">
        <v>33</v>
      </c>
      <c r="H11" s="12">
        <v>167300</v>
      </c>
      <c r="I11" s="12">
        <v>34900</v>
      </c>
      <c r="J11" s="13">
        <f t="shared" si="0"/>
        <v>20.860729228930065</v>
      </c>
      <c r="K11" s="12">
        <v>73571</v>
      </c>
      <c r="L11" s="12">
        <f>H11-53818</f>
        <v>113482</v>
      </c>
      <c r="M11" s="12">
        <v>19753</v>
      </c>
      <c r="N11" s="66">
        <f t="shared" si="1"/>
        <v>0.11806933652121937</v>
      </c>
      <c r="O11" s="14">
        <v>116.19</v>
      </c>
      <c r="P11" s="15">
        <v>120.52</v>
      </c>
      <c r="Q11" s="16">
        <v>0.314</v>
      </c>
      <c r="R11" s="16">
        <v>0.314</v>
      </c>
      <c r="S11" s="12">
        <f t="shared" si="2"/>
        <v>976.69334710388159</v>
      </c>
      <c r="T11" s="12">
        <f t="shared" si="3"/>
        <v>361407.64331210189</v>
      </c>
      <c r="U11" s="17">
        <f t="shared" si="4"/>
        <v>8.2967778538131753</v>
      </c>
      <c r="V11" s="16">
        <v>113.5</v>
      </c>
      <c r="W11" s="16">
        <f t="shared" si="5"/>
        <v>33460</v>
      </c>
      <c r="X11" s="16">
        <f t="shared" si="6"/>
        <v>294.80176211453744</v>
      </c>
      <c r="Y11" s="18" t="s">
        <v>191</v>
      </c>
      <c r="Z11" s="10" t="s">
        <v>35</v>
      </c>
      <c r="AA11" s="10" t="s">
        <v>35</v>
      </c>
      <c r="AB11" s="10" t="s">
        <v>192</v>
      </c>
      <c r="AC11" s="10">
        <v>0</v>
      </c>
      <c r="AD11" s="10">
        <v>1</v>
      </c>
      <c r="AE11" s="10" t="s">
        <v>42</v>
      </c>
      <c r="AF11" s="10" t="s">
        <v>43</v>
      </c>
      <c r="AG11" s="10" t="s">
        <v>38</v>
      </c>
      <c r="AH11" s="10" t="s">
        <v>92</v>
      </c>
    </row>
    <row r="12" spans="1:34" ht="15" thickTop="1" x14ac:dyDescent="0.3">
      <c r="A12" s="76"/>
      <c r="B12" s="37"/>
      <c r="C12" s="37"/>
      <c r="D12" s="38" t="s">
        <v>2876</v>
      </c>
      <c r="E12" s="39">
        <f>+SUM(E2:E11)</f>
        <v>1524300</v>
      </c>
      <c r="F12" s="37"/>
      <c r="G12" s="37"/>
      <c r="H12" s="39">
        <f>+SUM(H2:H11)</f>
        <v>1524300</v>
      </c>
      <c r="I12" s="39">
        <f>+SUM(I2:I11)</f>
        <v>544800</v>
      </c>
      <c r="J12" s="40"/>
      <c r="K12" s="39">
        <f>+SUM(K2:K11)</f>
        <v>1401548</v>
      </c>
      <c r="L12" s="39">
        <f>+SUM(L2:L11)</f>
        <v>248879</v>
      </c>
      <c r="M12" s="39">
        <f>+SUM(M2:M11)</f>
        <v>126127</v>
      </c>
      <c r="N12" s="81">
        <f>AVERAGE(N2:N11)</f>
        <v>7.461307181399425E-2</v>
      </c>
      <c r="O12" s="41">
        <f>+SUM(O2:O11)</f>
        <v>741.86000000000013</v>
      </c>
      <c r="P12" s="42"/>
      <c r="Q12" s="43">
        <f>+SUM(Q2:Q11)</f>
        <v>2.2740000000000005</v>
      </c>
      <c r="R12" s="43">
        <f>+SUM(R2:R11)</f>
        <v>2.2740000000000005</v>
      </c>
      <c r="S12" s="39"/>
      <c r="T12" s="39"/>
      <c r="U12" s="44"/>
      <c r="V12" s="43"/>
      <c r="W12" s="82">
        <f>AVERAGE(W2:W11)</f>
        <v>30486</v>
      </c>
      <c r="X12" s="83">
        <f>AVERAGE(X2:X11)</f>
        <v>513.08831233288345</v>
      </c>
      <c r="Y12" s="45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x14ac:dyDescent="0.3">
      <c r="A13" s="77"/>
      <c r="B13" s="28"/>
      <c r="C13" s="28"/>
      <c r="D13" s="29"/>
      <c r="E13" s="30"/>
      <c r="F13" s="28"/>
      <c r="G13" s="28"/>
      <c r="H13" s="30"/>
      <c r="I13" s="30" t="s">
        <v>2877</v>
      </c>
      <c r="J13" s="31">
        <f>I12/H12*100</f>
        <v>35.740995866955323</v>
      </c>
      <c r="K13" s="30"/>
      <c r="L13" s="30"/>
      <c r="M13" s="30" t="s">
        <v>2879</v>
      </c>
      <c r="N13" s="79"/>
      <c r="O13" s="32"/>
      <c r="P13" s="33"/>
      <c r="Q13" s="34" t="s">
        <v>2879</v>
      </c>
      <c r="R13" s="34"/>
      <c r="S13" s="30"/>
      <c r="T13" s="30" t="s">
        <v>2879</v>
      </c>
      <c r="U13" s="35"/>
      <c r="V13" s="34"/>
      <c r="W13" s="63"/>
      <c r="X13" s="68"/>
      <c r="Y13" s="36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3">
      <c r="A14" s="78"/>
      <c r="B14" s="46"/>
      <c r="C14" s="46"/>
      <c r="D14" s="47"/>
      <c r="E14" s="48"/>
      <c r="F14" s="46"/>
      <c r="G14" s="46"/>
      <c r="H14" s="48"/>
      <c r="I14" s="48" t="s">
        <v>2878</v>
      </c>
      <c r="J14" s="49">
        <f>STDEV(J2:J11)</f>
        <v>15.739747633045038</v>
      </c>
      <c r="K14" s="48"/>
      <c r="L14" s="48"/>
      <c r="M14" s="48" t="s">
        <v>2880</v>
      </c>
      <c r="N14" s="80"/>
      <c r="O14" s="54">
        <f>L12/O12</f>
        <v>335.47974011268968</v>
      </c>
      <c r="P14" s="50"/>
      <c r="Q14" s="51" t="s">
        <v>2881</v>
      </c>
      <c r="R14" s="51">
        <f>L12/Q12</f>
        <v>109445.47053649953</v>
      </c>
      <c r="S14" s="48"/>
      <c r="T14" s="48" t="s">
        <v>2882</v>
      </c>
      <c r="U14" s="52">
        <f>L12/Q12/43560</f>
        <v>2.5125222804522389</v>
      </c>
      <c r="V14" s="51"/>
      <c r="W14" s="64"/>
      <c r="X14" s="69"/>
      <c r="Y14" s="53"/>
      <c r="Z14" s="46"/>
      <c r="AA14" s="46"/>
      <c r="AB14" s="46"/>
      <c r="AC14" s="46"/>
      <c r="AD14" s="46"/>
      <c r="AE14" s="46"/>
      <c r="AF14" s="46"/>
      <c r="AG14" s="46"/>
      <c r="AH14" s="46"/>
    </row>
    <row r="15" spans="1:34" x14ac:dyDescent="0.3">
      <c r="E15" s="94" t="s">
        <v>3099</v>
      </c>
      <c r="L15" s="95"/>
    </row>
    <row r="16" spans="1:34" x14ac:dyDescent="0.3">
      <c r="E16" s="383" t="s">
        <v>3163</v>
      </c>
      <c r="F16" s="383"/>
      <c r="G16" s="383"/>
      <c r="H16" s="383"/>
      <c r="I16" s="383"/>
      <c r="J16" s="383"/>
      <c r="K16" s="383"/>
      <c r="L16" s="383"/>
    </row>
    <row r="17" spans="1:12" x14ac:dyDescent="0.3">
      <c r="E17" s="383" t="s">
        <v>3164</v>
      </c>
      <c r="F17" s="383"/>
      <c r="G17" s="383"/>
      <c r="H17" s="383"/>
      <c r="I17" s="383"/>
      <c r="J17" s="383"/>
      <c r="K17" s="383"/>
      <c r="L17" s="383"/>
    </row>
    <row r="18" spans="1:12" x14ac:dyDescent="0.3">
      <c r="E18" s="383" t="s">
        <v>3165</v>
      </c>
      <c r="F18" s="383"/>
      <c r="G18" s="383"/>
      <c r="H18" s="383"/>
      <c r="I18" s="383"/>
      <c r="J18" s="383"/>
      <c r="K18" s="383"/>
      <c r="L18" s="383"/>
    </row>
    <row r="19" spans="1:12" x14ac:dyDescent="0.3">
      <c r="E19" s="383" t="s">
        <v>3166</v>
      </c>
      <c r="F19" s="383"/>
      <c r="G19" s="383"/>
      <c r="H19" s="383"/>
      <c r="I19" s="383"/>
      <c r="J19" s="96"/>
      <c r="K19" s="96"/>
      <c r="L19" s="96"/>
    </row>
    <row r="20" spans="1:12" x14ac:dyDescent="0.3">
      <c r="E20" s="383" t="s">
        <v>3167</v>
      </c>
      <c r="F20" s="383"/>
      <c r="G20" s="383"/>
      <c r="H20" s="383"/>
      <c r="I20" s="383"/>
      <c r="L20" s="95"/>
    </row>
    <row r="21" spans="1:12" x14ac:dyDescent="0.3">
      <c r="E21" s="383" t="s">
        <v>3100</v>
      </c>
      <c r="F21" s="383"/>
      <c r="G21" s="383"/>
      <c r="H21" s="383"/>
      <c r="I21" s="383"/>
      <c r="L21" s="95"/>
    </row>
    <row r="22" spans="1:12" x14ac:dyDescent="0.3">
      <c r="E22" s="96"/>
      <c r="F22" s="96"/>
      <c r="G22" s="96"/>
      <c r="H22" s="96"/>
      <c r="I22" s="96"/>
      <c r="L22" s="95"/>
    </row>
    <row r="23" spans="1:12" x14ac:dyDescent="0.3">
      <c r="A23" s="55" t="s">
        <v>3092</v>
      </c>
      <c r="E23" s="96"/>
      <c r="F23" s="96"/>
      <c r="G23" s="96"/>
      <c r="H23" s="96"/>
      <c r="I23" s="96"/>
      <c r="L23" s="95"/>
    </row>
  </sheetData>
  <sortState xmlns:xlrd2="http://schemas.microsoft.com/office/spreadsheetml/2017/richdata2" ref="A2:AH11">
    <sortCondition ref="S2:S1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117</vt:i4>
      </vt:variant>
    </vt:vector>
  </HeadingPairs>
  <TitlesOfParts>
    <vt:vector size="117" baseType="lpstr">
      <vt:lpstr>Master Land Analysis</vt:lpstr>
      <vt:lpstr>Overall Analysis</vt:lpstr>
      <vt:lpstr>Landlocked</vt:lpstr>
      <vt:lpstr>Acreage</vt:lpstr>
      <vt:lpstr>Deep Lots(FF)</vt:lpstr>
      <vt:lpstr>72-Att Condo</vt:lpstr>
      <vt:lpstr>119-Det Condo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14A</vt:lpstr>
      <vt:lpstr>14B</vt:lpstr>
      <vt:lpstr>14C</vt:lpstr>
      <vt:lpstr>14D</vt:lpstr>
      <vt:lpstr>14E</vt:lpstr>
      <vt:lpstr>15</vt:lpstr>
      <vt:lpstr>16</vt:lpstr>
      <vt:lpstr>17</vt:lpstr>
      <vt:lpstr>18</vt:lpstr>
      <vt:lpstr>19</vt:lpstr>
      <vt:lpstr>21</vt:lpstr>
      <vt:lpstr>22</vt:lpstr>
      <vt:lpstr>23A</vt:lpstr>
      <vt:lpstr>23B</vt:lpstr>
      <vt:lpstr>24A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39A</vt:lpstr>
      <vt:lpstr>39B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53A</vt:lpstr>
      <vt:lpstr>54A</vt:lpstr>
      <vt:lpstr>53B</vt:lpstr>
      <vt:lpstr>54B</vt:lpstr>
      <vt:lpstr>55</vt:lpstr>
      <vt:lpstr>56</vt:lpstr>
      <vt:lpstr>57</vt:lpstr>
      <vt:lpstr>58</vt:lpstr>
      <vt:lpstr>70</vt:lpstr>
      <vt:lpstr>CYPRESS GARDEN</vt:lpstr>
      <vt:lpstr>110</vt:lpstr>
      <vt:lpstr>191</vt:lpstr>
      <vt:lpstr>211</vt:lpstr>
      <vt:lpstr>240</vt:lpstr>
      <vt:lpstr>300</vt:lpstr>
      <vt:lpstr>310</vt:lpstr>
      <vt:lpstr>350</vt:lpstr>
      <vt:lpstr>370</vt:lpstr>
      <vt:lpstr>401</vt:lpstr>
      <vt:lpstr>425</vt:lpstr>
      <vt:lpstr>432</vt:lpstr>
      <vt:lpstr>436</vt:lpstr>
      <vt:lpstr>440</vt:lpstr>
      <vt:lpstr>442</vt:lpstr>
      <vt:lpstr>446</vt:lpstr>
      <vt:lpstr>448</vt:lpstr>
      <vt:lpstr>458</vt:lpstr>
      <vt:lpstr>459</vt:lpstr>
      <vt:lpstr>462</vt:lpstr>
      <vt:lpstr>463</vt:lpstr>
      <vt:lpstr>501</vt:lpstr>
      <vt:lpstr>512</vt:lpstr>
      <vt:lpstr>515</vt:lpstr>
      <vt:lpstr>536</vt:lpstr>
      <vt:lpstr>711</vt:lpstr>
      <vt:lpstr>716</vt:lpstr>
      <vt:lpstr>803</vt:lpstr>
      <vt:lpstr>808</vt:lpstr>
      <vt:lpstr>810</vt:lpstr>
      <vt:lpstr>811</vt:lpstr>
      <vt:lpstr>900</vt:lpstr>
      <vt:lpstr>910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Rachel Cicotte</cp:lastModifiedBy>
  <cp:lastPrinted>2025-08-26T17:55:28Z</cp:lastPrinted>
  <dcterms:created xsi:type="dcterms:W3CDTF">2025-08-21T15:21:15Z</dcterms:created>
  <dcterms:modified xsi:type="dcterms:W3CDTF">2026-02-12T14:53:23Z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2.5.5</vt:lpwstr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2026-02-12T14:26:16Z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14dabda5-78b6-4ab0-8eeb-c20279a340ea</vt:lpwstr>
  </property>
  <property fmtid="{D5CDD505-2E9C-101B-9397-08002B2CF9AE}" pid="9" name="MSIP_Label_defa4170-0d19-0005-0004-bc88714345d2_ActionId">
    <vt:lpwstr>373561d2-a173-4fb2-ba8d-ef962c03306c</vt:lpwstr>
  </property>
  <property fmtid="{D5CDD505-2E9C-101B-9397-08002B2CF9AE}" pid="10" name="MSIP_Label_defa4170-0d19-0005-0004-bc88714345d2_ContentBits">
    <vt:lpwstr>0</vt:lpwstr>
  </property>
  <property fmtid="{D5CDD505-2E9C-101B-9397-08002B2CF9AE}" pid="11" name="MSIP_Label_defa4170-0d19-0005-0004-bc88714345d2_Tag">
    <vt:lpwstr>10, 3, 0, 1</vt:lpwstr>
  </property>
</Properties>
</file>